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uniparsa.sharepoint.com/sites/PortalArq/saopaulo/Holding/Defin/RI/08.Resultados/2T26/08.Planilha de Fundamentos/"/>
    </mc:Choice>
  </mc:AlternateContent>
  <xr:revisionPtr revIDLastSave="98" documentId="8_{04A5FB33-E5E2-46C0-9B22-A76500150B64}" xr6:coauthVersionLast="47" xr6:coauthVersionMax="47" xr10:uidLastSave="{3179E9E3-6856-4A2A-A6E5-86862F0668E7}"/>
  <bookViews>
    <workbookView xWindow="-120" yWindow="-120" windowWidth="29040" windowHeight="15720" tabRatio="926" firstSheet="1" activeTab="12" xr2:uid="{00000000-000D-0000-FFFF-FFFF00000000}"/>
  </bookViews>
  <sheets>
    <sheet name="Resumo Negociação (3)" sheetId="38" state="hidden" r:id="rId1"/>
    <sheet name="Index" sheetId="66" r:id="rId2"/>
    <sheet name="Movimentação Empréstimos (2)" sheetId="32" state="hidden" r:id="rId3"/>
    <sheet name="Movimentação Empréstimos" sheetId="31" state="hidden" r:id="rId4"/>
    <sheet name="Ebitda (2)" sheetId="30" state="hidden" r:id="rId5"/>
    <sheet name="ações (2)" sheetId="20" state="hidden" r:id="rId6"/>
    <sheet name="Despesas por natureza" sheetId="14" state="hidden" r:id="rId7"/>
    <sheet name="grafico fluxo de caixa" sheetId="9" state="hidden" r:id="rId8"/>
    <sheet name="Plan3" sheetId="6" state="hidden" r:id="rId9"/>
    <sheet name="estrutura de capital" sheetId="34" state="hidden" r:id="rId10"/>
    <sheet name="01. Income Statement" sheetId="62" r:id="rId11"/>
    <sheet name="02. BS" sheetId="59" r:id="rId12"/>
    <sheet name="03. CF" sheetId="63" r:id="rId13"/>
    <sheet name="04. EBITDA" sheetId="64" r:id="rId14"/>
    <sheet name="05. Net Debt" sheetId="60" r:id="rId15"/>
    <sheet name="06. Installed Capacity" sheetId="67" r:id="rId16"/>
    <sheet name="07. Shares" sheetId="18" r:id="rId17"/>
    <sheet name="08. Income Statement" sheetId="54" r:id="rId18"/>
    <sheet name="09. BS" sheetId="55" r:id="rId19"/>
    <sheet name="10. CF" sheetId="56" r:id="rId20"/>
    <sheet name="11. EBITDA" sheetId="13" r:id="rId21"/>
    <sheet name="12. Net Debt" sheetId="11" r:id="rId22"/>
    <sheet name="Plan1" sheetId="16" state="hidden" r:id="rId23"/>
  </sheets>
  <externalReferences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Order1" hidden="1">0</definedName>
    <definedName name="_Order2" hidden="1">0</definedName>
    <definedName name="ABR_C">[1]ABR!$A$2:$B$101</definedName>
    <definedName name="ABR_DEP">[1]ABR!$A$181:$B$231</definedName>
    <definedName name="ABR_DRE">[1]ABR!$A$399:$B$942</definedName>
    <definedName name="ABR_NC">[1]ABR!$A$102:$B$180</definedName>
    <definedName name="ABR_PC">[1]ABR!$A$232:$B$332</definedName>
    <definedName name="ABR_PNC">[1]ABR!$A$333:$B$398</definedName>
    <definedName name="AGO_C">[1]AGO!$A$2:$B$119</definedName>
    <definedName name="AGO_DEP">[1]AGO!$A$199:$B$248</definedName>
    <definedName name="AGO_DRE">[1]AGO!$A$415:$B$969</definedName>
    <definedName name="AGO_NC">[1]AGO!$A$120:$B$198</definedName>
    <definedName name="AGO_PC">[1]AGO!$A$249:$B$343</definedName>
    <definedName name="AGO_PNC">[1]AGO!$A$344:$B$414</definedName>
    <definedName name="_xlnm.Print_Area" localSheetId="10">#REF!</definedName>
    <definedName name="_xlnm.Print_Area" localSheetId="11">#REF!</definedName>
    <definedName name="_xlnm.Print_Area" localSheetId="12">#REF!</definedName>
    <definedName name="_xlnm.Print_Area" localSheetId="13">'04. EBITDA'!$A$1:$AX$19</definedName>
    <definedName name="_xlnm.Print_Area" localSheetId="14">'05. Net Debt'!$A$1:$AP$33</definedName>
    <definedName name="_xlnm.Print_Area" localSheetId="15">'06. Installed Capacity'!$A$1:$B$18</definedName>
    <definedName name="_xlnm.Print_Area" localSheetId="16">'07. Shares'!$A$1:$AI$24</definedName>
    <definedName name="_xlnm.Print_Area" localSheetId="20">'11. EBITDA'!$A$1:$BD$19</definedName>
    <definedName name="_xlnm.Print_Area" localSheetId="21">'12. Net Debt'!$A$1:$AU$30</definedName>
    <definedName name="_xlnm.Print_Area" localSheetId="1">Index!$A$1:$H$32</definedName>
    <definedName name="_xlnm.Print_Area" localSheetId="3">'Movimentação Empréstimos'!$B$2:$E$11</definedName>
    <definedName name="_xlnm.Print_Area" localSheetId="2">'Movimentação Empréstimos (2)'!$B$2:$E$7</definedName>
    <definedName name="_xlnm.Print_Area">#REF!</definedName>
    <definedName name="AS2DocOpenMode" hidden="1">"AS2DocumentEdit"</definedName>
    <definedName name="AtivoCirc">[2]BRGAAP!$E$41:$AX$41</definedName>
    <definedName name="Banin" localSheetId="10">#REF!</definedName>
    <definedName name="Banin" localSheetId="11">#REF!</definedName>
    <definedName name="Banin" localSheetId="12">#REF!</definedName>
    <definedName name="Banin" localSheetId="13">#REF!</definedName>
    <definedName name="Banin" localSheetId="14">#REF!</definedName>
    <definedName name="Banin" localSheetId="15">#REF!</definedName>
    <definedName name="Banin">#REF!</definedName>
    <definedName name="BBrasil" localSheetId="10">#REF!</definedName>
    <definedName name="BBrasil" localSheetId="11">#REF!</definedName>
    <definedName name="BBrasil" localSheetId="12">#REF!</definedName>
    <definedName name="BBrasil" localSheetId="13">#REF!</definedName>
    <definedName name="BBrasil" localSheetId="14">#REF!</definedName>
    <definedName name="BBrasil" localSheetId="15">#REF!</definedName>
    <definedName name="BBrasil">#REF!</definedName>
    <definedName name="BE_1" localSheetId="10">#REF!</definedName>
    <definedName name="BE_1" localSheetId="11">#REF!</definedName>
    <definedName name="BE_1" localSheetId="12">#REF!</definedName>
    <definedName name="BE_1" localSheetId="13">#REF!</definedName>
    <definedName name="BE_1" localSheetId="14">#REF!</definedName>
    <definedName name="BE_1" localSheetId="15">#REF!</definedName>
    <definedName name="BE_1">#REF!</definedName>
    <definedName name="BE_2" localSheetId="10">#REF!</definedName>
    <definedName name="BE_2" localSheetId="11">#REF!</definedName>
    <definedName name="BE_2" localSheetId="12">#REF!</definedName>
    <definedName name="BE_2" localSheetId="13">#REF!</definedName>
    <definedName name="BE_2" localSheetId="14">#REF!</definedName>
    <definedName name="BE_2" localSheetId="15">#REF!</definedName>
    <definedName name="BE_2">#REF!</definedName>
    <definedName name="BE_3" localSheetId="10">#REF!</definedName>
    <definedName name="BE_3" localSheetId="11">#REF!</definedName>
    <definedName name="BE_3" localSheetId="12">#REF!</definedName>
    <definedName name="BE_3" localSheetId="13">#REF!</definedName>
    <definedName name="BE_3" localSheetId="14">#REF!</definedName>
    <definedName name="BE_3" localSheetId="15">#REF!</definedName>
    <definedName name="BE_3">#REF!</definedName>
    <definedName name="BE_ASPP" localSheetId="10">#REF!</definedName>
    <definedName name="BE_ASPP" localSheetId="11">#REF!</definedName>
    <definedName name="BE_ASPP" localSheetId="12">#REF!</definedName>
    <definedName name="BE_ASPP" localSheetId="13">#REF!</definedName>
    <definedName name="BE_ASPP" localSheetId="14">#REF!</definedName>
    <definedName name="BE_ASPP" localSheetId="15">#REF!</definedName>
    <definedName name="BE_ASPP">#REF!</definedName>
    <definedName name="BE_BR" localSheetId="10">#REF!</definedName>
    <definedName name="BE_BR" localSheetId="11">#REF!</definedName>
    <definedName name="BE_BR" localSheetId="12">#REF!</definedName>
    <definedName name="BE_BR" localSheetId="13">#REF!</definedName>
    <definedName name="BE_BR" localSheetId="14">#REF!</definedName>
    <definedName name="BE_BR" localSheetId="15">#REF!</definedName>
    <definedName name="BE_BR">#REF!</definedName>
    <definedName name="BE_BR2" localSheetId="10">#REF!</definedName>
    <definedName name="BE_BR2" localSheetId="11">#REF!</definedName>
    <definedName name="BE_BR2" localSheetId="12">#REF!</definedName>
    <definedName name="BE_BR2" localSheetId="13">#REF!</definedName>
    <definedName name="BE_BR2" localSheetId="14">#REF!</definedName>
    <definedName name="BE_BR2" localSheetId="15">#REF!</definedName>
    <definedName name="BE_BR2">#REF!</definedName>
    <definedName name="BE_BR3" localSheetId="10">#REF!</definedName>
    <definedName name="BE_BR3" localSheetId="11">#REF!</definedName>
    <definedName name="BE_BR3" localSheetId="12">#REF!</definedName>
    <definedName name="BE_BR3" localSheetId="13">#REF!</definedName>
    <definedName name="BE_BR3" localSheetId="14">#REF!</definedName>
    <definedName name="BE_BR3" localSheetId="15">#REF!</definedName>
    <definedName name="BE_BR3">#REF!</definedName>
    <definedName name="BE_MOVPP" localSheetId="10">#REF!</definedName>
    <definedName name="BE_MOVPP" localSheetId="11">#REF!</definedName>
    <definedName name="BE_MOVPP" localSheetId="12">#REF!</definedName>
    <definedName name="BE_MOVPP" localSheetId="13">#REF!</definedName>
    <definedName name="BE_MOVPP" localSheetId="14">#REF!</definedName>
    <definedName name="BE_MOVPP" localSheetId="15">#REF!</definedName>
    <definedName name="BE_MOVPP">#REF!</definedName>
    <definedName name="BE_MOVPP2" localSheetId="10">#REF!</definedName>
    <definedName name="BE_MOVPP2" localSheetId="11">#REF!</definedName>
    <definedName name="BE_MOVPP2" localSheetId="12">#REF!</definedName>
    <definedName name="BE_MOVPP2" localSheetId="13">#REF!</definedName>
    <definedName name="BE_MOVPP2" localSheetId="14">#REF!</definedName>
    <definedName name="BE_MOVPP2" localSheetId="15">#REF!</definedName>
    <definedName name="BE_MOVPP2">#REF!</definedName>
    <definedName name="BE_MOVPP3" localSheetId="10">#REF!</definedName>
    <definedName name="BE_MOVPP3" localSheetId="11">#REF!</definedName>
    <definedName name="BE_MOVPP3" localSheetId="12">#REF!</definedName>
    <definedName name="BE_MOVPP3" localSheetId="13">#REF!</definedName>
    <definedName name="BE_MOVPP3" localSheetId="14">#REF!</definedName>
    <definedName name="BE_MOVPP3" localSheetId="15">#REF!</definedName>
    <definedName name="BE_MOVPP3">#REF!</definedName>
    <definedName name="BE_PAG" localSheetId="10">#REF!</definedName>
    <definedName name="BE_PAG" localSheetId="11">#REF!</definedName>
    <definedName name="BE_PAG" localSheetId="12">#REF!</definedName>
    <definedName name="BE_PAG" localSheetId="13">#REF!</definedName>
    <definedName name="BE_PAG" localSheetId="14">#REF!</definedName>
    <definedName name="BE_PAG" localSheetId="15">#REF!</definedName>
    <definedName name="BE_PAG">#REF!</definedName>
    <definedName name="BE_PGPS" localSheetId="10">#REF!</definedName>
    <definedName name="BE_PGPS" localSheetId="11">#REF!</definedName>
    <definedName name="BE_PGPS" localSheetId="12">#REF!</definedName>
    <definedName name="BE_PGPS" localSheetId="13">#REF!</definedName>
    <definedName name="BE_PGPS" localSheetId="14">#REF!</definedName>
    <definedName name="BE_PGPS" localSheetId="15">#REF!</definedName>
    <definedName name="BE_PGPS">#REF!</definedName>
    <definedName name="BE_PP" localSheetId="10">#REF!</definedName>
    <definedName name="BE_PP" localSheetId="11">#REF!</definedName>
    <definedName name="BE_PP" localSheetId="12">#REF!</definedName>
    <definedName name="BE_PP" localSheetId="13">#REF!</definedName>
    <definedName name="BE_PP" localSheetId="14">#REF!</definedName>
    <definedName name="BE_PP" localSheetId="15">#REF!</definedName>
    <definedName name="BE_PP">#REF!</definedName>
    <definedName name="BE_PROJ" localSheetId="10">#REF!</definedName>
    <definedName name="BE_PROJ" localSheetId="11">#REF!</definedName>
    <definedName name="BE_PROJ" localSheetId="12">#REF!</definedName>
    <definedName name="BE_PROJ" localSheetId="13">#REF!</definedName>
    <definedName name="BE_PROJ" localSheetId="14">#REF!</definedName>
    <definedName name="BE_PROJ" localSheetId="15">#REF!</definedName>
    <definedName name="BE_PROJ">#REF!</definedName>
    <definedName name="BE_PROJ2" localSheetId="10">#REF!</definedName>
    <definedName name="BE_PROJ2" localSheetId="11">#REF!</definedName>
    <definedName name="BE_PROJ2" localSheetId="12">#REF!</definedName>
    <definedName name="BE_PROJ2" localSheetId="13">#REF!</definedName>
    <definedName name="BE_PROJ2" localSheetId="14">#REF!</definedName>
    <definedName name="BE_PROJ2" localSheetId="15">#REF!</definedName>
    <definedName name="BE_PROJ2">#REF!</definedName>
    <definedName name="BE_PROJ3" localSheetId="10">#REF!</definedName>
    <definedName name="BE_PROJ3" localSheetId="11">#REF!</definedName>
    <definedName name="BE_PROJ3" localSheetId="12">#REF!</definedName>
    <definedName name="BE_PROJ3" localSheetId="13">#REF!</definedName>
    <definedName name="BE_PROJ3" localSheetId="14">#REF!</definedName>
    <definedName name="BE_PROJ3" localSheetId="15">#REF!</definedName>
    <definedName name="BE_PROJ3">#REF!</definedName>
    <definedName name="BE_PS" localSheetId="10">#REF!</definedName>
    <definedName name="BE_PS" localSheetId="11">#REF!</definedName>
    <definedName name="BE_PS" localSheetId="12">#REF!</definedName>
    <definedName name="BE_PS" localSheetId="13">#REF!</definedName>
    <definedName name="BE_PS" localSheetId="14">#REF!</definedName>
    <definedName name="BE_PS" localSheetId="15">#REF!</definedName>
    <definedName name="BE_PS">#REF!</definedName>
    <definedName name="BE_PS2" localSheetId="10">#REF!</definedName>
    <definedName name="BE_PS2" localSheetId="11">#REF!</definedName>
    <definedName name="BE_PS2" localSheetId="12">#REF!</definedName>
    <definedName name="BE_PS2" localSheetId="13">#REF!</definedName>
    <definedName name="BE_PS2" localSheetId="14">#REF!</definedName>
    <definedName name="BE_PS2" localSheetId="15">#REF!</definedName>
    <definedName name="BE_PS2">#REF!</definedName>
    <definedName name="BE_QTDP" localSheetId="10">#REF!</definedName>
    <definedName name="BE_QTDP" localSheetId="11">#REF!</definedName>
    <definedName name="BE_QTDP" localSheetId="12">#REF!</definedName>
    <definedName name="BE_QTDP" localSheetId="13">#REF!</definedName>
    <definedName name="BE_QTDP" localSheetId="14">#REF!</definedName>
    <definedName name="BE_QTDP" localSheetId="15">#REF!</definedName>
    <definedName name="BE_QTDP">#REF!</definedName>
    <definedName name="BENEF" localSheetId="10">#REF!</definedName>
    <definedName name="BENEF" localSheetId="11">#REF!</definedName>
    <definedName name="BENEF" localSheetId="12">#REF!</definedName>
    <definedName name="BENEF" localSheetId="13">#REF!</definedName>
    <definedName name="BENEF" localSheetId="14">#REF!</definedName>
    <definedName name="BENEF" localSheetId="15">#REF!</definedName>
    <definedName name="BENEF">#REF!</definedName>
    <definedName name="Bes" localSheetId="10">'[3]Detalhe Aplicações'!#REF!</definedName>
    <definedName name="Bes" localSheetId="11">'[3]Detalhe Aplicações'!#REF!</definedName>
    <definedName name="Bes" localSheetId="12">'[3]Detalhe Aplicações'!#REF!</definedName>
    <definedName name="Bes" localSheetId="13">'[3]Detalhe Aplicações'!#REF!</definedName>
    <definedName name="Bes" localSheetId="14">'[3]Detalhe Aplicações'!#REF!</definedName>
    <definedName name="Bes" localSheetId="15">'[3]Detalhe Aplicações'!#REF!</definedName>
    <definedName name="Bes">'[3]Detalhe Aplicações'!#REF!</definedName>
    <definedName name="Botica_Valor_Pago_pelo_Cedente" localSheetId="10">#REF!</definedName>
    <definedName name="Botica_Valor_Pago_pelo_Cedente" localSheetId="11">#REF!</definedName>
    <definedName name="Botica_Valor_Pago_pelo_Cedente" localSheetId="12">#REF!</definedName>
    <definedName name="Botica_Valor_Pago_pelo_Cedente" localSheetId="13">#REF!</definedName>
    <definedName name="Botica_Valor_Pago_pelo_Cedente" localSheetId="14">#REF!</definedName>
    <definedName name="Botica_Valor_Pago_pelo_Cedente" localSheetId="15">#REF!</definedName>
    <definedName name="Botica_Valor_Pago_pelo_Cedente">#REF!</definedName>
    <definedName name="BP_1TR">'[1]Balanço Mensal'!$A$3:$G$531</definedName>
    <definedName name="BP_2ITR">'[1]Balanço Mensal'!$A$3:$H$531</definedName>
    <definedName name="BP_A" localSheetId="10">#REF!</definedName>
    <definedName name="BP_A" localSheetId="11">#REF!</definedName>
    <definedName name="BP_A" localSheetId="12">#REF!</definedName>
    <definedName name="BP_A" localSheetId="13">#REF!</definedName>
    <definedName name="BP_A" localSheetId="14">#REF!</definedName>
    <definedName name="BP_A" localSheetId="15">#REF!</definedName>
    <definedName name="BP_A">#REF!</definedName>
    <definedName name="Branco" localSheetId="10">#REF!</definedName>
    <definedName name="Branco" localSheetId="11">#REF!</definedName>
    <definedName name="Branco" localSheetId="12">#REF!</definedName>
    <definedName name="Branco" localSheetId="13">#REF!</definedName>
    <definedName name="Branco" localSheetId="14">#REF!</definedName>
    <definedName name="Branco" localSheetId="15">#REF!</definedName>
    <definedName name="Branco">#REF!</definedName>
    <definedName name="C.CUSTO" localSheetId="10">#REF!</definedName>
    <definedName name="C.CUSTO" localSheetId="11">#REF!</definedName>
    <definedName name="C.CUSTO" localSheetId="12">#REF!</definedName>
    <definedName name="C.CUSTO" localSheetId="13">#REF!</definedName>
    <definedName name="C.CUSTO" localSheetId="14">#REF!</definedName>
    <definedName name="C.CUSTO" localSheetId="15">#REF!</definedName>
    <definedName name="C.CUSTO">#REF!</definedName>
    <definedName name="C_Univ" localSheetId="10">DATE(ano,1,1)</definedName>
    <definedName name="C_Univ" localSheetId="11">DATE(ano,1,1)</definedName>
    <definedName name="C_Univ" localSheetId="12">DATE(ano,1,1)</definedName>
    <definedName name="C_Univ" localSheetId="13">DATE(ano,1,1)</definedName>
    <definedName name="C_Univ" localSheetId="14">DATE(ano,1,1)</definedName>
    <definedName name="C_Univ" localSheetId="15">DATE(ano,1,1)</definedName>
    <definedName name="C_Univ" localSheetId="1">DATE(ano,1,1)</definedName>
    <definedName name="C_Univ">DATE(ano,1,1)</definedName>
    <definedName name="CADASTRO_BRANCO" localSheetId="10">[4]NovasDivInput!#REF!</definedName>
    <definedName name="CADASTRO_BRANCO" localSheetId="11">[4]NovasDivInput!#REF!</definedName>
    <definedName name="CADASTRO_BRANCO" localSheetId="12">[4]NovasDivInput!#REF!</definedName>
    <definedName name="CADASTRO_BRANCO" localSheetId="13">[4]NovasDivInput!#REF!</definedName>
    <definedName name="CADASTRO_BRANCO" localSheetId="14">[4]NovasDivInput!#REF!</definedName>
    <definedName name="CADASTRO_BRANCO" localSheetId="15">[4]NovasDivInput!#REF!</definedName>
    <definedName name="CADASTRO_BRANCO">[4]NovasDivInput!#REF!</definedName>
    <definedName name="CAPITAL" localSheetId="10">#REF!</definedName>
    <definedName name="CAPITAL" localSheetId="11">#REF!</definedName>
    <definedName name="CAPITAL" localSheetId="12">#REF!</definedName>
    <definedName name="CAPITAL" localSheetId="13">#REF!</definedName>
    <definedName name="CAPITAL" localSheetId="14">#REF!</definedName>
    <definedName name="CAPITAL" localSheetId="15">#REF!</definedName>
    <definedName name="CAPITAL">#REF!</definedName>
    <definedName name="carlos" localSheetId="10">#REF!</definedName>
    <definedName name="carlos" localSheetId="11">#REF!</definedName>
    <definedName name="carlos" localSheetId="12">#REF!</definedName>
    <definedName name="carlos" localSheetId="13">#REF!</definedName>
    <definedName name="carlos" localSheetId="14">#REF!</definedName>
    <definedName name="carlos" localSheetId="15">#REF!</definedName>
    <definedName name="carlos">#REF!</definedName>
    <definedName name="CasoMacro" localSheetId="10">#REF!</definedName>
    <definedName name="CasoMacro" localSheetId="11">#REF!</definedName>
    <definedName name="CasoMacro" localSheetId="12">#REF!</definedName>
    <definedName name="CasoMacro" localSheetId="13">#REF!</definedName>
    <definedName name="CasoMacro" localSheetId="14">#REF!</definedName>
    <definedName name="CasoMacro" localSheetId="15">#REF!</definedName>
    <definedName name="CasoMacro">#REF!</definedName>
    <definedName name="CCCC" localSheetId="10">#REF!</definedName>
    <definedName name="CCCC" localSheetId="11">#REF!</definedName>
    <definedName name="CCCC" localSheetId="12">#REF!</definedName>
    <definedName name="CCCC" localSheetId="13">#REF!</definedName>
    <definedName name="CCCC" localSheetId="14">#REF!</definedName>
    <definedName name="CCCC" localSheetId="15">#REF!</definedName>
    <definedName name="CCCC">#REF!</definedName>
    <definedName name="CCCCC" localSheetId="10">[5]NovasDivInput!#REF!</definedName>
    <definedName name="CCCCC" localSheetId="11">[5]NovasDivInput!#REF!</definedName>
    <definedName name="CCCCC" localSheetId="12">[5]NovasDivInput!#REF!</definedName>
    <definedName name="CCCCC" localSheetId="13">[5]NovasDivInput!#REF!</definedName>
    <definedName name="CCCCC" localSheetId="14">[5]NovasDivInput!#REF!</definedName>
    <definedName name="CCCCC" localSheetId="15">[5]NovasDivInput!#REF!</definedName>
    <definedName name="CCCCC">[5]NovasDivInput!#REF!</definedName>
    <definedName name="CDI" localSheetId="10">#REF!</definedName>
    <definedName name="CDI" localSheetId="11">#REF!</definedName>
    <definedName name="CDI" localSheetId="12">#REF!</definedName>
    <definedName name="CDI" localSheetId="13">#REF!</definedName>
    <definedName name="CDI" localSheetId="14">#REF!</definedName>
    <definedName name="CDI" localSheetId="15">#REF!</definedName>
    <definedName name="CDI">#REF!</definedName>
    <definedName name="CEV" localSheetId="10">#REF!</definedName>
    <definedName name="CEV" localSheetId="11">#REF!</definedName>
    <definedName name="CEV" localSheetId="12">#REF!</definedName>
    <definedName name="CEV" localSheetId="13">#REF!</definedName>
    <definedName name="CEV" localSheetId="14">#REF!</definedName>
    <definedName name="CEV" localSheetId="15">#REF!</definedName>
    <definedName name="CEV">#REF!</definedName>
    <definedName name="COMBINAÇÃO" localSheetId="10">#REF!</definedName>
    <definedName name="COMBINAÇÃO" localSheetId="11">#REF!</definedName>
    <definedName name="COMBINAÇÃO" localSheetId="12">#REF!</definedName>
    <definedName name="COMBINAÇÃO" localSheetId="13">#REF!</definedName>
    <definedName name="COMBINAÇÃO" localSheetId="14">#REF!</definedName>
    <definedName name="COMBINAÇÃO" localSheetId="15">#REF!</definedName>
    <definedName name="COMBINAÇÃO">#REF!</definedName>
    <definedName name="COMNEG" localSheetId="10">#REF!</definedName>
    <definedName name="COMNEG" localSheetId="11">#REF!</definedName>
    <definedName name="COMNEG" localSheetId="12">#REF!</definedName>
    <definedName name="COMNEG" localSheetId="13">#REF!</definedName>
    <definedName name="COMNEG" localSheetId="14">#REF!</definedName>
    <definedName name="COMNEG" localSheetId="15">#REF!</definedName>
    <definedName name="COMNEG">#REF!</definedName>
    <definedName name="COMNEG_1" localSheetId="10">#REF!</definedName>
    <definedName name="COMNEG_1" localSheetId="11">#REF!</definedName>
    <definedName name="COMNEG_1" localSheetId="12">#REF!</definedName>
    <definedName name="COMNEG_1" localSheetId="13">#REF!</definedName>
    <definedName name="COMNEG_1" localSheetId="14">#REF!</definedName>
    <definedName name="COMNEG_1" localSheetId="15">#REF!</definedName>
    <definedName name="COMNEG_1">#REF!</definedName>
    <definedName name="Corpus" localSheetId="10">'01. Income Statement'!Dom_Páscoa+60</definedName>
    <definedName name="Corpus" localSheetId="11">'02. BS'!Dom_Páscoa+60</definedName>
    <definedName name="Corpus" localSheetId="12">'03. CF'!Dom_Páscoa+60</definedName>
    <definedName name="Corpus" localSheetId="13">'04. EBITDA'!Dom_Páscoa+60</definedName>
    <definedName name="Corpus" localSheetId="14">'05. Net Debt'!Dom_Páscoa+60</definedName>
    <definedName name="Corpus" localSheetId="15">'06. Installed Capacity'!Dom_Páscoa+60</definedName>
    <definedName name="Corpus" localSheetId="1">Index!Dom_Páscoa+60</definedName>
    <definedName name="Corpus">[0]!Dom_Páscoa+60</definedName>
    <definedName name="CPI" localSheetId="10">#REF!</definedName>
    <definedName name="CPI" localSheetId="11">#REF!</definedName>
    <definedName name="CPI" localSheetId="12">#REF!</definedName>
    <definedName name="CPI" localSheetId="13">#REF!</definedName>
    <definedName name="CPI" localSheetId="14">#REF!</definedName>
    <definedName name="CPI" localSheetId="15">#REF!</definedName>
    <definedName name="CPI">#REF!</definedName>
    <definedName name="CXEQCX" localSheetId="10">#REF!</definedName>
    <definedName name="CXEQCX" localSheetId="11">#REF!</definedName>
    <definedName name="CXEQCX" localSheetId="12">#REF!</definedName>
    <definedName name="CXEQCX" localSheetId="13">#REF!</definedName>
    <definedName name="CXEQCX" localSheetId="14">#REF!</definedName>
    <definedName name="CXEQCX" localSheetId="15">#REF!</definedName>
    <definedName name="CXEQCX">#REF!</definedName>
    <definedName name="data" localSheetId="10">#REF!</definedName>
    <definedName name="data" localSheetId="11">#REF!</definedName>
    <definedName name="data" localSheetId="12">#REF!</definedName>
    <definedName name="data" localSheetId="13">#REF!</definedName>
    <definedName name="data" localSheetId="14">#REF!</definedName>
    <definedName name="data" localSheetId="15">#REF!</definedName>
    <definedName name="data">#REF!</definedName>
    <definedName name="DataAtaulização" localSheetId="10">#REF!</definedName>
    <definedName name="DataAtaulização" localSheetId="11">#REF!</definedName>
    <definedName name="DataAtaulização" localSheetId="12">#REF!</definedName>
    <definedName name="DataAtaulização" localSheetId="13">#REF!</definedName>
    <definedName name="DataAtaulização" localSheetId="14">#REF!</definedName>
    <definedName name="DataAtaulização" localSheetId="15">#REF!</definedName>
    <definedName name="DataAtaulização">#REF!</definedName>
    <definedName name="DataFim" localSheetId="10">#REF!</definedName>
    <definedName name="DataFim" localSheetId="11">#REF!</definedName>
    <definedName name="DataFim" localSheetId="12">#REF!</definedName>
    <definedName name="DataFim" localSheetId="13">#REF!</definedName>
    <definedName name="DataFim" localSheetId="14">#REF!</definedName>
    <definedName name="DataFim" localSheetId="15">#REF!</definedName>
    <definedName name="DataFim">#REF!</definedName>
    <definedName name="DataFinal">'[6]Input &amp; Macro'!$F$35:$FR$35</definedName>
    <definedName name="DataInicio" localSheetId="10">#REF!</definedName>
    <definedName name="DataInicio" localSheetId="11">#REF!</definedName>
    <definedName name="DataInicio" localSheetId="12">#REF!</definedName>
    <definedName name="DataInicio" localSheetId="13">#REF!</definedName>
    <definedName name="DataInicio" localSheetId="14">#REF!</definedName>
    <definedName name="DataInicio" localSheetId="15">#REF!</definedName>
    <definedName name="DataInicio">#REF!</definedName>
    <definedName name="DCLIREC" localSheetId="10">#REF!</definedName>
    <definedName name="DCLIREC" localSheetId="11">#REF!</definedName>
    <definedName name="DCLIREC" localSheetId="12">#REF!</definedName>
    <definedName name="DCLIREC" localSheetId="13">#REF!</definedName>
    <definedName name="DCLIREC" localSheetId="14">#REF!</definedName>
    <definedName name="DCLIREC" localSheetId="15">#REF!</definedName>
    <definedName name="DCLIREC">#REF!</definedName>
    <definedName name="DCLIREC_1" localSheetId="10">#REF!</definedName>
    <definedName name="DCLIREC_1" localSheetId="11">#REF!</definedName>
    <definedName name="DCLIREC_1" localSheetId="12">#REF!</definedName>
    <definedName name="DCLIREC_1" localSheetId="13">#REF!</definedName>
    <definedName name="DCLIREC_1" localSheetId="14">#REF!</definedName>
    <definedName name="DCLIREC_1" localSheetId="15">#REF!</definedName>
    <definedName name="DCLIREC_1">#REF!</definedName>
    <definedName name="DCLIREC_2" localSheetId="10">#REF!</definedName>
    <definedName name="DCLIREC_2" localSheetId="11">#REF!</definedName>
    <definedName name="DCLIREC_2" localSheetId="12">#REF!</definedName>
    <definedName name="DCLIREC_2" localSheetId="13">#REF!</definedName>
    <definedName name="DCLIREC_2" localSheetId="14">#REF!</definedName>
    <definedName name="DCLIREC_2" localSheetId="15">#REF!</definedName>
    <definedName name="DCLIREC_2">#REF!</definedName>
    <definedName name="Delta" localSheetId="10">#REF!</definedName>
    <definedName name="Delta" localSheetId="11">#REF!</definedName>
    <definedName name="Delta" localSheetId="12">#REF!</definedName>
    <definedName name="Delta" localSheetId="13">#REF!</definedName>
    <definedName name="Delta" localSheetId="14">#REF!</definedName>
    <definedName name="Delta" localSheetId="15">#REF!</definedName>
    <definedName name="Delta">#REF!</definedName>
    <definedName name="DEMJUD" localSheetId="10">#REF!</definedName>
    <definedName name="DEMJUD" localSheetId="11">#REF!</definedName>
    <definedName name="DEMJUD" localSheetId="12">#REF!</definedName>
    <definedName name="DEMJUD" localSheetId="13">#REF!</definedName>
    <definedName name="DEMJUD" localSheetId="14">#REF!</definedName>
    <definedName name="DEMJUD" localSheetId="15">#REF!</definedName>
    <definedName name="DEMJUD">#REF!</definedName>
    <definedName name="DEPJUD" localSheetId="10">#REF!</definedName>
    <definedName name="DEPJUD" localSheetId="11">#REF!</definedName>
    <definedName name="DEPJUD" localSheetId="12">#REF!</definedName>
    <definedName name="DEPJUD" localSheetId="13">#REF!</definedName>
    <definedName name="DEPJUD" localSheetId="14">#REF!</definedName>
    <definedName name="DEPJUD" localSheetId="15">#REF!</definedName>
    <definedName name="DEPJUD">#REF!</definedName>
    <definedName name="DEPJUD_1" localSheetId="10">#REF!</definedName>
    <definedName name="DEPJUD_1" localSheetId="11">#REF!</definedName>
    <definedName name="DEPJUD_1" localSheetId="12">#REF!</definedName>
    <definedName name="DEPJUD_1" localSheetId="13">#REF!</definedName>
    <definedName name="DEPJUD_1" localSheetId="14">#REF!</definedName>
    <definedName name="DEPJUD_1" localSheetId="15">#REF!</definedName>
    <definedName name="DEPJUD_1">#REF!</definedName>
    <definedName name="DEPJUD_MOV" localSheetId="10">#REF!</definedName>
    <definedName name="DEPJUD_MOV" localSheetId="11">#REF!</definedName>
    <definedName name="DEPJUD_MOV" localSheetId="12">#REF!</definedName>
    <definedName name="DEPJUD_MOV" localSheetId="13">#REF!</definedName>
    <definedName name="DEPJUD_MOV" localSheetId="14">#REF!</definedName>
    <definedName name="DEPJUD_MOV" localSheetId="15">#REF!</definedName>
    <definedName name="DEPJUD_MOV">#REF!</definedName>
    <definedName name="DEPRECIAÇÃO">[7]JAN!$O$199:$P$251</definedName>
    <definedName name="DESNAT" localSheetId="10">#REF!</definedName>
    <definedName name="DESNAT" localSheetId="11">#REF!</definedName>
    <definedName name="DESNAT" localSheetId="12">#REF!</definedName>
    <definedName name="DESNAT" localSheetId="13">#REF!</definedName>
    <definedName name="DESNAT" localSheetId="14">#REF!</definedName>
    <definedName name="DESNAT" localSheetId="15">#REF!</definedName>
    <definedName name="DESNAT">#REF!</definedName>
    <definedName name="DespFin">[2]BRGAAP!$E$38:$AX$38</definedName>
    <definedName name="destino_frete_natur" localSheetId="10">#REF!</definedName>
    <definedName name="destino_frete_natur" localSheetId="11">#REF!</definedName>
    <definedName name="destino_frete_natur" localSheetId="12">#REF!</definedName>
    <definedName name="destino_frete_natur" localSheetId="13">#REF!</definedName>
    <definedName name="destino_frete_natur" localSheetId="14">#REF!</definedName>
    <definedName name="destino_frete_natur" localSheetId="15">#REF!</definedName>
    <definedName name="destino_frete_natur">#REF!</definedName>
    <definedName name="DEZ_C">[1]DEZ!$A$1:$A$119</definedName>
    <definedName name="DEZ_DRE">[1]DEZ!$A$413:$A$929</definedName>
    <definedName name="DEZ_NC">[1]DEZ!$A$120:$A$200</definedName>
    <definedName name="DEZ_PC">[1]DEZ!$A$252:$A$344</definedName>
    <definedName name="DEZ_PNC">[1]DEZ!$A$345:$A$412</definedName>
    <definedName name="DEZ13_C">[1]DEZ13!$A$2:$B$128</definedName>
    <definedName name="DEZ13_DEP">[1]DEZ13!$A$213:$B$262</definedName>
    <definedName name="DEZ13_NC">[1]DEZ13!$A$129:$B$212</definedName>
    <definedName name="DEZ13_PC">[1]DEZ13!$A$263:$B$361</definedName>
    <definedName name="DEZ13_PNC">[1]DEZ13!$A$362:$B$441</definedName>
    <definedName name="DEZ14_AC">[1]DEZ14!$A$1:$B$119</definedName>
    <definedName name="DEZ14_ANC">[1]DEZ14!$A$120:$B$200</definedName>
    <definedName name="DEZ14_DEP">[1]DEZ14!$A$201:$B$251</definedName>
    <definedName name="DEZ14_PC">[1]DEZ14!$A$252:$B$344</definedName>
    <definedName name="DEZ14_PNC">[1]DEZ14!$A$345:$B$413</definedName>
    <definedName name="DFCA_2ITR">'[1]DFC Acumulado'!$A$521:$H$579</definedName>
    <definedName name="DFIN" localSheetId="10">#REF!</definedName>
    <definedName name="DFIN" localSheetId="11">#REF!</definedName>
    <definedName name="DFIN" localSheetId="12">#REF!</definedName>
    <definedName name="DFIN" localSheetId="13">#REF!</definedName>
    <definedName name="DFIN" localSheetId="14">#REF!</definedName>
    <definedName name="DFIN" localSheetId="15">#REF!</definedName>
    <definedName name="DFIN">#REF!</definedName>
    <definedName name="Dia_trab" localSheetId="10">DATE(ano,5,1)</definedName>
    <definedName name="Dia_trab" localSheetId="11">DATE(ano,5,1)</definedName>
    <definedName name="Dia_trab" localSheetId="12">DATE(ano,5,1)</definedName>
    <definedName name="Dia_trab" localSheetId="13">DATE(ano,5,1)</definedName>
    <definedName name="Dia_trab" localSheetId="14">DATE(ano,5,1)</definedName>
    <definedName name="Dia_trab" localSheetId="15">DATE(ano,5,1)</definedName>
    <definedName name="Dia_trab" localSheetId="1">DATE(ano,5,1)</definedName>
    <definedName name="Dia_trab">DATE(ano,5,1)</definedName>
    <definedName name="dias_ano" localSheetId="10">#REF!</definedName>
    <definedName name="dias_ano" localSheetId="11">#REF!</definedName>
    <definedName name="dias_ano" localSheetId="12">#REF!</definedName>
    <definedName name="dias_ano" localSheetId="13">#REF!</definedName>
    <definedName name="dias_ano" localSheetId="14">#REF!</definedName>
    <definedName name="dias_ano" localSheetId="15">#REF!</definedName>
    <definedName name="dias_ano">#REF!</definedName>
    <definedName name="Dias_no_Per" localSheetId="10">#REF!</definedName>
    <definedName name="Dias_no_Per" localSheetId="11">#REF!</definedName>
    <definedName name="Dias_no_Per" localSheetId="12">#REF!</definedName>
    <definedName name="Dias_no_Per" localSheetId="13">#REF!</definedName>
    <definedName name="Dias_no_Per" localSheetId="14">#REF!</definedName>
    <definedName name="Dias_no_Per" localSheetId="15">#REF!</definedName>
    <definedName name="Dias_no_Per">#REF!</definedName>
    <definedName name="DiasAno360">'[6]Input &amp; Macro'!$F$21</definedName>
    <definedName name="DividaLiquida">[2]BRGAAP!$E$17:$AX$17</definedName>
    <definedName name="DIVIDENDOS" localSheetId="10">#REF!</definedName>
    <definedName name="DIVIDENDOS" localSheetId="11">#REF!</definedName>
    <definedName name="DIVIDENDOS" localSheetId="12">#REF!</definedName>
    <definedName name="DIVIDENDOS" localSheetId="13">#REF!</definedName>
    <definedName name="DIVIDENDOS" localSheetId="14">#REF!</definedName>
    <definedName name="DIVIDENDOS" localSheetId="15">#REF!</definedName>
    <definedName name="DIVIDENDOS">#REF!</definedName>
    <definedName name="DMPL" localSheetId="10">#REF!</definedName>
    <definedName name="DMPL" localSheetId="11">#REF!</definedName>
    <definedName name="DMPL" localSheetId="12">#REF!</definedName>
    <definedName name="DMPL" localSheetId="13">#REF!</definedName>
    <definedName name="DMPL" localSheetId="14">#REF!</definedName>
    <definedName name="DMPL" localSheetId="15">#REF!</definedName>
    <definedName name="DMPL">#REF!</definedName>
    <definedName name="DMPL_1" localSheetId="10">#REF!</definedName>
    <definedName name="DMPL_1" localSheetId="11">#REF!</definedName>
    <definedName name="DMPL_1" localSheetId="12">#REF!</definedName>
    <definedName name="DMPL_1" localSheetId="13">#REF!</definedName>
    <definedName name="DMPL_1" localSheetId="14">#REF!</definedName>
    <definedName name="DMPL_1" localSheetId="15">#REF!</definedName>
    <definedName name="DMPL_1">#REF!</definedName>
    <definedName name="Dom_Carna" localSheetId="10">'01. Income Statement'!Dom_Páscoa-49</definedName>
    <definedName name="Dom_Carna" localSheetId="11">'02. BS'!Dom_Páscoa-49</definedName>
    <definedName name="Dom_Carna" localSheetId="12">'03. CF'!Dom_Páscoa-49</definedName>
    <definedName name="Dom_Carna" localSheetId="13">'04. EBITDA'!Dom_Páscoa-49</definedName>
    <definedName name="Dom_Carna" localSheetId="14">'05. Net Debt'!Dom_Páscoa-49</definedName>
    <definedName name="Dom_Carna" localSheetId="15">'06. Installed Capacity'!Dom_Páscoa-49</definedName>
    <definedName name="Dom_Carna" localSheetId="1">Index!Dom_Páscoa-49</definedName>
    <definedName name="Dom_Carna">[0]!Dom_Páscoa-49</definedName>
    <definedName name="Dom_Páscoa" localSheetId="10">FLOOR(DAY(MINUTE(ano/38)/2+56)&amp;"/5/"&amp;ano,7)-34</definedName>
    <definedName name="Dom_Páscoa" localSheetId="11">FLOOR(DAY(MINUTE(ano/38)/2+56)&amp;"/5/"&amp;ano,7)-34</definedName>
    <definedName name="Dom_Páscoa" localSheetId="12">FLOOR(DAY(MINUTE(ano/38)/2+56)&amp;"/5/"&amp;ano,7)-34</definedName>
    <definedName name="Dom_Páscoa" localSheetId="13">FLOOR(DAY(MINUTE(ano/38)/2+56)&amp;"/5/"&amp;ano,7)-34</definedName>
    <definedName name="Dom_Páscoa" localSheetId="14">FLOOR(DAY(MINUTE(ano/38)/2+56)&amp;"/5/"&amp;ano,7)-34</definedName>
    <definedName name="Dom_Páscoa" localSheetId="15">FLOOR(DAY(MINUTE(ano/38)/2+56)&amp;"/5/"&amp;ano,7)-34</definedName>
    <definedName name="Dom_Páscoa" localSheetId="1">FLOOR(DAY(MINUTE(ano/38)/2+56)&amp;"/5/"&amp;ano,7)-34</definedName>
    <definedName name="Dom_Páscoa">FLOOR(DAY(MINUTE(ano/38)/2+56)&amp;"/5/"&amp;ano,7)-34</definedName>
    <definedName name="DRA" localSheetId="10">#REF!</definedName>
    <definedName name="DRA" localSheetId="11">#REF!</definedName>
    <definedName name="DRA" localSheetId="12">#REF!</definedName>
    <definedName name="DRA" localSheetId="13">#REF!</definedName>
    <definedName name="DRA" localSheetId="14">#REF!</definedName>
    <definedName name="DRA" localSheetId="15">#REF!</definedName>
    <definedName name="DRA">#REF!</definedName>
    <definedName name="DRE" localSheetId="10">#REF!</definedName>
    <definedName name="DRE" localSheetId="11">#REF!</definedName>
    <definedName name="DRE" localSheetId="12">#REF!</definedName>
    <definedName name="DRE" localSheetId="13">#REF!</definedName>
    <definedName name="DRE" localSheetId="14">#REF!</definedName>
    <definedName name="DRE" localSheetId="15">#REF!</definedName>
    <definedName name="DRE">#REF!</definedName>
    <definedName name="DRE_2ITR">'[1]DRE Mensal'!$A$3:$L$535</definedName>
    <definedName name="DREA_1ITR">'[1]DRE Acumulado'!$A$3:$K$535</definedName>
    <definedName name="DREA_2ITR">'[1]DRE Acumulado'!$A$3:$L$535</definedName>
    <definedName name="dresrdssweaswea" localSheetId="10">#REF!</definedName>
    <definedName name="dresrdssweaswea" localSheetId="11">#REF!</definedName>
    <definedName name="dresrdssweaswea" localSheetId="12">#REF!</definedName>
    <definedName name="dresrdssweaswea" localSheetId="13">#REF!</definedName>
    <definedName name="dresrdssweaswea" localSheetId="14">#REF!</definedName>
    <definedName name="dresrdssweaswea" localSheetId="15">#REF!</definedName>
    <definedName name="dresrdssweaswea">#REF!</definedName>
    <definedName name="dv" localSheetId="10">DATE([0]!ano,1,1)</definedName>
    <definedName name="dv" localSheetId="11">DATE([0]!ano,1,1)</definedName>
    <definedName name="dv" localSheetId="12">DATE([0]!ano,1,1)</definedName>
    <definedName name="dv" localSheetId="13">DATE([0]!ano,1,1)</definedName>
    <definedName name="dv" localSheetId="14">DATE([0]!ano,1,1)</definedName>
    <definedName name="dv" localSheetId="15">DATE([0]!ano,1,1)</definedName>
    <definedName name="dv" localSheetId="1">DATE([0]!ano,1,1)</definedName>
    <definedName name="dv">DATE([0]!ano,1,1)</definedName>
    <definedName name="DVA" localSheetId="10">#REF!</definedName>
    <definedName name="DVA" localSheetId="11">#REF!</definedName>
    <definedName name="DVA" localSheetId="12">#REF!</definedName>
    <definedName name="DVA" localSheetId="13">#REF!</definedName>
    <definedName name="DVA" localSheetId="14">#REF!</definedName>
    <definedName name="DVA" localSheetId="15">#REF!</definedName>
    <definedName name="DVA">#REF!</definedName>
    <definedName name="EBITDA">[2]BRGAAP!$E$37:$AX$37</definedName>
    <definedName name="EMPFIN" localSheetId="10">#REF!</definedName>
    <definedName name="EMPFIN" localSheetId="11">#REF!</definedName>
    <definedName name="EMPFIN" localSheetId="12">#REF!</definedName>
    <definedName name="EMPFIN" localSheetId="13">#REF!</definedName>
    <definedName name="EMPFIN" localSheetId="14">#REF!</definedName>
    <definedName name="EMPFIN" localSheetId="15">#REF!</definedName>
    <definedName name="EMPFIN">#REF!</definedName>
    <definedName name="EMPFIN_1" localSheetId="10">#REF!</definedName>
    <definedName name="EMPFIN_1" localSheetId="11">#REF!</definedName>
    <definedName name="EMPFIN_1" localSheetId="12">#REF!</definedName>
    <definedName name="EMPFIN_1" localSheetId="13">#REF!</definedName>
    <definedName name="EMPFIN_1" localSheetId="14">#REF!</definedName>
    <definedName name="EMPFIN_1" localSheetId="15">#REF!</definedName>
    <definedName name="EMPFIN_1">#REF!</definedName>
    <definedName name="EMPFIN_2" localSheetId="10">#REF!</definedName>
    <definedName name="EMPFIN_2" localSheetId="11">#REF!</definedName>
    <definedName name="EMPFIN_2" localSheetId="12">#REF!</definedName>
    <definedName name="EMPFIN_2" localSheetId="13">#REF!</definedName>
    <definedName name="EMPFIN_2" localSheetId="14">#REF!</definedName>
    <definedName name="EMPFIN_2" localSheetId="15">#REF!</definedName>
    <definedName name="EMPFIN_2">#REF!</definedName>
    <definedName name="ETQ" localSheetId="10">#REF!</definedName>
    <definedName name="ETQ" localSheetId="11">#REF!</definedName>
    <definedName name="ETQ" localSheetId="12">#REF!</definedName>
    <definedName name="ETQ" localSheetId="13">#REF!</definedName>
    <definedName name="ETQ" localSheetId="14">#REF!</definedName>
    <definedName name="ETQ" localSheetId="15">#REF!</definedName>
    <definedName name="ETQ">#REF!</definedName>
    <definedName name="ETQ_1" localSheetId="10">#REF!</definedName>
    <definedName name="ETQ_1" localSheetId="11">#REF!</definedName>
    <definedName name="ETQ_1" localSheetId="12">#REF!</definedName>
    <definedName name="ETQ_1" localSheetId="13">#REF!</definedName>
    <definedName name="ETQ_1" localSheetId="14">#REF!</definedName>
    <definedName name="ETQ_1" localSheetId="15">#REF!</definedName>
    <definedName name="ETQ_1">#REF!</definedName>
    <definedName name="fer">'[3]Feriados (2)'!$A$2:$AG$13</definedName>
    <definedName name="FEV_C">[1]FEV!$A$2:$B$111</definedName>
    <definedName name="FEV_DEP">[1]FEV!$A$188:$B$238</definedName>
    <definedName name="FEV_DRE">[1]FEV!$A$395:$B$800</definedName>
    <definedName name="FEV_NC">[1]FEV!$A$112:$B$187</definedName>
    <definedName name="FEV_PC">[1]FEV!$A$239:$B$328</definedName>
    <definedName name="FEV_PNC">[1]FEV!$A$329:$B$394</definedName>
    <definedName name="Finados" localSheetId="10">DATE(ano,11,2)</definedName>
    <definedName name="Finados" localSheetId="11">DATE(ano,11,2)</definedName>
    <definedName name="Finados" localSheetId="12">DATE(ano,11,2)</definedName>
    <definedName name="Finados" localSheetId="13">DATE(ano,11,2)</definedName>
    <definedName name="Finados" localSheetId="14">DATE(ano,11,2)</definedName>
    <definedName name="Finados" localSheetId="15">DATE(ano,11,2)</definedName>
    <definedName name="Finados" localSheetId="1">DATE(ano,11,2)</definedName>
    <definedName name="Finados">DATE(ano,11,2)</definedName>
    <definedName name="Finasa" localSheetId="10">#REF!</definedName>
    <definedName name="Finasa" localSheetId="11">#REF!</definedName>
    <definedName name="Finasa" localSheetId="12">#REF!</definedName>
    <definedName name="Finasa" localSheetId="13">#REF!</definedName>
    <definedName name="Finasa" localSheetId="14">#REF!</definedName>
    <definedName name="Finasa" localSheetId="15">#REF!</definedName>
    <definedName name="Finasa">#REF!</definedName>
    <definedName name="frete" localSheetId="10">#REF!</definedName>
    <definedName name="frete" localSheetId="11">#REF!</definedName>
    <definedName name="frete" localSheetId="12">#REF!</definedName>
    <definedName name="frete" localSheetId="13">#REF!</definedName>
    <definedName name="frete" localSheetId="14">#REF!</definedName>
    <definedName name="frete" localSheetId="15">#REF!</definedName>
    <definedName name="frete">#REF!</definedName>
    <definedName name="FullPath">CELL("filename")</definedName>
    <definedName name="GCAPITAL" localSheetId="10">#REF!</definedName>
    <definedName name="GCAPITAL" localSheetId="11">#REF!</definedName>
    <definedName name="GCAPITAL" localSheetId="12">#REF!</definedName>
    <definedName name="GCAPITAL" localSheetId="13">#REF!</definedName>
    <definedName name="GCAPITAL" localSheetId="14">#REF!</definedName>
    <definedName name="GCAPITAL" localSheetId="15">#REF!</definedName>
    <definedName name="GCAPITAL">#REF!</definedName>
    <definedName name="GCAPITAL1" localSheetId="10">#REF!</definedName>
    <definedName name="GCAPITAL1" localSheetId="11">#REF!</definedName>
    <definedName name="GCAPITAL1" localSheetId="12">#REF!</definedName>
    <definedName name="GCAPITAL1" localSheetId="13">#REF!</definedName>
    <definedName name="GCAPITAL1" localSheetId="14">#REF!</definedName>
    <definedName name="GCAPITAL1" localSheetId="15">#REF!</definedName>
    <definedName name="GCAPITAL1">#REF!</definedName>
    <definedName name="gfdrt" localSheetId="10">[8]IOF!#REF!</definedName>
    <definedName name="gfdrt" localSheetId="11">[8]IOF!#REF!</definedName>
    <definedName name="gfdrt" localSheetId="12">[8]IOF!#REF!</definedName>
    <definedName name="gfdrt" localSheetId="13">[8]IOF!#REF!</definedName>
    <definedName name="gfdrt" localSheetId="14">[8]IOF!#REF!</definedName>
    <definedName name="gfdrt" localSheetId="15">[8]IOF!#REF!</definedName>
    <definedName name="gfdrt">[8]IOF!#REF!</definedName>
    <definedName name="ghifdidu" localSheetId="10">#REF!</definedName>
    <definedName name="ghifdidu" localSheetId="11">#REF!</definedName>
    <definedName name="ghifdidu" localSheetId="12">#REF!</definedName>
    <definedName name="ghifdidu" localSheetId="13">#REF!</definedName>
    <definedName name="ghifdidu" localSheetId="14">#REF!</definedName>
    <definedName name="ghifdidu" localSheetId="15">#REF!</definedName>
    <definedName name="ghifdidu">#REF!</definedName>
    <definedName name="grgrgrgrgrgrgrg" localSheetId="10">[8]IOF!#REF!</definedName>
    <definedName name="grgrgrgrgrgrgrg" localSheetId="11">[8]IOF!#REF!</definedName>
    <definedName name="grgrgrgrgrgrgrg" localSheetId="12">[8]IOF!#REF!</definedName>
    <definedName name="grgrgrgrgrgrgrg" localSheetId="13">[8]IOF!#REF!</definedName>
    <definedName name="grgrgrgrgrgrgrg" localSheetId="14">[8]IOF!#REF!</definedName>
    <definedName name="grgrgrgrgrgrgrg" localSheetId="15">[8]IOF!#REF!</definedName>
    <definedName name="grgrgrgrgrgrgrg">[8]IOF!#REF!</definedName>
    <definedName name="grupo4" localSheetId="10">#REF!</definedName>
    <definedName name="grupo4" localSheetId="11">#REF!</definedName>
    <definedName name="grupo4" localSheetId="12">#REF!</definedName>
    <definedName name="grupo4" localSheetId="13">#REF!</definedName>
    <definedName name="grupo4" localSheetId="14">#REF!</definedName>
    <definedName name="grupo4" localSheetId="15">#REF!</definedName>
    <definedName name="grupo4">#REF!</definedName>
    <definedName name="hora" localSheetId="10">#REF!</definedName>
    <definedName name="hora" localSheetId="11">#REF!</definedName>
    <definedName name="hora" localSheetId="12">#REF!</definedName>
    <definedName name="hora" localSheetId="13">#REF!</definedName>
    <definedName name="hora" localSheetId="14">#REF!</definedName>
    <definedName name="hora" localSheetId="15">#REF!</definedName>
    <definedName name="hora">#REF!</definedName>
    <definedName name="HTML_CodePage" hidden="1">1252</definedName>
    <definedName name="HTML_Email" hidden="1">""</definedName>
    <definedName name="HTML_Header" hidden="1">"FEV"</definedName>
    <definedName name="HTML_LastUpdate" hidden="1">"29/03/1999"</definedName>
    <definedName name="HTML_LineAfter" hidden="1">FALSE</definedName>
    <definedName name="HTML_LineBefore" hidden="1">FALSE</definedName>
    <definedName name="HTML_Name" hidden="1">"Adeilson Fernandes Bento - FICO"</definedName>
    <definedName name="HTML_OBDlg2" hidden="1">TRUE</definedName>
    <definedName name="HTML_OBDlg4" hidden="1">TRUE</definedName>
    <definedName name="HTML_OS" hidden="1">0</definedName>
    <definedName name="HTML_PathFile" hidden="1">"C:\Meus documentos\MeuHTML.htm"</definedName>
    <definedName name="HTML_Title" hidden="1">"DEPREC"</definedName>
    <definedName name="IGPM" localSheetId="10">#REF!</definedName>
    <definedName name="IGPM" localSheetId="11">#REF!</definedName>
    <definedName name="IGPM" localSheetId="12">#REF!</definedName>
    <definedName name="IGPM" localSheetId="13">#REF!</definedName>
    <definedName name="IGPM" localSheetId="14">#REF!</definedName>
    <definedName name="IGPM" localSheetId="15">#REF!</definedName>
    <definedName name="IGPM">#REF!</definedName>
    <definedName name="IGPM_acum" localSheetId="10">#REF!</definedName>
    <definedName name="IGPM_acum" localSheetId="11">#REF!</definedName>
    <definedName name="IGPM_acum" localSheetId="12">#REF!</definedName>
    <definedName name="IGPM_acum" localSheetId="13">#REF!</definedName>
    <definedName name="IGPM_acum" localSheetId="14">#REF!</definedName>
    <definedName name="IGPM_acum" localSheetId="15">#REF!</definedName>
    <definedName name="IGPM_acum">#REF!</definedName>
    <definedName name="IMOB" localSheetId="10">#REF!</definedName>
    <definedName name="IMOB" localSheetId="11">#REF!</definedName>
    <definedName name="IMOB" localSheetId="12">#REF!</definedName>
    <definedName name="IMOB" localSheetId="13">#REF!</definedName>
    <definedName name="IMOB" localSheetId="14">#REF!</definedName>
    <definedName name="IMOB" localSheetId="15">#REF!</definedName>
    <definedName name="IMOB">#REF!</definedName>
    <definedName name="IMPREC" localSheetId="10">#REF!</definedName>
    <definedName name="IMPREC" localSheetId="11">#REF!</definedName>
    <definedName name="IMPREC" localSheetId="12">#REF!</definedName>
    <definedName name="IMPREC" localSheetId="13">#REF!</definedName>
    <definedName name="IMPREC" localSheetId="14">#REF!</definedName>
    <definedName name="IMPREC" localSheetId="15">#REF!</definedName>
    <definedName name="IMPREC">#REF!</definedName>
    <definedName name="IMPRECUP" localSheetId="10">#REF!</definedName>
    <definedName name="IMPRECUP" localSheetId="11">#REF!</definedName>
    <definedName name="IMPRECUP" localSheetId="12">#REF!</definedName>
    <definedName name="IMPRECUP" localSheetId="13">#REF!</definedName>
    <definedName name="IMPRECUP" localSheetId="14">#REF!</definedName>
    <definedName name="IMPRECUP" localSheetId="15">#REF!</definedName>
    <definedName name="IMPRECUP">#REF!</definedName>
    <definedName name="Indep_Nac" localSheetId="10">DATE(ano,9,7)</definedName>
    <definedName name="Indep_Nac" localSheetId="11">DATE(ano,9,7)</definedName>
    <definedName name="Indep_Nac" localSheetId="12">DATE(ano,9,7)</definedName>
    <definedName name="Indep_Nac" localSheetId="13">DATE(ano,9,7)</definedName>
    <definedName name="Indep_Nac" localSheetId="14">DATE(ano,9,7)</definedName>
    <definedName name="Indep_Nac" localSheetId="15">DATE(ano,9,7)</definedName>
    <definedName name="Indep_Nac" localSheetId="1">DATE(ano,9,7)</definedName>
    <definedName name="Indep_Nac">DATE(ano,9,7)</definedName>
    <definedName name="iNDEX" localSheetId="15">[0]!Dom_Páscoa+60</definedName>
    <definedName name="iNDEX">[0]!Dom_Páscoa+60</definedName>
    <definedName name="IndexFator" localSheetId="10">#REF!</definedName>
    <definedName name="IndexFator" localSheetId="11">#REF!</definedName>
    <definedName name="IndexFator" localSheetId="12">#REF!</definedName>
    <definedName name="IndexFator" localSheetId="13">#REF!</definedName>
    <definedName name="IndexFator" localSheetId="14">#REF!</definedName>
    <definedName name="IndexFator" localSheetId="15">#REF!</definedName>
    <definedName name="IndexFator">#REF!</definedName>
    <definedName name="IndexNomes" localSheetId="10">#REF!</definedName>
    <definedName name="IndexNomes" localSheetId="11">#REF!</definedName>
    <definedName name="IndexNomes" localSheetId="12">#REF!</definedName>
    <definedName name="IndexNomes" localSheetId="13">#REF!</definedName>
    <definedName name="IndexNomes" localSheetId="14">#REF!</definedName>
    <definedName name="IndexNomes" localSheetId="15">#REF!</definedName>
    <definedName name="IndexNomes">#REF!</definedName>
    <definedName name="INDEXNOMES2" localSheetId="10">#REF!</definedName>
    <definedName name="INDEXNOMES2" localSheetId="11">#REF!</definedName>
    <definedName name="INDEXNOMES2" localSheetId="12">#REF!</definedName>
    <definedName name="INDEXNOMES2" localSheetId="13">#REF!</definedName>
    <definedName name="INDEXNOMES2" localSheetId="14">#REF!</definedName>
    <definedName name="INDEXNOMES2" localSheetId="15">#REF!</definedName>
    <definedName name="INDEXNOMES2">#REF!</definedName>
    <definedName name="INS_FIN" localSheetId="10">#REF!</definedName>
    <definedName name="INS_FIN" localSheetId="11">#REF!</definedName>
    <definedName name="INS_FIN" localSheetId="12">#REF!</definedName>
    <definedName name="INS_FIN" localSheetId="13">#REF!</definedName>
    <definedName name="INS_FIN" localSheetId="14">#REF!</definedName>
    <definedName name="INS_FIN" localSheetId="15">#REF!</definedName>
    <definedName name="INS_FIN">#REF!</definedName>
    <definedName name="INSTFIN" localSheetId="10">#REF!</definedName>
    <definedName name="INSTFIN" localSheetId="11">#REF!</definedName>
    <definedName name="INSTFIN" localSheetId="12">#REF!</definedName>
    <definedName name="INSTFIN" localSheetId="13">#REF!</definedName>
    <definedName name="INSTFIN" localSheetId="14">#REF!</definedName>
    <definedName name="INSTFIN" localSheetId="15">#REF!</definedName>
    <definedName name="INSTFIN">#REF!</definedName>
    <definedName name="INSTFIN_1" localSheetId="10">#REF!</definedName>
    <definedName name="INSTFIN_1" localSheetId="11">#REF!</definedName>
    <definedName name="INSTFIN_1" localSheetId="12">#REF!</definedName>
    <definedName name="INSTFIN_1" localSheetId="13">#REF!</definedName>
    <definedName name="INSTFIN_1" localSheetId="14">#REF!</definedName>
    <definedName name="INSTFIN_1" localSheetId="15">#REF!</definedName>
    <definedName name="INSTFIN_1">#REF!</definedName>
    <definedName name="INSTFIN_2" localSheetId="10">#REF!</definedName>
    <definedName name="INSTFIN_2" localSheetId="11">#REF!</definedName>
    <definedName name="INSTFIN_2" localSheetId="12">#REF!</definedName>
    <definedName name="INSTFIN_2" localSheetId="13">#REF!</definedName>
    <definedName name="INSTFIN_2" localSheetId="14">#REF!</definedName>
    <definedName name="INSTFIN_2" localSheetId="15">#REF!</definedName>
    <definedName name="INSTFIN_2">#REF!</definedName>
    <definedName name="INTANGIVEL" localSheetId="10">#REF!</definedName>
    <definedName name="INTANGIVEL" localSheetId="11">#REF!</definedName>
    <definedName name="INTANGIVEL" localSheetId="12">#REF!</definedName>
    <definedName name="INTANGIVEL" localSheetId="13">#REF!</definedName>
    <definedName name="INTANGIVEL" localSheetId="14">#REF!</definedName>
    <definedName name="INTANGIVEL" localSheetId="15">#REF!</definedName>
    <definedName name="INTANGIVEL">#REF!</definedName>
    <definedName name="INV_2" localSheetId="10">#REF!</definedName>
    <definedName name="INV_2" localSheetId="11">#REF!</definedName>
    <definedName name="INV_2" localSheetId="12">#REF!</definedName>
    <definedName name="INV_2" localSheetId="13">#REF!</definedName>
    <definedName name="INV_2" localSheetId="14">#REF!</definedName>
    <definedName name="INV_2" localSheetId="15">#REF!</definedName>
    <definedName name="INV_2">#REF!</definedName>
    <definedName name="INVSUB" localSheetId="10">#REF!</definedName>
    <definedName name="INVSUB" localSheetId="11">#REF!</definedName>
    <definedName name="INVSUB" localSheetId="12">#REF!</definedName>
    <definedName name="INVSUB" localSheetId="13">#REF!</definedName>
    <definedName name="INVSUB" localSheetId="14">#REF!</definedName>
    <definedName name="INVSUB" localSheetId="15">#REF!</definedName>
    <definedName name="INVSUB">#REF!</definedName>
    <definedName name="INVSUB_1" localSheetId="10">#REF!</definedName>
    <definedName name="INVSUB_1" localSheetId="11">#REF!</definedName>
    <definedName name="INVSUB_1" localSheetId="12">#REF!</definedName>
    <definedName name="INVSUB_1" localSheetId="13">#REF!</definedName>
    <definedName name="INVSUB_1" localSheetId="14">#REF!</definedName>
    <definedName name="INVSUB_1" localSheetId="15">#REF!</definedName>
    <definedName name="INVSUB_1">#REF!</definedName>
    <definedName name="INVSUB_2" localSheetId="10">#REF!</definedName>
    <definedName name="INVSUB_2" localSheetId="11">#REF!</definedName>
    <definedName name="INVSUB_2" localSheetId="12">#REF!</definedName>
    <definedName name="INVSUB_2" localSheetId="13">#REF!</definedName>
    <definedName name="INVSUB_2" localSheetId="14">#REF!</definedName>
    <definedName name="INVSUB_2" localSheetId="15">#REF!</definedName>
    <definedName name="INVSUB_2">#REF!</definedName>
    <definedName name="INVSUB_3" localSheetId="10">#REF!</definedName>
    <definedName name="INVSUB_3" localSheetId="11">#REF!</definedName>
    <definedName name="INVSUB_3" localSheetId="12">#REF!</definedName>
    <definedName name="INVSUB_3" localSheetId="13">#REF!</definedName>
    <definedName name="INVSUB_3" localSheetId="14">#REF!</definedName>
    <definedName name="INVSUB_3" localSheetId="15">#REF!</definedName>
    <definedName name="INVSUB_3">#REF!</definedName>
    <definedName name="INVSUB_4" localSheetId="10">#REF!</definedName>
    <definedName name="INVSUB_4" localSheetId="11">#REF!</definedName>
    <definedName name="INVSUB_4" localSheetId="12">#REF!</definedName>
    <definedName name="INVSUB_4" localSheetId="13">#REF!</definedName>
    <definedName name="INVSUB_4" localSheetId="14">#REF!</definedName>
    <definedName name="INVSUB_4" localSheetId="15">#REF!</definedName>
    <definedName name="INVSUB_4">#REF!</definedName>
    <definedName name="IOF" localSheetId="10">[9]IOF!#REF!</definedName>
    <definedName name="IOF" localSheetId="11">[9]IOF!#REF!</definedName>
    <definedName name="IOF" localSheetId="12">[9]IOF!#REF!</definedName>
    <definedName name="IOF" localSheetId="13">[9]IOF!#REF!</definedName>
    <definedName name="IOF" localSheetId="14">[9]IOF!#REF!</definedName>
    <definedName name="IOF" localSheetId="15">[9]IOF!#REF!</definedName>
    <definedName name="IOF">[9]IOF!#REF!</definedName>
    <definedName name="IstAnos" localSheetId="10">OFFSET(#REF!,0,1,1,COUNTA(#REF!)-1)</definedName>
    <definedName name="IstAnos" localSheetId="11">OFFSET(#REF!,0,1,1,COUNTA(#REF!)-1)</definedName>
    <definedName name="IstAnos" localSheetId="12">OFFSET(#REF!,0,1,1,COUNTA(#REF!)-1)</definedName>
    <definedName name="IstAnos" localSheetId="13">OFFSET(#REF!,0,1,1,COUNTA(#REF!)-1)</definedName>
    <definedName name="IstAnos" localSheetId="14">OFFSET(#REF!,0,1,1,COUNTA(#REF!)-1)</definedName>
    <definedName name="IstAnos" localSheetId="15">OFFSET(#REF!,0,1,1,COUNTA(#REF!)-1)</definedName>
    <definedName name="IstAnos" localSheetId="4">OFFSET(#REF!,0,1,1,COUNTA(#REF!)-1)</definedName>
    <definedName name="IstAnos" localSheetId="3">OFFSET(#REF!,0,1,1,COUNTA(#REF!)-1)</definedName>
    <definedName name="IstAnos" localSheetId="2">OFFSET(#REF!,0,1,1,COUNTA(#REF!)-1)</definedName>
    <definedName name="IstAnos" localSheetId="0">OFFSET(#REF!,0,1,1,COUNTA(#REF!)-1)</definedName>
    <definedName name="IstAnos">OFFSET(#REF!,0,1,1,COUNTA(#REF!)-1)</definedName>
    <definedName name="JAN_AC">[1]JAN!$A$2:$B$104</definedName>
    <definedName name="JAN_ANC">[1]JAN!$A$105:$B$180</definedName>
    <definedName name="JAN_DEP">[1]JAN!$A$181:$B$231</definedName>
    <definedName name="JAN_DRE">[1]JAN!$A$387:$B$800</definedName>
    <definedName name="JAN_PC">[1]JAN!$A$232:$B$320</definedName>
    <definedName name="JAN_PNC">[1]JAN!$A$321:$B$387</definedName>
    <definedName name="jgiu" localSheetId="10">#REF!</definedName>
    <definedName name="jgiu" localSheetId="11">#REF!</definedName>
    <definedName name="jgiu" localSheetId="12">#REF!</definedName>
    <definedName name="jgiu" localSheetId="13">#REF!</definedName>
    <definedName name="jgiu" localSheetId="14">#REF!</definedName>
    <definedName name="jgiu" localSheetId="15">#REF!</definedName>
    <definedName name="jgiu">#REF!</definedName>
    <definedName name="JUL_C">[1]JUL!$A$2:$B$119</definedName>
    <definedName name="JUL_DEP">[1]JUL!$A$179:$B$250</definedName>
    <definedName name="JUL_DRE">[1]JUL!$A$418:$B$912</definedName>
    <definedName name="JUL_NC">[1]JUL!$A$120:$B$200</definedName>
    <definedName name="JUL_PC">[1]JUL!$A$251:$B$346</definedName>
    <definedName name="JUL_PNC">[1]JUL!$A$347:$B$417</definedName>
    <definedName name="JUN_C">[1]JUN!$A$2:$B$99</definedName>
    <definedName name="JUN_DEP">[1]JUN!$A$179:$B$229</definedName>
    <definedName name="JUN_DRE">[1]JUN!$A$404:$B$900</definedName>
    <definedName name="JUN_NC">[1]JUN!$A$100:$B$178</definedName>
    <definedName name="JUN_PC">[1]JUN!$A$230:$B$336</definedName>
    <definedName name="JUN_PNC">[1]JUN!$A$336:$B$403</definedName>
    <definedName name="LDILUIDO" localSheetId="10">#REF!</definedName>
    <definedName name="LDILUIDO" localSheetId="11">#REF!</definedName>
    <definedName name="LDILUIDO" localSheetId="12">#REF!</definedName>
    <definedName name="LDILUIDO" localSheetId="13">#REF!</definedName>
    <definedName name="LDILUIDO" localSheetId="14">#REF!</definedName>
    <definedName name="LDILUIDO" localSheetId="15">#REF!</definedName>
    <definedName name="LDILUIDO">#REF!</definedName>
    <definedName name="Libor" localSheetId="10">#REF!</definedName>
    <definedName name="Libor" localSheetId="11">#REF!</definedName>
    <definedName name="Libor" localSheetId="12">#REF!</definedName>
    <definedName name="Libor" localSheetId="13">#REF!</definedName>
    <definedName name="Libor" localSheetId="14">#REF!</definedName>
    <definedName name="Libor" localSheetId="15">#REF!</definedName>
    <definedName name="Libor">#REF!</definedName>
    <definedName name="lIBOR2" localSheetId="10">#REF!</definedName>
    <definedName name="lIBOR2" localSheetId="11">#REF!</definedName>
    <definedName name="lIBOR2" localSheetId="12">#REF!</definedName>
    <definedName name="lIBOR2" localSheetId="13">#REF!</definedName>
    <definedName name="lIBOR2" localSheetId="14">#REF!</definedName>
    <definedName name="lIBOR2" localSheetId="15">#REF!</definedName>
    <definedName name="lIBOR2">#REF!</definedName>
    <definedName name="lstMétricas" localSheetId="10">OFFSET(#REF!,0,0,COUNTA(#REF!))</definedName>
    <definedName name="lstMétricas" localSheetId="11">OFFSET(#REF!,0,0,COUNTA(#REF!))</definedName>
    <definedName name="lstMétricas" localSheetId="12">OFFSET(#REF!,0,0,COUNTA(#REF!))</definedName>
    <definedName name="lstMétricas" localSheetId="13">OFFSET(#REF!,0,0,COUNTA(#REF!))</definedName>
    <definedName name="lstMétricas" localSheetId="14">OFFSET(#REF!,0,0,COUNTA(#REF!))</definedName>
    <definedName name="lstMétricas" localSheetId="15">OFFSET(#REF!,0,0,COUNTA(#REF!))</definedName>
    <definedName name="lstMétricas" localSheetId="4">OFFSET(#REF!,0,0,COUNTA(#REF!))</definedName>
    <definedName name="lstMétricas" localSheetId="3">OFFSET(#REF!,0,0,COUNTA(#REF!))</definedName>
    <definedName name="lstMétricas" localSheetId="2">OFFSET(#REF!,0,0,COUNTA(#REF!))</definedName>
    <definedName name="lstMétricas" localSheetId="0">OFFSET(#REF!,0,0,COUNTA(#REF!))</definedName>
    <definedName name="lstMétricas">OFFSET(#REF!,0,0,COUNTA(#REF!))</definedName>
    <definedName name="MAI_C">[1]MAI!$A$1:$B$101</definedName>
    <definedName name="MAI_DEP">[1]MAI!$A$181:$B$231</definedName>
    <definedName name="MAI_DRE">[1]MAI!$A$403:$B$900</definedName>
    <definedName name="MAI_NC">[1]MAI!$A$102:$B$180</definedName>
    <definedName name="MAI_PC">[1]MAI!$A$232:$B$335</definedName>
    <definedName name="MAI_PNC">[1]MAI!$A$336:$B$402</definedName>
    <definedName name="manutenção" localSheetId="10">#REF!</definedName>
    <definedName name="manutenção" localSheetId="11">#REF!</definedName>
    <definedName name="manutenção" localSheetId="12">#REF!</definedName>
    <definedName name="manutenção" localSheetId="13">#REF!</definedName>
    <definedName name="manutenção" localSheetId="14">#REF!</definedName>
    <definedName name="manutenção" localSheetId="15">#REF!</definedName>
    <definedName name="manutenção">#REF!</definedName>
    <definedName name="MAR_C">[1]MAR!$A$1:$B$105</definedName>
    <definedName name="MAR_DEP">[1]MAR!$A$185:$B$235</definedName>
    <definedName name="MAR_DRE">[1]MAR!$A$405:$B$929</definedName>
    <definedName name="MAR_NC">[1]MAR!$A$106:$B$184</definedName>
    <definedName name="MAR_PC">[1]MAR!$A$236:$B$338</definedName>
    <definedName name="MAR_PNC">[1]MAR!$A$339:$B$404</definedName>
    <definedName name="meses_per" localSheetId="10">#REF!</definedName>
    <definedName name="meses_per" localSheetId="11">#REF!</definedName>
    <definedName name="meses_per" localSheetId="12">#REF!</definedName>
    <definedName name="meses_per" localSheetId="13">#REF!</definedName>
    <definedName name="meses_per" localSheetId="14">#REF!</definedName>
    <definedName name="meses_per" localSheetId="15">#REF!</definedName>
    <definedName name="meses_per">#REF!</definedName>
    <definedName name="mesesAno" localSheetId="10">#REF!</definedName>
    <definedName name="mesesAno" localSheetId="11">#REF!</definedName>
    <definedName name="mesesAno" localSheetId="12">#REF!</definedName>
    <definedName name="mesesAno" localSheetId="13">#REF!</definedName>
    <definedName name="mesesAno" localSheetId="14">#REF!</definedName>
    <definedName name="mesesAno" localSheetId="15">#REF!</definedName>
    <definedName name="mesesAno">#REF!</definedName>
    <definedName name="MetodoRep" localSheetId="10">[5]NovasDivInput!#REF!</definedName>
    <definedName name="MetodoRep" localSheetId="11">[5]NovasDivInput!#REF!</definedName>
    <definedName name="MetodoRep" localSheetId="12">[5]NovasDivInput!#REF!</definedName>
    <definedName name="MetodoRep" localSheetId="13">[5]NovasDivInput!#REF!</definedName>
    <definedName name="MetodoRep" localSheetId="14">[5]NovasDivInput!#REF!</definedName>
    <definedName name="MetodoRep" localSheetId="15">[5]NovasDivInput!#REF!</definedName>
    <definedName name="MetodoRep">[5]NovasDivInput!#REF!</definedName>
    <definedName name="Mil" localSheetId="10">#REF!</definedName>
    <definedName name="Mil" localSheetId="11">#REF!</definedName>
    <definedName name="Mil" localSheetId="12">#REF!</definedName>
    <definedName name="Mil" localSheetId="13">#REF!</definedName>
    <definedName name="Mil" localSheetId="14">#REF!</definedName>
    <definedName name="Mil" localSheetId="15">#REF!</definedName>
    <definedName name="Mil">#REF!</definedName>
    <definedName name="na" localSheetId="10">#REF!</definedName>
    <definedName name="na" localSheetId="11">#REF!</definedName>
    <definedName name="na" localSheetId="12">#REF!</definedName>
    <definedName name="na" localSheetId="13">#REF!</definedName>
    <definedName name="na" localSheetId="14">#REF!</definedName>
    <definedName name="na" localSheetId="15">#REF!</definedName>
    <definedName name="na">#REF!</definedName>
    <definedName name="NATA" localSheetId="10">[8]IOF!#REF!</definedName>
    <definedName name="NATA" localSheetId="11">[8]IOF!#REF!</definedName>
    <definedName name="NATA" localSheetId="12">[8]IOF!#REF!</definedName>
    <definedName name="NATA" localSheetId="13">[8]IOF!#REF!</definedName>
    <definedName name="NATA" localSheetId="14">[8]IOF!#REF!</definedName>
    <definedName name="NATA" localSheetId="15">[8]IOF!#REF!</definedName>
    <definedName name="NATA">[8]IOF!#REF!</definedName>
    <definedName name="Natal" localSheetId="10">DATE(ano,12,25)</definedName>
    <definedName name="Natal" localSheetId="11">DATE(ano,12,25)</definedName>
    <definedName name="Natal" localSheetId="12">DATE(ano,12,25)</definedName>
    <definedName name="Natal" localSheetId="13">DATE(ano,12,25)</definedName>
    <definedName name="Natal" localSheetId="14">DATE(ano,12,25)</definedName>
    <definedName name="Natal" localSheetId="15">DATE(ano,12,25)</definedName>
    <definedName name="Natal" localSheetId="1">DATE(ano,12,25)</definedName>
    <definedName name="Natal">DATE(ano,12,25)</definedName>
    <definedName name="natana" localSheetId="10">#REF!</definedName>
    <definedName name="natana" localSheetId="11">#REF!</definedName>
    <definedName name="natana" localSheetId="12">#REF!</definedName>
    <definedName name="natana" localSheetId="13">#REF!</definedName>
    <definedName name="natana" localSheetId="14">#REF!</definedName>
    <definedName name="natana" localSheetId="15">#REF!</definedName>
    <definedName name="natana">#REF!</definedName>
    <definedName name="Nome_indicadores" localSheetId="10">#REF!</definedName>
    <definedName name="Nome_indicadores" localSheetId="11">#REF!</definedName>
    <definedName name="Nome_indicadores" localSheetId="12">#REF!</definedName>
    <definedName name="Nome_indicadores" localSheetId="13">#REF!</definedName>
    <definedName name="Nome_indicadores" localSheetId="14">#REF!</definedName>
    <definedName name="Nome_indicadores" localSheetId="15">#REF!</definedName>
    <definedName name="Nome_indicadores">#REF!</definedName>
    <definedName name="NomeDividas" localSheetId="10">[5]NovasDivInput!#REF!</definedName>
    <definedName name="NomeDividas" localSheetId="11">[5]NovasDivInput!#REF!</definedName>
    <definedName name="NomeDividas" localSheetId="12">[5]NovasDivInput!#REF!</definedName>
    <definedName name="NomeDividas" localSheetId="13">[5]NovasDivInput!#REF!</definedName>
    <definedName name="NomeDividas" localSheetId="14">[5]NovasDivInput!#REF!</definedName>
    <definedName name="NomeDividas" localSheetId="15">[5]NovasDivInput!#REF!</definedName>
    <definedName name="NomeDividas">[5]NovasDivInput!#REF!</definedName>
    <definedName name="NomeDividas2" localSheetId="10">#REF!</definedName>
    <definedName name="NomeDividas2" localSheetId="11">#REF!</definedName>
    <definedName name="NomeDividas2" localSheetId="12">#REF!</definedName>
    <definedName name="NomeDividas2" localSheetId="13">#REF!</definedName>
    <definedName name="NomeDividas2" localSheetId="14">#REF!</definedName>
    <definedName name="NomeDividas2" localSheetId="15">#REF!</definedName>
    <definedName name="NomeDividas2">#REF!</definedName>
    <definedName name="NoMesesPeriodicidade" localSheetId="10">[5]NovasDivInput!#REF!</definedName>
    <definedName name="NoMesesPeriodicidade" localSheetId="11">[5]NovasDivInput!#REF!</definedName>
    <definedName name="NoMesesPeriodicidade" localSheetId="12">[5]NovasDivInput!#REF!</definedName>
    <definedName name="NoMesesPeriodicidade" localSheetId="13">[5]NovasDivInput!#REF!</definedName>
    <definedName name="NoMesesPeriodicidade" localSheetId="14">[5]NovasDivInput!#REF!</definedName>
    <definedName name="NoMesesPeriodicidade" localSheetId="15">[5]NovasDivInput!#REF!</definedName>
    <definedName name="NoMesesPeriodicidade">[5]NovasDivInput!#REF!</definedName>
    <definedName name="Noper" localSheetId="10">#REF!</definedName>
    <definedName name="Noper" localSheetId="11">#REF!</definedName>
    <definedName name="Noper" localSheetId="12">#REF!</definedName>
    <definedName name="Noper" localSheetId="13">#REF!</definedName>
    <definedName name="Noper" localSheetId="14">#REF!</definedName>
    <definedName name="Noper" localSheetId="15">#REF!</definedName>
    <definedName name="Noper">#REF!</definedName>
    <definedName name="Nossa_Senhora" localSheetId="10">DATE(ano,10,12)</definedName>
    <definedName name="Nossa_Senhora" localSheetId="11">DATE(ano,10,12)</definedName>
    <definedName name="Nossa_Senhora" localSheetId="12">DATE(ano,10,12)</definedName>
    <definedName name="Nossa_Senhora" localSheetId="13">DATE(ano,10,12)</definedName>
    <definedName name="Nossa_Senhora" localSheetId="14">DATE(ano,10,12)</definedName>
    <definedName name="Nossa_Senhora" localSheetId="15">DATE(ano,10,12)</definedName>
    <definedName name="Nossa_Senhora" localSheetId="1">DATE(ano,10,12)</definedName>
    <definedName name="Nossa_Senhora">DATE(ano,10,12)</definedName>
    <definedName name="NoTrim" localSheetId="10">#REF!</definedName>
    <definedName name="NoTrim" localSheetId="11">#REF!</definedName>
    <definedName name="NoTrim" localSheetId="12">#REF!</definedName>
    <definedName name="NoTrim" localSheetId="13">#REF!</definedName>
    <definedName name="NoTrim" localSheetId="14">#REF!</definedName>
    <definedName name="NoTrim" localSheetId="15">#REF!</definedName>
    <definedName name="NoTrim">#REF!</definedName>
    <definedName name="NOV_C">[1]NOV!$A$1:$A$105</definedName>
    <definedName name="NOV_DRE">[1]NOV!$A$417:$A$919</definedName>
    <definedName name="NOV_NC">[1]NOV!$A$106:$A$188</definedName>
    <definedName name="NOV_PC">[1]NOV!$A$241:$A$349</definedName>
    <definedName name="NOV_PNC">[1]NOV!$A$350:$A$416</definedName>
    <definedName name="num_pedido" localSheetId="10">#REF!</definedName>
    <definedName name="num_pedido" localSheetId="11">#REF!</definedName>
    <definedName name="num_pedido" localSheetId="12">#REF!</definedName>
    <definedName name="num_pedido" localSheetId="13">#REF!</definedName>
    <definedName name="num_pedido" localSheetId="14">#REF!</definedName>
    <definedName name="num_pedido" localSheetId="15">#REF!</definedName>
    <definedName name="num_pedido">#REF!</definedName>
    <definedName name="num_tot_pedido" localSheetId="10">#REF!</definedName>
    <definedName name="num_tot_pedido" localSheetId="11">#REF!</definedName>
    <definedName name="num_tot_pedido" localSheetId="12">#REF!</definedName>
    <definedName name="num_tot_pedido" localSheetId="13">#REF!</definedName>
    <definedName name="num_tot_pedido" localSheetId="14">#REF!</definedName>
    <definedName name="num_tot_pedido" localSheetId="15">#REF!</definedName>
    <definedName name="num_tot_pedido">#REF!</definedName>
    <definedName name="OATIVOS" localSheetId="10">#REF!</definedName>
    <definedName name="OATIVOS" localSheetId="11">#REF!</definedName>
    <definedName name="OATIVOS" localSheetId="12">#REF!</definedName>
    <definedName name="OATIVOS" localSheetId="13">#REF!</definedName>
    <definedName name="OATIVOS" localSheetId="14">#REF!</definedName>
    <definedName name="OATIVOS" localSheetId="15">#REF!</definedName>
    <definedName name="OATIVOS">#REF!</definedName>
    <definedName name="ODESP_R" localSheetId="10">#REF!</definedName>
    <definedName name="ODESP_R" localSheetId="11">#REF!</definedName>
    <definedName name="ODESP_R" localSheetId="12">#REF!</definedName>
    <definedName name="ODESP_R" localSheetId="13">#REF!</definedName>
    <definedName name="ODESP_R" localSheetId="14">#REF!</definedName>
    <definedName name="ODESP_R" localSheetId="15">#REF!</definedName>
    <definedName name="ODESP_R">#REF!</definedName>
    <definedName name="OPASSIVOS" localSheetId="10">#REF!</definedName>
    <definedName name="OPASSIVOS" localSheetId="11">#REF!</definedName>
    <definedName name="OPASSIVOS" localSheetId="12">#REF!</definedName>
    <definedName name="OPASSIVOS" localSheetId="13">#REF!</definedName>
    <definedName name="OPASSIVOS" localSheetId="14">#REF!</definedName>
    <definedName name="OPASSIVOS" localSheetId="15">#REF!</definedName>
    <definedName name="OPASSIVOS">#REF!</definedName>
    <definedName name="OUT_C">[1]OUT!$A$1:$B$106</definedName>
    <definedName name="OUT_DEP">[1]OUT!$A$188:$B$237</definedName>
    <definedName name="OUT_DRE">[1]OUT!$A$414:$B$915</definedName>
    <definedName name="OUT_NC">[1]OUT!$A$107:$B$187</definedName>
    <definedName name="OUT_PC">[1]OUT!$A$238:$B$346</definedName>
    <definedName name="OUT_PNC">[1]OUT!$A$347:$B$413</definedName>
    <definedName name="P_Cristo" localSheetId="10">'01. Income Statement'!Dom_Páscoa-2</definedName>
    <definedName name="P_Cristo" localSheetId="11">'02. BS'!Dom_Páscoa-2</definedName>
    <definedName name="P_Cristo" localSheetId="12">'03. CF'!Dom_Páscoa-2</definedName>
    <definedName name="P_Cristo" localSheetId="13">'04. EBITDA'!Dom_Páscoa-2</definedName>
    <definedName name="P_Cristo" localSheetId="14">'05. Net Debt'!Dom_Páscoa-2</definedName>
    <definedName name="P_Cristo" localSheetId="15">'06. Installed Capacity'!Dom_Páscoa-2</definedName>
    <definedName name="P_Cristo" localSheetId="1">Index!Dom_Páscoa-2</definedName>
    <definedName name="P_Cristo">[0]!Dom_Páscoa-2</definedName>
    <definedName name="P_Rep" localSheetId="10">DATE(ano,11,15)</definedName>
    <definedName name="P_Rep" localSheetId="11">DATE(ano,11,15)</definedName>
    <definedName name="P_Rep" localSheetId="12">DATE(ano,11,15)</definedName>
    <definedName name="P_Rep" localSheetId="13">DATE(ano,11,15)</definedName>
    <definedName name="P_Rep" localSheetId="14">DATE(ano,11,15)</definedName>
    <definedName name="P_Rep" localSheetId="15">DATE(ano,11,15)</definedName>
    <definedName name="P_Rep" localSheetId="1">DATE(ano,11,15)</definedName>
    <definedName name="P_Rep">DATE(ano,11,15)</definedName>
    <definedName name="PassivoCirc">[2]BRGAAP!$E$42:$AX$42</definedName>
    <definedName name="Per_Ano" localSheetId="10">#REF!</definedName>
    <definedName name="Per_Ano" localSheetId="11">#REF!</definedName>
    <definedName name="Per_Ano" localSheetId="12">#REF!</definedName>
    <definedName name="Per_Ano" localSheetId="13">#REF!</definedName>
    <definedName name="Per_Ano" localSheetId="14">#REF!</definedName>
    <definedName name="Per_Ano" localSheetId="15">#REF!</definedName>
    <definedName name="Per_Ano">#REF!</definedName>
    <definedName name="Periodicidade" localSheetId="10">[5]NovasDivInput!#REF!</definedName>
    <definedName name="Periodicidade" localSheetId="11">[5]NovasDivInput!#REF!</definedName>
    <definedName name="Periodicidade" localSheetId="12">[5]NovasDivInput!#REF!</definedName>
    <definedName name="Periodicidade" localSheetId="13">[5]NovasDivInput!#REF!</definedName>
    <definedName name="Periodicidade" localSheetId="14">[5]NovasDivInput!#REF!</definedName>
    <definedName name="Periodicidade" localSheetId="15">[5]NovasDivInput!#REF!</definedName>
    <definedName name="Periodicidade">[5]NovasDivInput!#REF!</definedName>
    <definedName name="PLAjust">[2]BRGAAP!$E$20:$AX$20</definedName>
    <definedName name="Poli01">'[10]BNDES - Politeno'!$D$7:$N$75</definedName>
    <definedName name="QCAFIN" localSheetId="10">#REF!</definedName>
    <definedName name="QCAFIN" localSheetId="11">#REF!</definedName>
    <definedName name="QCAFIN" localSheetId="12">#REF!</definedName>
    <definedName name="QCAFIN" localSheetId="13">#REF!</definedName>
    <definedName name="QCAFIN" localSheetId="14">#REF!</definedName>
    <definedName name="QCAFIN" localSheetId="15">#REF!</definedName>
    <definedName name="QCAFIN">#REF!</definedName>
    <definedName name="R_Euro_TFim" localSheetId="10">#REF!</definedName>
    <definedName name="R_Euro_TFim" localSheetId="11">#REF!</definedName>
    <definedName name="R_Euro_TFim" localSheetId="12">#REF!</definedName>
    <definedName name="R_Euro_TFim" localSheetId="13">#REF!</definedName>
    <definedName name="R_Euro_TFim" localSheetId="14">#REF!</definedName>
    <definedName name="R_Euro_TFim" localSheetId="15">#REF!</definedName>
    <definedName name="R_Euro_TFim">#REF!</definedName>
    <definedName name="R_Euro_TMed" localSheetId="10">#REF!</definedName>
    <definedName name="R_Euro_TMed" localSheetId="11">#REF!</definedName>
    <definedName name="R_Euro_TMed" localSheetId="12">#REF!</definedName>
    <definedName name="R_Euro_TMed" localSheetId="13">#REF!</definedName>
    <definedName name="R_Euro_TMed" localSheetId="14">#REF!</definedName>
    <definedName name="R_Euro_TMed" localSheetId="15">#REF!</definedName>
    <definedName name="R_Euro_TMed">#REF!</definedName>
    <definedName name="R_US_TFim" localSheetId="10">#REF!</definedName>
    <definedName name="R_US_TFim" localSheetId="11">#REF!</definedName>
    <definedName name="R_US_TFim" localSheetId="12">#REF!</definedName>
    <definedName name="R_US_TFim" localSheetId="13">#REF!</definedName>
    <definedName name="R_US_TFim" localSheetId="14">#REF!</definedName>
    <definedName name="R_US_TFim" localSheetId="15">#REF!</definedName>
    <definedName name="R_US_TFim">#REF!</definedName>
    <definedName name="R_US_TMed" localSheetId="10">#REF!</definedName>
    <definedName name="R_US_TMed" localSheetId="11">#REF!</definedName>
    <definedName name="R_US_TMed" localSheetId="12">#REF!</definedName>
    <definedName name="R_US_TMed" localSheetId="13">#REF!</definedName>
    <definedName name="R_US_TMed" localSheetId="14">#REF!</definedName>
    <definedName name="R_US_TMed" localSheetId="15">#REF!</definedName>
    <definedName name="R_US_TMed">#REF!</definedName>
    <definedName name="RCAMBIAL" localSheetId="10">#REF!</definedName>
    <definedName name="RCAMBIAL" localSheetId="11">#REF!</definedName>
    <definedName name="RCAMBIAL" localSheetId="12">#REF!</definedName>
    <definedName name="RCAMBIAL" localSheetId="13">#REF!</definedName>
    <definedName name="RCAMBIAL" localSheetId="14">#REF!</definedName>
    <definedName name="RCAMBIAL" localSheetId="15">#REF!</definedName>
    <definedName name="RCAMBIAL">#REF!</definedName>
    <definedName name="RecFin">[2]BRGAAP!$E$39:$AX$39</definedName>
    <definedName name="RECLIQ" localSheetId="10">#REF!</definedName>
    <definedName name="RECLIQ" localSheetId="11">#REF!</definedName>
    <definedName name="RECLIQ" localSheetId="12">#REF!</definedName>
    <definedName name="RECLIQ" localSheetId="13">#REF!</definedName>
    <definedName name="RECLIQ" localSheetId="14">#REF!</definedName>
    <definedName name="RECLIQ" localSheetId="15">#REF!</definedName>
    <definedName name="RECLIQ">#REF!</definedName>
    <definedName name="RESULPACAO" localSheetId="10">#REF!</definedName>
    <definedName name="RESULPACAO" localSheetId="11">#REF!</definedName>
    <definedName name="RESULPACAO" localSheetId="12">#REF!</definedName>
    <definedName name="RESULPACAO" localSheetId="13">#REF!</definedName>
    <definedName name="RESULPACAO" localSheetId="14">#REF!</definedName>
    <definedName name="RESULPACAO" localSheetId="15">#REF!</definedName>
    <definedName name="RESULPACAO">#REF!</definedName>
    <definedName name="RFIN" localSheetId="10">#REF!</definedName>
    <definedName name="RFIN" localSheetId="11">#REF!</definedName>
    <definedName name="RFIN" localSheetId="12">#REF!</definedName>
    <definedName name="RFIN" localSheetId="13">#REF!</definedName>
    <definedName name="RFIN" localSheetId="14">#REF!</definedName>
    <definedName name="RFIN" localSheetId="15">#REF!</definedName>
    <definedName name="RFIN">#REF!</definedName>
    <definedName name="saldos" localSheetId="10">#REF!</definedName>
    <definedName name="saldos" localSheetId="11">#REF!</definedName>
    <definedName name="saldos" localSheetId="12">#REF!</definedName>
    <definedName name="saldos" localSheetId="13">#REF!</definedName>
    <definedName name="saldos" localSheetId="14">#REF!</definedName>
    <definedName name="saldos" localSheetId="15">#REF!</definedName>
    <definedName name="saldos">#REF!</definedName>
    <definedName name="Seg_Carna" localSheetId="10">'01. Income Statement'!Dom_Páscoa-48</definedName>
    <definedName name="Seg_Carna" localSheetId="11">'02. BS'!Dom_Páscoa-48</definedName>
    <definedName name="Seg_Carna" localSheetId="12">'03. CF'!Dom_Páscoa-48</definedName>
    <definedName name="Seg_Carna" localSheetId="13">'04. EBITDA'!Dom_Páscoa-48</definedName>
    <definedName name="Seg_Carna" localSheetId="14">'05. Net Debt'!Dom_Páscoa-48</definedName>
    <definedName name="Seg_Carna" localSheetId="15">'06. Installed Capacity'!Dom_Páscoa-48</definedName>
    <definedName name="Seg_Carna" localSheetId="1">Index!Dom_Páscoa-48</definedName>
    <definedName name="Seg_Carna">[0]!Dom_Páscoa-48</definedName>
    <definedName name="SET_C">[1]SET!$A$2:$B$107</definedName>
    <definedName name="SET_DEP">[1]SET!$A$187:$B$236</definedName>
    <definedName name="SET_DRE">[1]SET!$A$416:$B$1100</definedName>
    <definedName name="SET_NC">[1]SET!$A$108:$B$186</definedName>
    <definedName name="SET_PC">[1]SET!$A$237:$B$344</definedName>
    <definedName name="SET_PNC">[1]SET!$A$345:$B$415</definedName>
    <definedName name="Tabela_Taxa" localSheetId="10">L3C11:L12C11</definedName>
    <definedName name="Tabela_Taxa" localSheetId="11">L3C11:L12C11</definedName>
    <definedName name="Tabela_Taxa" localSheetId="12">L3C11:L12C11</definedName>
    <definedName name="Tabela_Taxa" localSheetId="13">L3C11:L12C11</definedName>
    <definedName name="Tabela_Taxa" localSheetId="14">L3C11:L12C11</definedName>
    <definedName name="Tabela_Taxa" localSheetId="15">L3C11:L12C11</definedName>
    <definedName name="Tabela_Taxa" localSheetId="1">L3C11:L12C11</definedName>
    <definedName name="Tabela_Taxa">L3C11:L12C11</definedName>
    <definedName name="Ter_Carna" localSheetId="10">'01. Income Statement'!Dom_Páscoa-47</definedName>
    <definedName name="Ter_Carna" localSheetId="11">'02. BS'!Dom_Páscoa-47</definedName>
    <definedName name="Ter_Carna" localSheetId="12">'03. CF'!Dom_Páscoa-47</definedName>
    <definedName name="Ter_Carna" localSheetId="13">'04. EBITDA'!Dom_Páscoa-47</definedName>
    <definedName name="Ter_Carna" localSheetId="14">'05. Net Debt'!Dom_Páscoa-47</definedName>
    <definedName name="Ter_Carna" localSheetId="15">'06. Installed Capacity'!Dom_Páscoa-47</definedName>
    <definedName name="Ter_Carna" localSheetId="1">Index!Dom_Páscoa-47</definedName>
    <definedName name="Ter_Carna">[0]!Dom_Páscoa-47</definedName>
    <definedName name="TextRefCopyRangeCount" hidden="1">1</definedName>
    <definedName name="Tipo_juros" localSheetId="10">[4]NovasDivInput!#REF!</definedName>
    <definedName name="Tipo_juros" localSheetId="11">[4]NovasDivInput!#REF!</definedName>
    <definedName name="Tipo_juros" localSheetId="12">[4]NovasDivInput!#REF!</definedName>
    <definedName name="Tipo_juros" localSheetId="13">[4]NovasDivInput!#REF!</definedName>
    <definedName name="Tipo_juros" localSheetId="14">[4]NovasDivInput!#REF!</definedName>
    <definedName name="Tipo_juros" localSheetId="15">[4]NovasDivInput!#REF!</definedName>
    <definedName name="Tipo_juros">[4]NovasDivInput!#REF!</definedName>
    <definedName name="TipoTxJuros">'[11]Input&amp;Macro'!$A$56:$A$61</definedName>
    <definedName name="Tiradentes" localSheetId="10">DATE(ano,4,21)</definedName>
    <definedName name="Tiradentes" localSheetId="11">DATE(ano,4,21)</definedName>
    <definedName name="Tiradentes" localSheetId="12">DATE(ano,4,21)</definedName>
    <definedName name="Tiradentes" localSheetId="13">DATE(ano,4,21)</definedName>
    <definedName name="Tiradentes" localSheetId="14">DATE(ano,4,21)</definedName>
    <definedName name="Tiradentes" localSheetId="15">DATE(ano,4,21)</definedName>
    <definedName name="Tiradentes" localSheetId="1">DATE(ano,4,21)</definedName>
    <definedName name="Tiradentes">DATE(ano,4,21)</definedName>
    <definedName name="TJLP_base" localSheetId="10">[5]FinCalc!#REF!</definedName>
    <definedName name="TJLP_base" localSheetId="11">[5]FinCalc!#REF!</definedName>
    <definedName name="TJLP_base" localSheetId="12">[5]FinCalc!#REF!</definedName>
    <definedName name="TJLP_base" localSheetId="13">[5]FinCalc!#REF!</definedName>
    <definedName name="TJLP_base" localSheetId="14">[5]FinCalc!#REF!</definedName>
    <definedName name="TJLP_base" localSheetId="15">[5]FinCalc!#REF!</definedName>
    <definedName name="TJLP_base">[5]FinCalc!#REF!</definedName>
    <definedName name="TJLP_base_per" localSheetId="10">[4]FinCalc!#REF!</definedName>
    <definedName name="TJLP_base_per" localSheetId="11">[4]FinCalc!#REF!</definedName>
    <definedName name="TJLP_base_per" localSheetId="12">[4]FinCalc!#REF!</definedName>
    <definedName name="TJLP_base_per" localSheetId="13">[4]FinCalc!#REF!</definedName>
    <definedName name="TJLP_base_per" localSheetId="14">[4]FinCalc!#REF!</definedName>
    <definedName name="TJLP_base_per" localSheetId="15">[4]FinCalc!#REF!</definedName>
    <definedName name="TJLP_base_per">[4]FinCalc!#REF!</definedName>
    <definedName name="TxJuros">'[11]Input&amp;Macro'!$F$56:$FR$61</definedName>
    <definedName name="UC_2">'[1]BP analitico_062015'!$C$10:$K$2830</definedName>
    <definedName name="UC_3">'[1]BP analitico_062015'!$D$10:$K$2830</definedName>
    <definedName name="UC_4">'[1]BP analitico_062015'!$F$10:$K$2830</definedName>
    <definedName name="UC_5">'[1]BP analitico_062015'!$G$10:$K$2830</definedName>
    <definedName name="UC_6">'[1]BP analitico_062015'!$H$10:$K$2830</definedName>
    <definedName name="USD_R_Final">'[11]Input&amp;Macro'!$F$62:$FR$62</definedName>
    <definedName name="VC_US_Tfim" localSheetId="10">[4]FinCalc!#REF!</definedName>
    <definedName name="VC_US_Tfim" localSheetId="11">[4]FinCalc!#REF!</definedName>
    <definedName name="VC_US_Tfim" localSheetId="12">[4]FinCalc!#REF!</definedName>
    <definedName name="VC_US_Tfim" localSheetId="13">[4]FinCalc!#REF!</definedName>
    <definedName name="VC_US_Tfim" localSheetId="14">[4]FinCalc!#REF!</definedName>
    <definedName name="VC_US_Tfim" localSheetId="15">[4]FinCalc!#REF!</definedName>
    <definedName name="VC_US_Tfim">[4]FinCalc!#REF!</definedName>
    <definedName name="VC_US_Tmed" localSheetId="10">[4]FinCalc!#REF!</definedName>
    <definedName name="VC_US_Tmed" localSheetId="11">[4]FinCalc!#REF!</definedName>
    <definedName name="VC_US_Tmed" localSheetId="12">[4]FinCalc!#REF!</definedName>
    <definedName name="VC_US_Tmed" localSheetId="13">[4]FinCalc!#REF!</definedName>
    <definedName name="VC_US_Tmed" localSheetId="14">[4]FinCalc!#REF!</definedName>
    <definedName name="VC_US_Tmed" localSheetId="15">[4]FinCalc!#REF!</definedName>
    <definedName name="VC_US_Tmed">[4]FinCalc!#REF!</definedName>
    <definedName name="w" hidden="1">{#N/A,#N/A,FALSE,"ATIVO-CI";#N/A,#N/A,FALSE,"PASSIVO-CI";#N/A,#N/A,FALSE,"RESULT-CI"}</definedName>
    <definedName name="wrn.integral." hidden="1">{#N/A,#N/A,FALSE,"ATIVO-CI";#N/A,#N/A,FALSE,"PASSIVO-CI";#N/A,#N/A,FALSE,"RESULT-CI"}</definedName>
    <definedName name="wrn.societaria." hidden="1">{#N/A,#N/A,FALSE,"ATIVO-LEG";#N/A,#N/A,FALSE,"PASSIVO-LEG";#N/A,#N/A,FALSE,"RESULT-LEG"}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1" l="1"/>
  <c r="D18" i="11"/>
  <c r="D11" i="11"/>
  <c r="D21" i="11" s="1"/>
  <c r="D25" i="11" s="1"/>
  <c r="D27" i="11" s="1"/>
  <c r="C17" i="13"/>
  <c r="G91" i="56"/>
  <c r="G80" i="56"/>
  <c r="G62" i="56"/>
  <c r="G48" i="56"/>
  <c r="G64" i="56" s="1"/>
  <c r="G66" i="56" s="1"/>
  <c r="G93" i="56" s="1"/>
  <c r="G95" i="56" s="1"/>
  <c r="C94" i="56"/>
  <c r="C91" i="56"/>
  <c r="C80" i="56"/>
  <c r="C56" i="56"/>
  <c r="C62" i="56" s="1"/>
  <c r="C48" i="56"/>
  <c r="C64" i="56" s="1"/>
  <c r="C66" i="56" s="1"/>
  <c r="C93" i="56" s="1"/>
  <c r="C95" i="56" s="1"/>
  <c r="C61" i="55"/>
  <c r="C57" i="55"/>
  <c r="C50" i="55"/>
  <c r="C49" i="55"/>
  <c r="C40" i="55"/>
  <c r="C38" i="55"/>
  <c r="C37" i="55"/>
  <c r="C22" i="55"/>
  <c r="C21" i="55"/>
  <c r="C13" i="55"/>
  <c r="C12" i="55"/>
  <c r="C14" i="54"/>
  <c r="C22" i="54" s="1"/>
  <c r="C24" i="54" s="1"/>
  <c r="C26" i="54" s="1"/>
  <c r="D25" i="60"/>
  <c r="D19" i="60"/>
  <c r="D11" i="60"/>
  <c r="C17" i="64"/>
  <c r="G88" i="63"/>
  <c r="G78" i="63"/>
  <c r="G61" i="63"/>
  <c r="G49" i="63"/>
  <c r="G63" i="63" s="1"/>
  <c r="G65" i="63" s="1"/>
  <c r="C92" i="63"/>
  <c r="C88" i="63"/>
  <c r="C78" i="63"/>
  <c r="C61" i="63"/>
  <c r="C16" i="63"/>
  <c r="C49" i="63" s="1"/>
  <c r="C63" i="63" s="1"/>
  <c r="C65" i="63" s="1"/>
  <c r="C91" i="63" s="1"/>
  <c r="C93" i="63" s="1"/>
  <c r="C56" i="59"/>
  <c r="C49" i="59"/>
  <c r="C48" i="59"/>
  <c r="C38" i="59"/>
  <c r="C36" i="59"/>
  <c r="C35" i="59" s="1"/>
  <c r="C22" i="59"/>
  <c r="C21" i="59"/>
  <c r="C13" i="59"/>
  <c r="C12" i="59" s="1"/>
  <c r="C14" i="62"/>
  <c r="C19" i="62" s="1"/>
  <c r="C21" i="62" s="1"/>
  <c r="C23" i="62" s="1"/>
  <c r="AX17" i="62"/>
  <c r="AR17" i="62"/>
  <c r="AN17" i="62"/>
  <c r="Z17" i="62"/>
  <c r="Y17" i="62"/>
  <c r="AT17" i="62"/>
  <c r="AS17" i="62"/>
  <c r="G55" i="59"/>
  <c r="E55" i="59"/>
  <c r="D55" i="59"/>
  <c r="G29" i="59"/>
  <c r="AO29" i="59"/>
  <c r="AN29" i="59"/>
  <c r="AO22" i="59"/>
  <c r="AK22" i="59"/>
  <c r="AN22" i="59"/>
  <c r="AM22" i="59"/>
  <c r="AL22" i="59"/>
  <c r="G91" i="63" l="1"/>
  <c r="G93" i="63" s="1"/>
  <c r="D24" i="60"/>
  <c r="D28" i="60" s="1"/>
  <c r="D30" i="60" s="1"/>
  <c r="C16" i="18"/>
  <c r="E24" i="11" l="1"/>
  <c r="E22" i="11" s="1"/>
  <c r="E18" i="11"/>
  <c r="E11" i="11"/>
  <c r="E21" i="11" s="1"/>
  <c r="E25" i="11" s="1"/>
  <c r="E27" i="11" s="1"/>
  <c r="D17" i="13"/>
  <c r="H91" i="56"/>
  <c r="H80" i="56"/>
  <c r="H62" i="56"/>
  <c r="H48" i="56"/>
  <c r="H64" i="56" s="1"/>
  <c r="H66" i="56" s="1"/>
  <c r="H93" i="56" s="1"/>
  <c r="H95" i="56" s="1"/>
  <c r="D91" i="56"/>
  <c r="D80" i="56"/>
  <c r="D62" i="56"/>
  <c r="D48" i="56"/>
  <c r="D64" i="56" s="1"/>
  <c r="D66" i="56" s="1"/>
  <c r="D93" i="56" s="1"/>
  <c r="D95" i="56" s="1"/>
  <c r="D61" i="55"/>
  <c r="D57" i="55" s="1"/>
  <c r="D56" i="55"/>
  <c r="D49" i="55" s="1"/>
  <c r="D54" i="55"/>
  <c r="D43" i="55"/>
  <c r="D38" i="55"/>
  <c r="D22" i="55"/>
  <c r="D21" i="55" s="1"/>
  <c r="D13" i="55"/>
  <c r="D14" i="54"/>
  <c r="D22" i="54" s="1"/>
  <c r="D24" i="54" s="1"/>
  <c r="D26" i="54" s="1"/>
  <c r="D16" i="18"/>
  <c r="E27" i="60"/>
  <c r="E25" i="60"/>
  <c r="E19" i="60"/>
  <c r="E11" i="60"/>
  <c r="D17" i="64"/>
  <c r="H88" i="63"/>
  <c r="H78" i="63"/>
  <c r="H61" i="63"/>
  <c r="H49" i="63"/>
  <c r="H63" i="63" s="1"/>
  <c r="H65" i="63" s="1"/>
  <c r="H91" i="63" s="1"/>
  <c r="H93" i="63" s="1"/>
  <c r="D88" i="63"/>
  <c r="D78" i="63"/>
  <c r="D61" i="63"/>
  <c r="D49" i="63"/>
  <c r="D63" i="63" s="1"/>
  <c r="D65" i="63" s="1"/>
  <c r="D91" i="63" s="1"/>
  <c r="D93" i="63" s="1"/>
  <c r="D60" i="59"/>
  <c r="D56" i="59" s="1"/>
  <c r="D54" i="59"/>
  <c r="D48" i="59"/>
  <c r="D36" i="59"/>
  <c r="D22" i="59"/>
  <c r="D21" i="59" s="1"/>
  <c r="D13" i="59"/>
  <c r="D14" i="62"/>
  <c r="D19" i="62" s="1"/>
  <c r="D21" i="62" s="1"/>
  <c r="D23" i="62" s="1"/>
  <c r="F22" i="11"/>
  <c r="F18" i="11"/>
  <c r="F11" i="11"/>
  <c r="F21" i="11" s="1"/>
  <c r="F17" i="13"/>
  <c r="E17" i="13"/>
  <c r="E91" i="56"/>
  <c r="E80" i="56"/>
  <c r="E62" i="56"/>
  <c r="E42" i="56"/>
  <c r="E16" i="56"/>
  <c r="E48" i="56" s="1"/>
  <c r="E61" i="55"/>
  <c r="E57" i="55"/>
  <c r="E56" i="55"/>
  <c r="E54" i="55"/>
  <c r="E43" i="55"/>
  <c r="E38" i="55"/>
  <c r="E33" i="55"/>
  <c r="E24" i="55"/>
  <c r="E22" i="55"/>
  <c r="E21" i="55" s="1"/>
  <c r="E20" i="55"/>
  <c r="E16" i="55"/>
  <c r="E13" i="55" s="1"/>
  <c r="F14" i="54"/>
  <c r="F22" i="54" s="1"/>
  <c r="F24" i="54" s="1"/>
  <c r="F26" i="54" s="1"/>
  <c r="E14" i="54"/>
  <c r="E22" i="54" s="1"/>
  <c r="E24" i="54" s="1"/>
  <c r="E26" i="54" s="1"/>
  <c r="F27" i="60"/>
  <c r="F25" i="60" s="1"/>
  <c r="F19" i="60"/>
  <c r="F11" i="60"/>
  <c r="F17" i="64"/>
  <c r="E17" i="64"/>
  <c r="E88" i="63"/>
  <c r="E78" i="63"/>
  <c r="E61" i="63"/>
  <c r="E43" i="63"/>
  <c r="E16" i="63"/>
  <c r="E49" i="63" s="1"/>
  <c r="E63" i="63" s="1"/>
  <c r="E65" i="63" s="1"/>
  <c r="E91" i="63" s="1"/>
  <c r="E93" i="63" s="1"/>
  <c r="E60" i="59"/>
  <c r="E56" i="59" s="1"/>
  <c r="E54" i="59"/>
  <c r="E48" i="59" s="1"/>
  <c r="E41" i="59"/>
  <c r="E36" i="59" s="1"/>
  <c r="E31" i="59"/>
  <c r="E22" i="59"/>
  <c r="E21" i="59" s="1"/>
  <c r="E13" i="59"/>
  <c r="E12" i="59" s="1"/>
  <c r="E14" i="62"/>
  <c r="E19" i="62" s="1"/>
  <c r="E21" i="62" s="1"/>
  <c r="E23" i="62" s="1"/>
  <c r="F13" i="62"/>
  <c r="F14" i="62" s="1"/>
  <c r="F19" i="62" s="1"/>
  <c r="F21" i="62" s="1"/>
  <c r="F23" i="62" s="1"/>
  <c r="G22" i="11"/>
  <c r="G18" i="11"/>
  <c r="G11" i="11"/>
  <c r="G17" i="13"/>
  <c r="F91" i="56"/>
  <c r="F80" i="56"/>
  <c r="F62" i="56"/>
  <c r="F48" i="56"/>
  <c r="F57" i="55"/>
  <c r="F49" i="55"/>
  <c r="F38" i="55"/>
  <c r="F22" i="55"/>
  <c r="F21" i="55"/>
  <c r="F13" i="55"/>
  <c r="G14" i="54"/>
  <c r="G22" i="54" s="1"/>
  <c r="F16" i="18"/>
  <c r="G25" i="60"/>
  <c r="G19" i="60"/>
  <c r="G11" i="60"/>
  <c r="G17" i="64"/>
  <c r="F88" i="63"/>
  <c r="F78" i="63"/>
  <c r="F61" i="63"/>
  <c r="F49" i="63"/>
  <c r="F63" i="63" s="1"/>
  <c r="F65" i="63" s="1"/>
  <c r="F56" i="59"/>
  <c r="F48" i="59"/>
  <c r="F38" i="59"/>
  <c r="F36" i="59"/>
  <c r="F22" i="59"/>
  <c r="F21" i="59" s="1"/>
  <c r="F13" i="59"/>
  <c r="G14" i="62"/>
  <c r="G19" i="62" s="1"/>
  <c r="G21" i="62" s="1"/>
  <c r="G23" i="62" s="1"/>
  <c r="H22" i="11"/>
  <c r="H18" i="11"/>
  <c r="H11" i="11"/>
  <c r="H17" i="13"/>
  <c r="G57" i="55"/>
  <c r="G49" i="55"/>
  <c r="G38" i="55"/>
  <c r="G22" i="55"/>
  <c r="G21" i="55" s="1"/>
  <c r="G13" i="55"/>
  <c r="H14" i="54"/>
  <c r="H22" i="54" s="1"/>
  <c r="H24" i="54" s="1"/>
  <c r="H26" i="54" s="1"/>
  <c r="G16" i="18"/>
  <c r="H25" i="60"/>
  <c r="H19" i="60"/>
  <c r="H11" i="60"/>
  <c r="H17" i="64"/>
  <c r="G56" i="59"/>
  <c r="G48" i="59"/>
  <c r="G36" i="59"/>
  <c r="G22" i="59"/>
  <c r="G21" i="59" s="1"/>
  <c r="G13" i="59"/>
  <c r="H14" i="62"/>
  <c r="H19" i="62" s="1"/>
  <c r="H21" i="62" s="1"/>
  <c r="H23" i="62" s="1"/>
  <c r="I24" i="11"/>
  <c r="I23" i="11"/>
  <c r="I18" i="11"/>
  <c r="I11" i="11"/>
  <c r="I17" i="13"/>
  <c r="H61" i="55"/>
  <c r="H57" i="55" s="1"/>
  <c r="H49" i="55"/>
  <c r="H38" i="55"/>
  <c r="H22" i="55"/>
  <c r="H21" i="55" s="1"/>
  <c r="H13" i="55"/>
  <c r="I14" i="54"/>
  <c r="I22" i="54" s="1"/>
  <c r="H16" i="18"/>
  <c r="I27" i="60"/>
  <c r="I26" i="60"/>
  <c r="I19" i="60"/>
  <c r="I11" i="60"/>
  <c r="I17" i="64"/>
  <c r="H60" i="59"/>
  <c r="H56" i="59" s="1"/>
  <c r="H48" i="59"/>
  <c r="H36" i="59"/>
  <c r="H22" i="59"/>
  <c r="H21" i="59" s="1"/>
  <c r="H13" i="59"/>
  <c r="I14" i="62"/>
  <c r="I19" i="62" s="1"/>
  <c r="F25" i="11" l="1"/>
  <c r="F27" i="11" s="1"/>
  <c r="I21" i="11"/>
  <c r="I25" i="11" s="1"/>
  <c r="I27" i="11" s="1"/>
  <c r="I22" i="11"/>
  <c r="H21" i="11"/>
  <c r="H25" i="11" s="1"/>
  <c r="H27" i="11" s="1"/>
  <c r="G21" i="11"/>
  <c r="G25" i="11" s="1"/>
  <c r="G27" i="11" s="1"/>
  <c r="F12" i="55"/>
  <c r="E12" i="55"/>
  <c r="D12" i="55"/>
  <c r="D37" i="55"/>
  <c r="E49" i="55"/>
  <c r="E37" i="55" s="1"/>
  <c r="F37" i="55"/>
  <c r="E24" i="60"/>
  <c r="E28" i="60" s="1"/>
  <c r="E30" i="60" s="1"/>
  <c r="D12" i="59"/>
  <c r="D35" i="59"/>
  <c r="F12" i="59"/>
  <c r="E64" i="56"/>
  <c r="E66" i="56" s="1"/>
  <c r="E93" i="56" s="1"/>
  <c r="E95" i="56" s="1"/>
  <c r="I24" i="54"/>
  <c r="I26" i="54" s="1"/>
  <c r="F24" i="60"/>
  <c r="F28" i="60" s="1"/>
  <c r="F30" i="60" s="1"/>
  <c r="G24" i="60"/>
  <c r="G28" i="60" s="1"/>
  <c r="G30" i="60" s="1"/>
  <c r="F91" i="63"/>
  <c r="F93" i="63" s="1"/>
  <c r="E35" i="59"/>
  <c r="G35" i="59"/>
  <c r="F64" i="56"/>
  <c r="F66" i="56" s="1"/>
  <c r="F93" i="56" s="1"/>
  <c r="F95" i="56" s="1"/>
  <c r="G24" i="54"/>
  <c r="G26" i="54" s="1"/>
  <c r="H24" i="60"/>
  <c r="H28" i="60" s="1"/>
  <c r="H30" i="60" s="1"/>
  <c r="F35" i="59"/>
  <c r="G37" i="55"/>
  <c r="I24" i="60"/>
  <c r="G12" i="55"/>
  <c r="H12" i="55"/>
  <c r="H37" i="55"/>
  <c r="I25" i="60"/>
  <c r="G12" i="59"/>
  <c r="H35" i="59"/>
  <c r="H12" i="59"/>
  <c r="I21" i="62"/>
  <c r="I23" i="62" s="1"/>
  <c r="I28" i="60" l="1"/>
  <c r="I30" i="60" s="1"/>
  <c r="I88" i="63"/>
  <c r="I78" i="63"/>
  <c r="I61" i="63"/>
  <c r="I49" i="63"/>
  <c r="I91" i="56"/>
  <c r="I80" i="56"/>
  <c r="I62" i="56"/>
  <c r="I48" i="56"/>
  <c r="J22" i="11"/>
  <c r="J18" i="11"/>
  <c r="J11" i="11"/>
  <c r="I57" i="55"/>
  <c r="I49" i="55"/>
  <c r="I38" i="55"/>
  <c r="I22" i="55"/>
  <c r="I21" i="55" s="1"/>
  <c r="I13" i="55"/>
  <c r="K14" i="54"/>
  <c r="K22" i="54" s="1"/>
  <c r="K24" i="54" s="1"/>
  <c r="K26" i="54" s="1"/>
  <c r="J14" i="54"/>
  <c r="J22" i="54" s="1"/>
  <c r="I16" i="18"/>
  <c r="J25" i="60"/>
  <c r="J19" i="60"/>
  <c r="J11" i="60"/>
  <c r="K17" i="64"/>
  <c r="J17" i="64"/>
  <c r="I60" i="59"/>
  <c r="I56" i="59" s="1"/>
  <c r="I48" i="59"/>
  <c r="I47" i="59"/>
  <c r="I36" i="59" s="1"/>
  <c r="I22" i="59"/>
  <c r="I21" i="59" s="1"/>
  <c r="I13" i="59"/>
  <c r="K14" i="62"/>
  <c r="K19" i="62" s="1"/>
  <c r="J14" i="62"/>
  <c r="J19" i="62" s="1"/>
  <c r="J21" i="62" s="1"/>
  <c r="J23" i="62" s="1"/>
  <c r="K17" i="13"/>
  <c r="J17" i="13"/>
  <c r="L14" i="62"/>
  <c r="L19" i="62" s="1"/>
  <c r="J56" i="59"/>
  <c r="J48" i="59"/>
  <c r="J36" i="59"/>
  <c r="J22" i="59"/>
  <c r="J21" i="59" s="1"/>
  <c r="J13" i="59"/>
  <c r="J88" i="63"/>
  <c r="J78" i="63"/>
  <c r="J61" i="63"/>
  <c r="J49" i="63"/>
  <c r="L17" i="64"/>
  <c r="L25" i="60"/>
  <c r="K25" i="60"/>
  <c r="L19" i="60"/>
  <c r="K19" i="60"/>
  <c r="L11" i="60"/>
  <c r="K11" i="60"/>
  <c r="J16" i="18"/>
  <c r="L14" i="54"/>
  <c r="L22" i="54" s="1"/>
  <c r="L24" i="54" s="1"/>
  <c r="L26" i="54" s="1"/>
  <c r="J57" i="55"/>
  <c r="J49" i="55"/>
  <c r="J38" i="55"/>
  <c r="J22" i="55"/>
  <c r="J21" i="55" s="1"/>
  <c r="J13" i="55"/>
  <c r="J91" i="56"/>
  <c r="J80" i="56"/>
  <c r="J62" i="56"/>
  <c r="J48" i="56"/>
  <c r="L17" i="13"/>
  <c r="K22" i="11"/>
  <c r="K18" i="11"/>
  <c r="K11" i="11"/>
  <c r="L22" i="11"/>
  <c r="L18" i="11"/>
  <c r="L11" i="11"/>
  <c r="L21" i="11" s="1"/>
  <c r="M17" i="13"/>
  <c r="K91" i="56"/>
  <c r="K80" i="56"/>
  <c r="K62" i="56"/>
  <c r="K48" i="56"/>
  <c r="K57" i="55"/>
  <c r="K49" i="55"/>
  <c r="K38" i="55"/>
  <c r="K22" i="55"/>
  <c r="K21" i="55" s="1"/>
  <c r="K13" i="55"/>
  <c r="M14" i="54"/>
  <c r="M22" i="54" s="1"/>
  <c r="K16" i="18"/>
  <c r="M17" i="64"/>
  <c r="K88" i="63"/>
  <c r="K78" i="63"/>
  <c r="K61" i="63"/>
  <c r="K49" i="63"/>
  <c r="K56" i="59"/>
  <c r="K48" i="59"/>
  <c r="K38" i="59"/>
  <c r="K36" i="59" s="1"/>
  <c r="K22" i="59"/>
  <c r="K21" i="59" s="1"/>
  <c r="K13" i="59"/>
  <c r="M14" i="62"/>
  <c r="M19" i="62" s="1"/>
  <c r="M22" i="11"/>
  <c r="M18" i="11"/>
  <c r="M11" i="11"/>
  <c r="M21" i="11" s="1"/>
  <c r="N17" i="13"/>
  <c r="L91" i="56"/>
  <c r="L80" i="56"/>
  <c r="L62" i="56"/>
  <c r="L48" i="56"/>
  <c r="L57" i="55"/>
  <c r="L49" i="55"/>
  <c r="L38" i="55"/>
  <c r="L22" i="55"/>
  <c r="L21" i="55" s="1"/>
  <c r="L13" i="55"/>
  <c r="N14" i="54"/>
  <c r="N22" i="54" s="1"/>
  <c r="L16" i="18"/>
  <c r="M27" i="60"/>
  <c r="M25" i="60" s="1"/>
  <c r="M19" i="60"/>
  <c r="M11" i="60"/>
  <c r="N17" i="64"/>
  <c r="Q49" i="63"/>
  <c r="P49" i="63"/>
  <c r="O49" i="63"/>
  <c r="N49" i="63"/>
  <c r="M49" i="63"/>
  <c r="L88" i="63"/>
  <c r="L78" i="63"/>
  <c r="L61" i="63"/>
  <c r="L49" i="63"/>
  <c r="L56" i="59"/>
  <c r="L48" i="59"/>
  <c r="L36" i="59"/>
  <c r="L22" i="59"/>
  <c r="L21" i="59" s="1"/>
  <c r="L13" i="59"/>
  <c r="N14" i="62"/>
  <c r="N19" i="62" s="1"/>
  <c r="N22" i="11"/>
  <c r="N18" i="11"/>
  <c r="N11" i="11"/>
  <c r="N21" i="11" s="1"/>
  <c r="P17" i="13"/>
  <c r="O17" i="13"/>
  <c r="M91" i="56"/>
  <c r="M80" i="56"/>
  <c r="M62" i="56"/>
  <c r="M48" i="56"/>
  <c r="M57" i="55"/>
  <c r="M49" i="55"/>
  <c r="M38" i="55"/>
  <c r="M22" i="55"/>
  <c r="M21" i="55" s="1"/>
  <c r="M13" i="55"/>
  <c r="P14" i="54"/>
  <c r="P22" i="54" s="1"/>
  <c r="O14" i="54"/>
  <c r="O22" i="54" s="1"/>
  <c r="O24" i="54" s="1"/>
  <c r="O26" i="54" s="1"/>
  <c r="M16" i="18"/>
  <c r="N25" i="60"/>
  <c r="N19" i="60"/>
  <c r="N11" i="60"/>
  <c r="P17" i="64"/>
  <c r="O17" i="64"/>
  <c r="M88" i="63"/>
  <c r="M78" i="63"/>
  <c r="M61" i="63"/>
  <c r="M56" i="59"/>
  <c r="M48" i="59"/>
  <c r="M36" i="59"/>
  <c r="M22" i="59"/>
  <c r="M21" i="59" s="1"/>
  <c r="M13" i="59"/>
  <c r="P14" i="62"/>
  <c r="P19" i="62" s="1"/>
  <c r="O14" i="62"/>
  <c r="O19" i="62" s="1"/>
  <c r="O22" i="11"/>
  <c r="O18" i="11"/>
  <c r="O11" i="11"/>
  <c r="O21" i="11" s="1"/>
  <c r="Q17" i="13"/>
  <c r="N95" i="56"/>
  <c r="N91" i="56"/>
  <c r="N80" i="56"/>
  <c r="N62" i="56"/>
  <c r="N48" i="56"/>
  <c r="N57" i="55"/>
  <c r="N49" i="55"/>
  <c r="N38" i="55"/>
  <c r="N22" i="55"/>
  <c r="N21" i="55" s="1"/>
  <c r="N13" i="55"/>
  <c r="Q14" i="54"/>
  <c r="Q22" i="54" s="1"/>
  <c r="N16" i="18"/>
  <c r="O25" i="60"/>
  <c r="O19" i="60"/>
  <c r="O11" i="60"/>
  <c r="Q17" i="64"/>
  <c r="N88" i="63"/>
  <c r="N78" i="63"/>
  <c r="N61" i="63"/>
  <c r="N56" i="59"/>
  <c r="N48" i="59"/>
  <c r="N36" i="59"/>
  <c r="N22" i="59"/>
  <c r="N21" i="59" s="1"/>
  <c r="N13" i="59"/>
  <c r="Q14" i="62"/>
  <c r="Q19" i="62" s="1"/>
  <c r="Q24" i="54" l="1"/>
  <c r="Q26" i="54" s="1"/>
  <c r="N24" i="54"/>
  <c r="N26" i="54" s="1"/>
  <c r="K63" i="63"/>
  <c r="K65" i="63" s="1"/>
  <c r="K91" i="63" s="1"/>
  <c r="K93" i="63" s="1"/>
  <c r="K21" i="62"/>
  <c r="K23" i="62" s="1"/>
  <c r="P24" i="54"/>
  <c r="P26" i="54" s="1"/>
  <c r="L25" i="11"/>
  <c r="L27" i="11" s="1"/>
  <c r="J64" i="56"/>
  <c r="J66" i="56" s="1"/>
  <c r="J93" i="56" s="1"/>
  <c r="J95" i="56" s="1"/>
  <c r="I64" i="56"/>
  <c r="I66" i="56" s="1"/>
  <c r="I93" i="56" s="1"/>
  <c r="I95" i="56" s="1"/>
  <c r="J37" i="55"/>
  <c r="J24" i="54"/>
  <c r="J26" i="54" s="1"/>
  <c r="I63" i="63"/>
  <c r="I65" i="63" s="1"/>
  <c r="I91" i="63" s="1"/>
  <c r="I93" i="63" s="1"/>
  <c r="K37" i="55"/>
  <c r="I37" i="55"/>
  <c r="J24" i="60"/>
  <c r="J28" i="60" s="1"/>
  <c r="J30" i="60" s="1"/>
  <c r="I35" i="59"/>
  <c r="N35" i="59"/>
  <c r="I12" i="59"/>
  <c r="L21" i="62"/>
  <c r="L23" i="62" s="1"/>
  <c r="O21" i="62"/>
  <c r="O23" i="62" s="1"/>
  <c r="L63" i="63"/>
  <c r="L65" i="63" s="1"/>
  <c r="L91" i="63" s="1"/>
  <c r="L93" i="63" s="1"/>
  <c r="J63" i="63"/>
  <c r="J65" i="63" s="1"/>
  <c r="J91" i="63" s="1"/>
  <c r="J93" i="63" s="1"/>
  <c r="K21" i="11"/>
  <c r="K25" i="11" s="1"/>
  <c r="K27" i="11" s="1"/>
  <c r="J21" i="11"/>
  <c r="J25" i="11" s="1"/>
  <c r="J27" i="11" s="1"/>
  <c r="I12" i="55"/>
  <c r="L37" i="55"/>
  <c r="J12" i="55"/>
  <c r="M24" i="54"/>
  <c r="M26" i="54" s="1"/>
  <c r="K24" i="60"/>
  <c r="K28" i="60" s="1"/>
  <c r="K30" i="60" s="1"/>
  <c r="L24" i="60"/>
  <c r="L28" i="60" s="1"/>
  <c r="L30" i="60" s="1"/>
  <c r="M64" i="56"/>
  <c r="M66" i="56" s="1"/>
  <c r="M93" i="56" s="1"/>
  <c r="M95" i="56" s="1"/>
  <c r="K64" i="56"/>
  <c r="K66" i="56" s="1"/>
  <c r="K93" i="56" s="1"/>
  <c r="K95" i="56" s="1"/>
  <c r="M37" i="55"/>
  <c r="M24" i="60"/>
  <c r="M28" i="60" s="1"/>
  <c r="M30" i="60" s="1"/>
  <c r="N24" i="60"/>
  <c r="N28" i="60" s="1"/>
  <c r="N30" i="60" s="1"/>
  <c r="J35" i="59"/>
  <c r="M12" i="59"/>
  <c r="L35" i="59"/>
  <c r="M35" i="59"/>
  <c r="J12" i="59"/>
  <c r="K12" i="59"/>
  <c r="P21" i="62"/>
  <c r="P23" i="62" s="1"/>
  <c r="M21" i="62"/>
  <c r="M23" i="62" s="1"/>
  <c r="K35" i="59"/>
  <c r="L64" i="56"/>
  <c r="L66" i="56" s="1"/>
  <c r="L93" i="56" s="1"/>
  <c r="L95" i="56" s="1"/>
  <c r="O25" i="11"/>
  <c r="O27" i="11" s="1"/>
  <c r="M25" i="11"/>
  <c r="M27" i="11" s="1"/>
  <c r="K12" i="55"/>
  <c r="N37" i="55"/>
  <c r="L12" i="59"/>
  <c r="N21" i="62"/>
  <c r="N23" i="62" s="1"/>
  <c r="N25" i="11"/>
  <c r="N27" i="11" s="1"/>
  <c r="N64" i="56"/>
  <c r="N66" i="56" s="1"/>
  <c r="L12" i="55"/>
  <c r="M12" i="55"/>
  <c r="N63" i="63"/>
  <c r="N65" i="63" s="1"/>
  <c r="N91" i="63" s="1"/>
  <c r="N93" i="63" s="1"/>
  <c r="M63" i="63"/>
  <c r="M65" i="63" s="1"/>
  <c r="M91" i="63" s="1"/>
  <c r="M93" i="63" s="1"/>
  <c r="N12" i="55"/>
  <c r="O24" i="60"/>
  <c r="O28" i="60" s="1"/>
  <c r="O30" i="60" s="1"/>
  <c r="N12" i="59"/>
  <c r="Q21" i="62"/>
  <c r="Q23" i="62" s="1"/>
  <c r="P22" i="11"/>
  <c r="P18" i="11"/>
  <c r="P11" i="11"/>
  <c r="P21" i="11" s="1"/>
  <c r="R17" i="13"/>
  <c r="O95" i="56"/>
  <c r="O91" i="56"/>
  <c r="O80" i="56"/>
  <c r="O62" i="56"/>
  <c r="O48" i="56"/>
  <c r="O57" i="55"/>
  <c r="O49" i="55"/>
  <c r="O38" i="55"/>
  <c r="O22" i="55"/>
  <c r="O21" i="55" s="1"/>
  <c r="O13" i="55"/>
  <c r="R14" i="54"/>
  <c r="R22" i="54" s="1"/>
  <c r="O16" i="18"/>
  <c r="P25" i="60"/>
  <c r="P19" i="60"/>
  <c r="P11" i="60"/>
  <c r="R17" i="64"/>
  <c r="S17" i="64"/>
  <c r="O88" i="63"/>
  <c r="O78" i="63"/>
  <c r="O61" i="63"/>
  <c r="O63" i="63" s="1"/>
  <c r="O65" i="63" s="1"/>
  <c r="O56" i="59"/>
  <c r="O48" i="59"/>
  <c r="O36" i="59"/>
  <c r="O22" i="59"/>
  <c r="O21" i="59" s="1"/>
  <c r="O13" i="59"/>
  <c r="R14" i="62"/>
  <c r="R19" i="62" s="1"/>
  <c r="Q88" i="63"/>
  <c r="P88" i="63"/>
  <c r="Q78" i="63"/>
  <c r="P78" i="63"/>
  <c r="Q61" i="63"/>
  <c r="P61" i="63"/>
  <c r="U78" i="63"/>
  <c r="V78" i="63"/>
  <c r="W78" i="63"/>
  <c r="X78" i="63"/>
  <c r="Y78" i="63"/>
  <c r="Z78" i="63"/>
  <c r="AA78" i="63"/>
  <c r="AB78" i="63"/>
  <c r="AC78" i="63"/>
  <c r="AD78" i="63"/>
  <c r="AE78" i="63"/>
  <c r="AF78" i="63"/>
  <c r="AG78" i="63"/>
  <c r="AH78" i="63"/>
  <c r="AI78" i="63"/>
  <c r="S78" i="63"/>
  <c r="R78" i="63"/>
  <c r="Q22" i="11"/>
  <c r="Q18" i="11"/>
  <c r="Q11" i="11"/>
  <c r="Q21" i="11" s="1"/>
  <c r="S17" i="13"/>
  <c r="P95" i="56"/>
  <c r="Q91" i="56"/>
  <c r="P91" i="56"/>
  <c r="Q80" i="56"/>
  <c r="P80" i="56"/>
  <c r="Q62" i="56"/>
  <c r="P62" i="56"/>
  <c r="Q48" i="56"/>
  <c r="P48" i="56"/>
  <c r="P57" i="55"/>
  <c r="P49" i="55"/>
  <c r="P38" i="55"/>
  <c r="P22" i="55"/>
  <c r="P21" i="55" s="1"/>
  <c r="P13" i="55"/>
  <c r="S14" i="54"/>
  <c r="S22" i="54" s="1"/>
  <c r="Q25" i="60"/>
  <c r="Q19" i="60"/>
  <c r="Q11" i="60"/>
  <c r="P56" i="59"/>
  <c r="P48" i="59"/>
  <c r="P36" i="59"/>
  <c r="P22" i="59"/>
  <c r="P21" i="59" s="1"/>
  <c r="P13" i="59"/>
  <c r="S14" i="62"/>
  <c r="S19" i="62" s="1"/>
  <c r="R22" i="11"/>
  <c r="R11" i="11"/>
  <c r="R21" i="11" s="1"/>
  <c r="U17" i="13"/>
  <c r="T17" i="13"/>
  <c r="Q57" i="55"/>
  <c r="Q49" i="55"/>
  <c r="Q38" i="55"/>
  <c r="Q22" i="55"/>
  <c r="Q21" i="55" s="1"/>
  <c r="Q13" i="55"/>
  <c r="U14" i="54"/>
  <c r="U22" i="54" s="1"/>
  <c r="T14" i="54"/>
  <c r="T22" i="54" s="1"/>
  <c r="Q16" i="18"/>
  <c r="R25" i="60"/>
  <c r="R11" i="60"/>
  <c r="R24" i="60" s="1"/>
  <c r="U17" i="64"/>
  <c r="T17" i="64"/>
  <c r="Q56" i="59"/>
  <c r="Q48" i="59"/>
  <c r="Q36" i="59"/>
  <c r="Q22" i="59"/>
  <c r="Q21" i="59" s="1"/>
  <c r="Q13" i="59"/>
  <c r="U14" i="62"/>
  <c r="U19" i="62" s="1"/>
  <c r="T14" i="62"/>
  <c r="T19" i="62" s="1"/>
  <c r="S21" i="62" l="1"/>
  <c r="S23" i="62" s="1"/>
  <c r="T21" i="62"/>
  <c r="T23" i="62" s="1"/>
  <c r="R28" i="60"/>
  <c r="R30" i="60" s="1"/>
  <c r="P25" i="11"/>
  <c r="P27" i="11" s="1"/>
  <c r="R25" i="11"/>
  <c r="R27" i="11" s="1"/>
  <c r="P64" i="56"/>
  <c r="P66" i="56" s="1"/>
  <c r="O37" i="55"/>
  <c r="S24" i="54"/>
  <c r="S26" i="54" s="1"/>
  <c r="T24" i="54"/>
  <c r="T26" i="54" s="1"/>
  <c r="Q63" i="63"/>
  <c r="Q65" i="63" s="1"/>
  <c r="Q91" i="63" s="1"/>
  <c r="Q93" i="63" s="1"/>
  <c r="R21" i="62"/>
  <c r="R23" i="62" s="1"/>
  <c r="O12" i="55"/>
  <c r="P37" i="55"/>
  <c r="P24" i="60"/>
  <c r="P28" i="60" s="1"/>
  <c r="P30" i="60" s="1"/>
  <c r="P63" i="63"/>
  <c r="P65" i="63" s="1"/>
  <c r="P91" i="63" s="1"/>
  <c r="P93" i="63" s="1"/>
  <c r="O91" i="63"/>
  <c r="O93" i="63" s="1"/>
  <c r="O12" i="59"/>
  <c r="Q35" i="59"/>
  <c r="P35" i="59"/>
  <c r="U21" i="62"/>
  <c r="U23" i="62" s="1"/>
  <c r="O64" i="56"/>
  <c r="O66" i="56" s="1"/>
  <c r="Q64" i="56"/>
  <c r="Q66" i="56" s="1"/>
  <c r="Q93" i="56" s="1"/>
  <c r="Q95" i="56" s="1"/>
  <c r="Q37" i="55"/>
  <c r="R24" i="54"/>
  <c r="R26" i="54" s="1"/>
  <c r="P12" i="59"/>
  <c r="O35" i="59"/>
  <c r="Q25" i="11"/>
  <c r="Q27" i="11" s="1"/>
  <c r="P12" i="55"/>
  <c r="Q24" i="60"/>
  <c r="Q28" i="60" s="1"/>
  <c r="Q30" i="60" s="1"/>
  <c r="Q12" i="55"/>
  <c r="U24" i="54"/>
  <c r="U26" i="54" s="1"/>
  <c r="Q12" i="59"/>
  <c r="S22" i="11" l="1"/>
  <c r="S18" i="11"/>
  <c r="S11" i="11"/>
  <c r="S21" i="11" s="1"/>
  <c r="V17" i="13"/>
  <c r="R94" i="56"/>
  <c r="R91" i="56"/>
  <c r="R80" i="56"/>
  <c r="R62" i="56"/>
  <c r="R48" i="56"/>
  <c r="R57" i="55"/>
  <c r="R49" i="55"/>
  <c r="R38" i="55"/>
  <c r="R22" i="55"/>
  <c r="R21" i="55" s="1"/>
  <c r="R13" i="55"/>
  <c r="V14" i="54"/>
  <c r="V22" i="54" s="1"/>
  <c r="V24" i="54" s="1"/>
  <c r="V26" i="54" s="1"/>
  <c r="R16" i="18"/>
  <c r="S25" i="60"/>
  <c r="S19" i="60"/>
  <c r="S11" i="60"/>
  <c r="V17" i="64"/>
  <c r="R92" i="63"/>
  <c r="R88" i="63"/>
  <c r="R61" i="63"/>
  <c r="R49" i="63"/>
  <c r="R56" i="59"/>
  <c r="R48" i="59"/>
  <c r="R36" i="59"/>
  <c r="R22" i="59"/>
  <c r="R21" i="59" s="1"/>
  <c r="R13" i="59"/>
  <c r="V14" i="62"/>
  <c r="V19" i="62" s="1"/>
  <c r="X88" i="63"/>
  <c r="W88" i="63"/>
  <c r="X61" i="63"/>
  <c r="W61" i="63"/>
  <c r="X49" i="63"/>
  <c r="W49" i="63"/>
  <c r="S24" i="60" l="1"/>
  <c r="S28" i="60" s="1"/>
  <c r="S30" i="60" s="1"/>
  <c r="R35" i="59"/>
  <c r="S25" i="11"/>
  <c r="S27" i="11" s="1"/>
  <c r="R37" i="55"/>
  <c r="R12" i="59"/>
  <c r="R63" i="63"/>
  <c r="R65" i="63" s="1"/>
  <c r="R91" i="63" s="1"/>
  <c r="R93" i="63" s="1"/>
  <c r="V21" i="62"/>
  <c r="V23" i="62" s="1"/>
  <c r="R64" i="56"/>
  <c r="R66" i="56" s="1"/>
  <c r="R93" i="56" s="1"/>
  <c r="R95" i="56" s="1"/>
  <c r="X63" i="63"/>
  <c r="X65" i="63" s="1"/>
  <c r="X91" i="63" s="1"/>
  <c r="X93" i="63" s="1"/>
  <c r="R12" i="55"/>
  <c r="W63" i="63"/>
  <c r="W65" i="63" s="1"/>
  <c r="W91" i="63" s="1"/>
  <c r="W93" i="63" s="1"/>
  <c r="T22" i="11"/>
  <c r="T25" i="11" s="1"/>
  <c r="T27" i="11" s="1"/>
  <c r="T18" i="11"/>
  <c r="T11" i="11"/>
  <c r="W17" i="13"/>
  <c r="W91" i="56"/>
  <c r="W80" i="56"/>
  <c r="W62" i="56"/>
  <c r="W48" i="56"/>
  <c r="S91" i="56"/>
  <c r="S80" i="56"/>
  <c r="S62" i="56"/>
  <c r="S48" i="56"/>
  <c r="S57" i="55"/>
  <c r="S49" i="55"/>
  <c r="S38" i="55"/>
  <c r="S22" i="55"/>
  <c r="S21" i="55" s="1"/>
  <c r="S13" i="55"/>
  <c r="W14" i="54"/>
  <c r="W22" i="54" s="1"/>
  <c r="S16" i="18"/>
  <c r="T30" i="60"/>
  <c r="T25" i="60"/>
  <c r="T11" i="60"/>
  <c r="T24" i="60" s="1"/>
  <c r="W17" i="64"/>
  <c r="S88" i="63"/>
  <c r="S61" i="63"/>
  <c r="S49" i="63"/>
  <c r="S56" i="59"/>
  <c r="S48" i="59"/>
  <c r="S36" i="59"/>
  <c r="S22" i="59"/>
  <c r="S21" i="59" s="1"/>
  <c r="S13" i="59"/>
  <c r="W14" i="62"/>
  <c r="W19" i="62" s="1"/>
  <c r="T88" i="63"/>
  <c r="T78" i="63"/>
  <c r="T61" i="63"/>
  <c r="T49" i="63"/>
  <c r="S12" i="55" l="1"/>
  <c r="S64" i="56"/>
  <c r="S66" i="56" s="1"/>
  <c r="S93" i="56" s="1"/>
  <c r="S95" i="56" s="1"/>
  <c r="S63" i="63"/>
  <c r="S65" i="63" s="1"/>
  <c r="S91" i="63" s="1"/>
  <c r="S93" i="63" s="1"/>
  <c r="W21" i="62"/>
  <c r="W23" i="62" s="1"/>
  <c r="W24" i="54"/>
  <c r="W26" i="54" s="1"/>
  <c r="S37" i="55"/>
  <c r="S35" i="59"/>
  <c r="S12" i="59"/>
  <c r="W64" i="56"/>
  <c r="W66" i="56" s="1"/>
  <c r="W93" i="56" s="1"/>
  <c r="W95" i="56" s="1"/>
  <c r="T63" i="63"/>
  <c r="T65" i="63" s="1"/>
  <c r="T91" i="63" s="1"/>
  <c r="T93" i="63" s="1"/>
  <c r="X17" i="13"/>
  <c r="T57" i="55" l="1"/>
  <c r="T49" i="55"/>
  <c r="T38" i="55"/>
  <c r="T22" i="55"/>
  <c r="T21" i="55" s="1"/>
  <c r="T13" i="55"/>
  <c r="X14" i="54"/>
  <c r="X22" i="54" s="1"/>
  <c r="T16" i="18"/>
  <c r="U30" i="60"/>
  <c r="U25" i="60"/>
  <c r="U19" i="60"/>
  <c r="U11" i="60"/>
  <c r="X17" i="64"/>
  <c r="T56" i="59"/>
  <c r="T48" i="59"/>
  <c r="T36" i="59"/>
  <c r="T22" i="59"/>
  <c r="T21" i="59" s="1"/>
  <c r="T13" i="59"/>
  <c r="X14" i="62"/>
  <c r="X19" i="62" s="1"/>
  <c r="X21" i="62" s="1"/>
  <c r="X23" i="62" s="1"/>
  <c r="V22" i="11"/>
  <c r="V25" i="11" s="1"/>
  <c r="V27" i="11" s="1"/>
  <c r="V11" i="11"/>
  <c r="X24" i="54" l="1"/>
  <c r="X26" i="54" s="1"/>
  <c r="T37" i="55"/>
  <c r="T12" i="55"/>
  <c r="T12" i="59"/>
  <c r="T35" i="59"/>
  <c r="Y92" i="63"/>
  <c r="U92" i="63"/>
  <c r="Y88" i="63"/>
  <c r="U88" i="63"/>
  <c r="Z22" i="54"/>
  <c r="Y22" i="54"/>
  <c r="Z19" i="62"/>
  <c r="Y19" i="62"/>
  <c r="U91" i="63" l="1"/>
  <c r="U93" i="63" s="1"/>
  <c r="Y91" i="63"/>
  <c r="Y93" i="63" s="1"/>
  <c r="V48" i="56"/>
  <c r="V49" i="63"/>
  <c r="W30" i="60" l="1"/>
  <c r="W25" i="60"/>
  <c r="W19" i="60"/>
  <c r="W11" i="60"/>
  <c r="AA17" i="64"/>
  <c r="V88" i="63"/>
  <c r="V61" i="63"/>
  <c r="V63" i="63" s="1"/>
  <c r="V65" i="63" s="1"/>
  <c r="V56" i="59"/>
  <c r="V48" i="59"/>
  <c r="V36" i="59"/>
  <c r="V22" i="59"/>
  <c r="V21" i="59" s="1"/>
  <c r="V13" i="59"/>
  <c r="AA14" i="62"/>
  <c r="AA19" i="62" s="1"/>
  <c r="AA21" i="62" s="1"/>
  <c r="AA23" i="62" s="1"/>
  <c r="V16" i="18"/>
  <c r="W22" i="11"/>
  <c r="W25" i="11" s="1"/>
  <c r="W27" i="11" s="1"/>
  <c r="W18" i="11"/>
  <c r="W11" i="11"/>
  <c r="AA17" i="13"/>
  <c r="V91" i="56"/>
  <c r="V80" i="56"/>
  <c r="V62" i="56"/>
  <c r="V64" i="56" s="1"/>
  <c r="V66" i="56" s="1"/>
  <c r="V57" i="55"/>
  <c r="V49" i="55"/>
  <c r="V38" i="55"/>
  <c r="V22" i="55"/>
  <c r="V21" i="55" s="1"/>
  <c r="V13" i="55"/>
  <c r="AA14" i="54"/>
  <c r="AA22" i="54" s="1"/>
  <c r="V12" i="55" l="1"/>
  <c r="V93" i="56"/>
  <c r="V95" i="56" s="1"/>
  <c r="AA24" i="54"/>
  <c r="AA26" i="54" s="1"/>
  <c r="W24" i="60"/>
  <c r="V91" i="63"/>
  <c r="V93" i="63" s="1"/>
  <c r="V35" i="59"/>
  <c r="V12" i="59"/>
  <c r="V37" i="55"/>
  <c r="X30" i="60"/>
  <c r="X25" i="60"/>
  <c r="X19" i="60"/>
  <c r="X11" i="60"/>
  <c r="AB17" i="64"/>
  <c r="W56" i="59"/>
  <c r="W48" i="59"/>
  <c r="W36" i="59"/>
  <c r="W22" i="59"/>
  <c r="W21" i="59" s="1"/>
  <c r="W13" i="59"/>
  <c r="AB14" i="62"/>
  <c r="AB19" i="62" s="1"/>
  <c r="X16" i="18"/>
  <c r="W16" i="18"/>
  <c r="X22" i="11"/>
  <c r="X25" i="11" s="1"/>
  <c r="X27" i="11" s="1"/>
  <c r="X18" i="11"/>
  <c r="X11" i="11"/>
  <c r="AB17" i="13"/>
  <c r="W57" i="55"/>
  <c r="W49" i="55"/>
  <c r="W38" i="55"/>
  <c r="W22" i="55"/>
  <c r="W21" i="55" s="1"/>
  <c r="W13" i="55"/>
  <c r="AB14" i="54"/>
  <c r="AB22" i="54" s="1"/>
  <c r="AB24" i="54" l="1"/>
  <c r="AB26" i="54" s="1"/>
  <c r="W35" i="59"/>
  <c r="X24" i="60"/>
  <c r="W12" i="59"/>
  <c r="W37" i="55"/>
  <c r="AB21" i="62"/>
  <c r="AB23" i="62" s="1"/>
  <c r="W12" i="55"/>
  <c r="AC17" i="64" l="1"/>
  <c r="AD17" i="64"/>
  <c r="X56" i="59"/>
  <c r="X48" i="59"/>
  <c r="X36" i="59"/>
  <c r="X22" i="59"/>
  <c r="X21" i="59" s="1"/>
  <c r="X13" i="59"/>
  <c r="AC14" i="62"/>
  <c r="AC19" i="62" s="1"/>
  <c r="Y22" i="11"/>
  <c r="Y25" i="11" s="1"/>
  <c r="Y27" i="11" s="1"/>
  <c r="X13" i="55"/>
  <c r="AC14" i="54"/>
  <c r="AC22" i="54" s="1"/>
  <c r="AC21" i="62" l="1"/>
  <c r="AC23" i="62" s="1"/>
  <c r="AC24" i="54"/>
  <c r="AC26" i="54" s="1"/>
  <c r="X35" i="59"/>
  <c r="X12" i="59"/>
  <c r="Y18" i="11" l="1"/>
  <c r="Y11" i="11"/>
  <c r="AC17" i="13"/>
  <c r="X91" i="56"/>
  <c r="X80" i="56"/>
  <c r="X62" i="56"/>
  <c r="X48" i="56"/>
  <c r="X64" i="56" l="1"/>
  <c r="X66" i="56" s="1"/>
  <c r="X93" i="56" s="1"/>
  <c r="X95" i="56" s="1"/>
  <c r="X57" i="55"/>
  <c r="X49" i="55"/>
  <c r="X38" i="55"/>
  <c r="X22" i="55"/>
  <c r="X21" i="55" s="1"/>
  <c r="X12" i="55" s="1"/>
  <c r="X37" i="55" l="1"/>
  <c r="Y56" i="59"/>
  <c r="Y48" i="59"/>
  <c r="Y36" i="59"/>
  <c r="Y22" i="59"/>
  <c r="Y21" i="59" s="1"/>
  <c r="Y13" i="59"/>
  <c r="AE17" i="64"/>
  <c r="Z30" i="60"/>
  <c r="Z25" i="60"/>
  <c r="Z19" i="60"/>
  <c r="Z11" i="60"/>
  <c r="Y16" i="18"/>
  <c r="Z22" i="11"/>
  <c r="Z25" i="11" s="1"/>
  <c r="Z27" i="11" s="1"/>
  <c r="Z18" i="11"/>
  <c r="Z11" i="11"/>
  <c r="Y94" i="56"/>
  <c r="Y91" i="56"/>
  <c r="Y80" i="56"/>
  <c r="Y62" i="56"/>
  <c r="Y48" i="56"/>
  <c r="Y38" i="55"/>
  <c r="Y57" i="55"/>
  <c r="Y49" i="55"/>
  <c r="Y22" i="55"/>
  <c r="Y21" i="55" s="1"/>
  <c r="Y13" i="55"/>
  <c r="Y37" i="55" l="1"/>
  <c r="Y64" i="56"/>
  <c r="Y66" i="56" s="1"/>
  <c r="Y93" i="56" s="1"/>
  <c r="Y95" i="56" s="1"/>
  <c r="Y12" i="55"/>
  <c r="Z24" i="60"/>
  <c r="Y35" i="59"/>
  <c r="Y12" i="59"/>
  <c r="AQ17" i="64" l="1"/>
  <c r="AP17" i="64"/>
  <c r="AN17" i="64"/>
  <c r="AI17" i="64"/>
  <c r="AM17" i="64"/>
  <c r="AQ14" i="62"/>
  <c r="AQ19" i="62" s="1"/>
  <c r="AP14" i="62"/>
  <c r="AP19" i="62" s="1"/>
  <c r="AO14" i="62"/>
  <c r="AO19" i="62" s="1"/>
  <c r="AN14" i="62"/>
  <c r="AN19" i="62" s="1"/>
  <c r="AM14" i="62"/>
  <c r="AM19" i="62" s="1"/>
  <c r="AL14" i="62"/>
  <c r="AL19" i="62" s="1"/>
  <c r="AK14" i="62"/>
  <c r="AK19" i="62" s="1"/>
  <c r="AJ14" i="62"/>
  <c r="AJ19" i="62" s="1"/>
  <c r="AI14" i="62"/>
  <c r="AI19" i="62" s="1"/>
  <c r="AH14" i="62"/>
  <c r="AG14" i="62"/>
  <c r="AF14" i="62"/>
  <c r="AF19" i="62" s="1"/>
  <c r="AE14" i="62"/>
  <c r="AE19" i="62" s="1"/>
  <c r="AD14" i="62"/>
  <c r="AD19" i="62" s="1"/>
  <c r="AQ17" i="54"/>
  <c r="AQ14" i="54"/>
  <c r="AP14" i="54"/>
  <c r="AP22" i="54" s="1"/>
  <c r="AO14" i="54"/>
  <c r="AO22" i="54" s="1"/>
  <c r="AN14" i="54"/>
  <c r="AN22" i="54" s="1"/>
  <c r="AM14" i="54"/>
  <c r="AM22" i="54" s="1"/>
  <c r="AL14" i="54"/>
  <c r="AL22" i="54" s="1"/>
  <c r="AK14" i="54"/>
  <c r="AK22" i="54" s="1"/>
  <c r="AJ14" i="54"/>
  <c r="AJ22" i="54" s="1"/>
  <c r="AI14" i="54"/>
  <c r="AI22" i="54" s="1"/>
  <c r="AF14" i="54"/>
  <c r="AF22" i="54" s="1"/>
  <c r="AL24" i="54" l="1"/>
  <c r="AL26" i="54" s="1"/>
  <c r="AM24" i="54"/>
  <c r="AM26" i="54" s="1"/>
  <c r="AO24" i="54"/>
  <c r="AO26" i="54" s="1"/>
  <c r="AI24" i="54"/>
  <c r="AI26" i="54" s="1"/>
  <c r="AK21" i="62"/>
  <c r="AK23" i="62" s="1"/>
  <c r="AN21" i="62"/>
  <c r="AN23" i="62" s="1"/>
  <c r="AL21" i="62"/>
  <c r="AL23" i="62" s="1"/>
  <c r="AO21" i="62"/>
  <c r="AO23" i="62" s="1"/>
  <c r="AP21" i="62"/>
  <c r="AP23" i="62" s="1"/>
  <c r="AK17" i="64"/>
  <c r="AJ17" i="64"/>
  <c r="AL17" i="64"/>
  <c r="AO17" i="64"/>
  <c r="AE21" i="62"/>
  <c r="AE23" i="62" s="1"/>
  <c r="AI21" i="62"/>
  <c r="AI23" i="62" s="1"/>
  <c r="AM21" i="62"/>
  <c r="AM23" i="62" s="1"/>
  <c r="AF21" i="62"/>
  <c r="AF23" i="62" s="1"/>
  <c r="AJ21" i="62"/>
  <c r="AJ23" i="62" s="1"/>
  <c r="AD21" i="62"/>
  <c r="AD23" i="62" s="1"/>
  <c r="AN24" i="54"/>
  <c r="AN26" i="54" s="1"/>
  <c r="AP24" i="54"/>
  <c r="AP26" i="54" s="1"/>
  <c r="AQ22" i="54"/>
  <c r="AQ24" i="54" s="1"/>
  <c r="AQ26" i="54" s="1"/>
  <c r="AK24" i="54"/>
  <c r="AK26" i="54" s="1"/>
  <c r="AJ24" i="54"/>
  <c r="AJ26" i="54" s="1"/>
  <c r="AF24" i="54"/>
  <c r="AF26" i="54" s="1"/>
  <c r="Z88" i="63" l="1"/>
  <c r="Z61" i="63"/>
  <c r="Z49" i="63"/>
  <c r="AA30" i="60"/>
  <c r="AA25" i="60"/>
  <c r="AA19" i="60"/>
  <c r="AA11" i="60"/>
  <c r="Z56" i="59"/>
  <c r="Z48" i="59"/>
  <c r="Z36" i="59"/>
  <c r="Z22" i="59"/>
  <c r="Z21" i="59" s="1"/>
  <c r="Z13" i="59"/>
  <c r="Z16" i="18"/>
  <c r="AA27" i="11"/>
  <c r="AA22" i="11"/>
  <c r="AA18" i="11"/>
  <c r="AA11" i="11"/>
  <c r="AE17" i="13"/>
  <c r="AD17" i="13"/>
  <c r="Z80" i="56"/>
  <c r="Z91" i="56"/>
  <c r="Z62" i="56"/>
  <c r="Z48" i="56"/>
  <c r="Z57" i="55"/>
  <c r="Z49" i="55"/>
  <c r="Z38" i="55"/>
  <c r="Z22" i="55"/>
  <c r="Z21" i="55" s="1"/>
  <c r="Z13" i="55"/>
  <c r="Z63" i="63" l="1"/>
  <c r="Z65" i="63" s="1"/>
  <c r="Z91" i="63" s="1"/>
  <c r="Z93" i="63" s="1"/>
  <c r="Z64" i="56"/>
  <c r="Z66" i="56" s="1"/>
  <c r="Z35" i="59"/>
  <c r="Z12" i="59"/>
  <c r="Z37" i="55"/>
  <c r="Z12" i="55"/>
  <c r="AE14" i="54"/>
  <c r="AE22" i="54" s="1"/>
  <c r="AD14" i="54"/>
  <c r="AD22" i="54" s="1"/>
  <c r="AD24" i="54" l="1"/>
  <c r="AD26" i="54" s="1"/>
  <c r="AE24" i="54"/>
  <c r="AE26" i="54" s="1"/>
  <c r="AB25" i="60"/>
  <c r="AB19" i="60"/>
  <c r="AB11" i="60"/>
  <c r="AG17" i="64"/>
  <c r="AF17" i="64"/>
  <c r="AA88" i="63"/>
  <c r="AA61" i="63"/>
  <c r="AA49" i="63"/>
  <c r="AA56" i="59"/>
  <c r="AA48" i="59"/>
  <c r="AA36" i="59"/>
  <c r="AA22" i="59"/>
  <c r="AA21" i="59" s="1"/>
  <c r="AA13" i="59"/>
  <c r="AA16" i="18"/>
  <c r="AB27" i="11"/>
  <c r="AB18" i="11"/>
  <c r="AB11" i="11"/>
  <c r="AG17" i="13"/>
  <c r="AF17" i="13"/>
  <c r="AA91" i="56"/>
  <c r="AA80" i="56"/>
  <c r="AA62" i="56"/>
  <c r="AA48" i="56"/>
  <c r="AA57" i="55"/>
  <c r="AA49" i="55"/>
  <c r="AA38" i="55"/>
  <c r="AA22" i="55"/>
  <c r="AA21" i="55" s="1"/>
  <c r="AA13" i="55"/>
  <c r="AG14" i="54"/>
  <c r="AG22" i="54" s="1"/>
  <c r="AG24" i="54" l="1"/>
  <c r="AG26" i="54" s="1"/>
  <c r="AA37" i="55"/>
  <c r="AA12" i="59"/>
  <c r="AB24" i="60"/>
  <c r="AB28" i="60" s="1"/>
  <c r="AB30" i="60" s="1"/>
  <c r="AA35" i="59"/>
  <c r="AA12" i="55"/>
  <c r="AA63" i="63"/>
  <c r="AA65" i="63" s="1"/>
  <c r="AA91" i="63" s="1"/>
  <c r="AA93" i="63" s="1"/>
  <c r="AA64" i="56"/>
  <c r="AA66" i="56" s="1"/>
  <c r="AC25" i="60"/>
  <c r="AC19" i="60"/>
  <c r="AC11" i="60"/>
  <c r="AH17" i="64"/>
  <c r="AB88" i="63"/>
  <c r="AB61" i="63"/>
  <c r="AB49" i="63"/>
  <c r="AB56" i="59"/>
  <c r="AB48" i="59"/>
  <c r="AB36" i="59"/>
  <c r="AB22" i="59"/>
  <c r="AB21" i="59" s="1"/>
  <c r="AB13" i="59"/>
  <c r="AB16" i="18"/>
  <c r="AC22" i="11"/>
  <c r="AC18" i="11"/>
  <c r="AC11" i="11"/>
  <c r="AH17" i="13"/>
  <c r="AB91" i="56"/>
  <c r="AB80" i="56"/>
  <c r="AB62" i="56"/>
  <c r="AB48" i="56"/>
  <c r="AB57" i="55"/>
  <c r="AB49" i="55"/>
  <c r="AB38" i="55"/>
  <c r="AB22" i="55"/>
  <c r="AB21" i="55" s="1"/>
  <c r="AB13" i="55"/>
  <c r="AC21" i="11" l="1"/>
  <c r="AC25" i="11" s="1"/>
  <c r="AC27" i="11" s="1"/>
  <c r="AB12" i="59"/>
  <c r="AB35" i="59"/>
  <c r="AC24" i="60"/>
  <c r="AC28" i="60" s="1"/>
  <c r="AC30" i="60" s="1"/>
  <c r="AB63" i="63"/>
  <c r="AB65" i="63" s="1"/>
  <c r="AB91" i="63" s="1"/>
  <c r="AB93" i="63" s="1"/>
  <c r="AB64" i="56"/>
  <c r="AB66" i="56" s="1"/>
  <c r="AB37" i="55"/>
  <c r="AB12" i="55"/>
  <c r="AH14" i="54"/>
  <c r="AH22" i="54" s="1"/>
  <c r="AH24" i="54" s="1"/>
  <c r="AH26" i="54" s="1"/>
  <c r="AD25" i="60" l="1"/>
  <c r="AD19" i="60"/>
  <c r="AD11" i="60"/>
  <c r="AC88" i="63"/>
  <c r="AC61" i="63"/>
  <c r="AC49" i="63"/>
  <c r="AC56" i="59"/>
  <c r="AC48" i="59"/>
  <c r="AC36" i="59"/>
  <c r="AC22" i="59"/>
  <c r="AC21" i="59" s="1"/>
  <c r="AC13" i="59"/>
  <c r="AC16" i="18"/>
  <c r="AD22" i="11"/>
  <c r="AD11" i="11"/>
  <c r="AD21" i="11" s="1"/>
  <c r="AI17" i="13"/>
  <c r="AJ17" i="13"/>
  <c r="AC91" i="56"/>
  <c r="AC80" i="56"/>
  <c r="AC62" i="56"/>
  <c r="AC48" i="56"/>
  <c r="AC57" i="55"/>
  <c r="AC49" i="55"/>
  <c r="AC38" i="55"/>
  <c r="AC22" i="55"/>
  <c r="AC21" i="55" s="1"/>
  <c r="AC13" i="55"/>
  <c r="AD25" i="11" l="1"/>
  <c r="AD27" i="11" s="1"/>
  <c r="AD24" i="60"/>
  <c r="AD28" i="60" s="1"/>
  <c r="AD30" i="60" s="1"/>
  <c r="AC12" i="59"/>
  <c r="AC35" i="59"/>
  <c r="AG19" i="62"/>
  <c r="AG21" i="62" s="1"/>
  <c r="AG23" i="62" s="1"/>
  <c r="AH19" i="62"/>
  <c r="AH21" i="62" s="1"/>
  <c r="AH23" i="62" s="1"/>
  <c r="AC12" i="55"/>
  <c r="AC37" i="55"/>
  <c r="AC64" i="56"/>
  <c r="AC66" i="56" s="1"/>
  <c r="AC93" i="56" s="1"/>
  <c r="AC63" i="63"/>
  <c r="AC65" i="63" s="1"/>
  <c r="AC91" i="63" s="1"/>
  <c r="AE25" i="60"/>
  <c r="AE19" i="60"/>
  <c r="AE11" i="60"/>
  <c r="AD88" i="63"/>
  <c r="AD61" i="63"/>
  <c r="AD49" i="63"/>
  <c r="AD56" i="59"/>
  <c r="AD55" i="59"/>
  <c r="AD54" i="59"/>
  <c r="AD41" i="59"/>
  <c r="AD40" i="59"/>
  <c r="AD22" i="59"/>
  <c r="AD21" i="59" s="1"/>
  <c r="AD13" i="59"/>
  <c r="AE22" i="11"/>
  <c r="AE18" i="11"/>
  <c r="AE11" i="11"/>
  <c r="AD91" i="56"/>
  <c r="AD80" i="56"/>
  <c r="AD62" i="56"/>
  <c r="AD48" i="56"/>
  <c r="AD57" i="55"/>
  <c r="AD53" i="55"/>
  <c r="AD49" i="55" s="1"/>
  <c r="AD43" i="55"/>
  <c r="AD38" i="55" s="1"/>
  <c r="AD22" i="55"/>
  <c r="AD21" i="55" s="1"/>
  <c r="AD13" i="55"/>
  <c r="AD48" i="59" l="1"/>
  <c r="AD63" i="63"/>
  <c r="AD65" i="63" s="1"/>
  <c r="AD91" i="63" s="1"/>
  <c r="AD12" i="59"/>
  <c r="AE24" i="60"/>
  <c r="AE28" i="60" s="1"/>
  <c r="AE30" i="60" s="1"/>
  <c r="AE21" i="11"/>
  <c r="AE25" i="11" s="1"/>
  <c r="AE27" i="11" s="1"/>
  <c r="AD36" i="59"/>
  <c r="AD37" i="55"/>
  <c r="AD64" i="56"/>
  <c r="AD66" i="56" s="1"/>
  <c r="AD93" i="56" s="1"/>
  <c r="AD12" i="55"/>
  <c r="AK17" i="13"/>
  <c r="AD35" i="59" l="1"/>
  <c r="AP14" i="60"/>
  <c r="AO14" i="60"/>
  <c r="AN14" i="60"/>
  <c r="AM14" i="60"/>
  <c r="AL14" i="60"/>
  <c r="AK14" i="60"/>
  <c r="AJ14" i="60"/>
  <c r="AI14" i="60"/>
  <c r="AH14" i="60"/>
  <c r="AG14" i="60"/>
  <c r="AT15" i="11" l="1"/>
  <c r="AS15" i="11"/>
  <c r="AR15" i="11"/>
  <c r="AQ15" i="11"/>
  <c r="AP15" i="11"/>
  <c r="AO15" i="11"/>
  <c r="AN15" i="11"/>
  <c r="AM15" i="11"/>
  <c r="AL15" i="11"/>
  <c r="AK15" i="11"/>
  <c r="AJ15" i="11"/>
  <c r="AI15" i="11"/>
  <c r="AH15" i="11"/>
  <c r="AG15" i="11"/>
  <c r="AK12" i="60"/>
  <c r="AJ12" i="60"/>
  <c r="AI12" i="60"/>
  <c r="AH12" i="60"/>
  <c r="AK12" i="11"/>
  <c r="AJ12" i="11"/>
  <c r="AI12" i="11"/>
  <c r="AH12" i="11"/>
  <c r="AG12" i="11"/>
  <c r="AF25" i="60" l="1"/>
  <c r="AF19" i="60"/>
  <c r="AF11" i="60"/>
  <c r="AE92" i="63"/>
  <c r="AD92" i="63" s="1"/>
  <c r="AE88" i="63"/>
  <c r="AE61" i="63"/>
  <c r="AE49" i="63"/>
  <c r="AE56" i="59"/>
  <c r="AE48" i="59"/>
  <c r="AE36" i="59"/>
  <c r="AE22" i="59"/>
  <c r="AE21" i="59" s="1"/>
  <c r="AE13" i="59"/>
  <c r="AF22" i="11"/>
  <c r="AF18" i="11"/>
  <c r="AF11" i="11"/>
  <c r="AL17" i="13"/>
  <c r="AE94" i="56"/>
  <c r="AD94" i="56" s="1"/>
  <c r="AE91" i="56"/>
  <c r="AE80" i="56"/>
  <c r="AE62" i="56"/>
  <c r="AE48" i="56"/>
  <c r="AE57" i="55"/>
  <c r="AE49" i="55"/>
  <c r="AE38" i="55"/>
  <c r="AE22" i="55"/>
  <c r="AE21" i="55" s="1"/>
  <c r="AE13" i="55"/>
  <c r="AF24" i="60" l="1"/>
  <c r="AF28" i="60" s="1"/>
  <c r="AF30" i="60" s="1"/>
  <c r="AC92" i="63"/>
  <c r="AC93" i="63" s="1"/>
  <c r="AD93" i="63"/>
  <c r="AF21" i="11"/>
  <c r="AF25" i="11" s="1"/>
  <c r="AF27" i="11" s="1"/>
  <c r="AC94" i="56"/>
  <c r="AC95" i="56" s="1"/>
  <c r="AD95" i="56"/>
  <c r="AE63" i="63"/>
  <c r="AE65" i="63" s="1"/>
  <c r="AE91" i="63" s="1"/>
  <c r="AE93" i="63" s="1"/>
  <c r="AE64" i="56"/>
  <c r="AE66" i="56" s="1"/>
  <c r="AE93" i="56" s="1"/>
  <c r="AE95" i="56" s="1"/>
  <c r="AE35" i="59"/>
  <c r="AE12" i="59"/>
  <c r="AE37" i="55"/>
  <c r="AE12" i="55"/>
  <c r="AO55" i="59"/>
  <c r="AN55" i="59"/>
  <c r="AM55" i="59"/>
  <c r="AL55" i="59"/>
  <c r="AK55" i="59"/>
  <c r="AJ55" i="59"/>
  <c r="AI55" i="59"/>
  <c r="AH55" i="59"/>
  <c r="AG55" i="59"/>
  <c r="AO54" i="59"/>
  <c r="AN54" i="59"/>
  <c r="AM54" i="59"/>
  <c r="AL54" i="59"/>
  <c r="AK54" i="59"/>
  <c r="AI54" i="59"/>
  <c r="AH54" i="59"/>
  <c r="AG54" i="59"/>
  <c r="AO41" i="59"/>
  <c r="AN41" i="59"/>
  <c r="AM41" i="59"/>
  <c r="AL41" i="59"/>
  <c r="AK41" i="59"/>
  <c r="AJ41" i="59"/>
  <c r="AI41" i="59"/>
  <c r="AH41" i="59"/>
  <c r="AG41" i="59"/>
  <c r="AF22" i="59"/>
  <c r="AF21" i="59" s="1"/>
  <c r="AF13" i="59"/>
  <c r="AE16" i="18"/>
  <c r="AF16" i="18"/>
  <c r="AG16" i="18"/>
  <c r="AH16" i="18"/>
  <c r="AI16" i="18"/>
  <c r="AG14" i="11"/>
  <c r="AG11" i="11" s="1"/>
  <c r="AM17" i="13"/>
  <c r="AF91" i="56"/>
  <c r="AF80" i="56"/>
  <c r="AF62" i="56"/>
  <c r="AF48" i="56"/>
  <c r="AF57" i="55"/>
  <c r="AF49" i="55"/>
  <c r="AF38" i="55"/>
  <c r="AF22" i="55"/>
  <c r="AF21" i="55" s="1"/>
  <c r="AF13" i="55"/>
  <c r="AG25" i="60"/>
  <c r="AG19" i="60"/>
  <c r="AF88" i="63"/>
  <c r="AF61" i="63"/>
  <c r="AF49" i="63"/>
  <c r="AF56" i="59"/>
  <c r="AF48" i="59"/>
  <c r="AF36" i="59"/>
  <c r="AG22" i="11"/>
  <c r="AG18" i="11"/>
  <c r="AG21" i="11" l="1"/>
  <c r="AG25" i="11" s="1"/>
  <c r="AG27" i="11" s="1"/>
  <c r="AF37" i="55"/>
  <c r="AF12" i="55"/>
  <c r="AF64" i="56"/>
  <c r="AF66" i="56" s="1"/>
  <c r="AF93" i="56" s="1"/>
  <c r="AF95" i="56" s="1"/>
  <c r="AF63" i="63"/>
  <c r="AF65" i="63" s="1"/>
  <c r="AF91" i="63" s="1"/>
  <c r="AF93" i="63" s="1"/>
  <c r="AF12" i="59"/>
  <c r="AF35" i="59"/>
  <c r="AH25" i="60"/>
  <c r="AH19" i="60"/>
  <c r="AH11" i="60"/>
  <c r="AG88" i="63"/>
  <c r="AG61" i="63"/>
  <c r="AG49" i="63"/>
  <c r="AG56" i="59"/>
  <c r="AG48" i="59"/>
  <c r="AG36" i="59"/>
  <c r="AG22" i="59"/>
  <c r="AG21" i="59" s="1"/>
  <c r="AG13" i="59"/>
  <c r="AD16" i="18"/>
  <c r="AH22" i="11"/>
  <c r="AH18" i="11"/>
  <c r="AH11" i="11"/>
  <c r="AO17" i="13"/>
  <c r="AG91" i="56"/>
  <c r="AG80" i="56"/>
  <c r="AG62" i="56"/>
  <c r="AG48" i="56"/>
  <c r="AG57" i="55"/>
  <c r="AG49" i="55"/>
  <c r="AG43" i="55"/>
  <c r="AG38" i="55" s="1"/>
  <c r="AG22" i="55"/>
  <c r="AG21" i="55" s="1"/>
  <c r="AG13" i="55"/>
  <c r="AG37" i="55" l="1"/>
  <c r="AG35" i="59"/>
  <c r="AG12" i="55"/>
  <c r="AN17" i="13"/>
  <c r="AG64" i="56"/>
  <c r="AG66" i="56" s="1"/>
  <c r="AG93" i="56" s="1"/>
  <c r="AG95" i="56" s="1"/>
  <c r="AH24" i="60"/>
  <c r="AH28" i="60" s="1"/>
  <c r="AH30" i="60" s="1"/>
  <c r="AH21" i="11"/>
  <c r="AH25" i="11" s="1"/>
  <c r="AH27" i="11" s="1"/>
  <c r="AG12" i="59"/>
  <c r="AG63" i="63"/>
  <c r="AG65" i="63" s="1"/>
  <c r="AG91" i="63" s="1"/>
  <c r="AG93" i="63" s="1"/>
  <c r="AI25" i="60" l="1"/>
  <c r="AI19" i="60"/>
  <c r="AI11" i="60"/>
  <c r="AH88" i="63"/>
  <c r="AH61" i="63"/>
  <c r="AH49" i="63"/>
  <c r="AH56" i="59"/>
  <c r="AH48" i="59"/>
  <c r="AH36" i="59"/>
  <c r="AH22" i="59"/>
  <c r="AH21" i="59" s="1"/>
  <c r="AH13" i="59"/>
  <c r="AI22" i="11"/>
  <c r="AI11" i="11"/>
  <c r="AI18" i="11"/>
  <c r="AP17" i="13"/>
  <c r="AI21" i="11" l="1"/>
  <c r="AI25" i="11" s="1"/>
  <c r="AI27" i="11" s="1"/>
  <c r="AI24" i="60"/>
  <c r="AI28" i="60" s="1"/>
  <c r="AI30" i="60" s="1"/>
  <c r="AH63" i="63"/>
  <c r="AH65" i="63" s="1"/>
  <c r="AH91" i="63" s="1"/>
  <c r="AH93" i="63" s="1"/>
  <c r="AH35" i="59"/>
  <c r="AH12" i="59"/>
  <c r="AH91" i="56" l="1"/>
  <c r="AH80" i="56"/>
  <c r="AH62" i="56"/>
  <c r="AH48" i="56"/>
  <c r="AI48" i="56"/>
  <c r="AH57" i="55"/>
  <c r="AH49" i="55"/>
  <c r="AH38" i="55"/>
  <c r="AH22" i="55"/>
  <c r="AH21" i="55" s="1"/>
  <c r="AH13" i="55"/>
  <c r="AH64" i="56" l="1"/>
  <c r="AH66" i="56" s="1"/>
  <c r="AH93" i="56" s="1"/>
  <c r="AH95" i="56" s="1"/>
  <c r="AH12" i="55"/>
  <c r="AH37" i="55"/>
  <c r="AI56" i="59"/>
  <c r="AI48" i="59"/>
  <c r="AI36" i="59"/>
  <c r="AI13" i="59"/>
  <c r="AI22" i="59"/>
  <c r="AI21" i="59" s="1"/>
  <c r="AI48" i="55"/>
  <c r="AI38" i="55" s="1"/>
  <c r="AI57" i="55"/>
  <c r="AI49" i="55"/>
  <c r="AI22" i="55"/>
  <c r="AI21" i="55" s="1"/>
  <c r="AI13" i="55"/>
  <c r="AI12" i="59" l="1"/>
  <c r="AI12" i="55"/>
  <c r="AI35" i="59"/>
  <c r="AI37" i="55"/>
  <c r="AI95" i="56" l="1"/>
  <c r="AI91" i="56"/>
  <c r="AI80" i="56"/>
  <c r="AI62" i="56"/>
  <c r="AI64" i="56" s="1"/>
  <c r="AI66" i="56" s="1"/>
  <c r="AI88" i="63"/>
  <c r="AO61" i="63"/>
  <c r="AN61" i="63"/>
  <c r="AM61" i="63"/>
  <c r="AL61" i="63"/>
  <c r="AK61" i="63"/>
  <c r="AJ61" i="63"/>
  <c r="AI61" i="63"/>
  <c r="AI49" i="63"/>
  <c r="AN27" i="11"/>
  <c r="AK25" i="11"/>
  <c r="AJ18" i="11"/>
  <c r="AJ22" i="11"/>
  <c r="AJ11" i="11"/>
  <c r="AI63" i="63" l="1"/>
  <c r="AI65" i="63" s="1"/>
  <c r="AI91" i="63" s="1"/>
  <c r="AI93" i="63" s="1"/>
  <c r="AJ21" i="11"/>
  <c r="AJ25" i="11" s="1"/>
  <c r="AJ27" i="11" s="1"/>
  <c r="AJ25" i="60"/>
  <c r="AJ19" i="60"/>
  <c r="AJ11" i="60"/>
  <c r="AJ29" i="60"/>
  <c r="AQ17" i="13"/>
  <c r="AJ24" i="60" l="1"/>
  <c r="AJ28" i="60" s="1"/>
  <c r="AJ30" i="60" s="1"/>
  <c r="AM15" i="60" l="1"/>
  <c r="AQ64" i="56" l="1"/>
  <c r="AQ66" i="56" s="1"/>
  <c r="AU68" i="56" l="1"/>
  <c r="E10" i="38" l="1"/>
  <c r="D10" i="38"/>
  <c r="C10" i="38"/>
  <c r="E8" i="38"/>
  <c r="D8" i="38"/>
  <c r="C8" i="38"/>
  <c r="G3" i="34" l="1"/>
  <c r="E3" i="34"/>
  <c r="C3" i="34"/>
  <c r="E10" i="34"/>
  <c r="G10" i="34"/>
  <c r="F5" i="34"/>
  <c r="C22" i="34" l="1"/>
  <c r="G22" i="34"/>
  <c r="D3" i="34"/>
  <c r="F4" i="34"/>
  <c r="F3" i="34"/>
  <c r="C5" i="34"/>
  <c r="D5" i="34" s="1"/>
  <c r="G5" i="34"/>
  <c r="H5" i="34" s="1"/>
  <c r="C10" i="34"/>
  <c r="C11" i="34" s="1"/>
  <c r="D11" i="34" s="1"/>
  <c r="E11" i="34"/>
  <c r="F11" i="34" s="1"/>
  <c r="C19" i="34"/>
  <c r="G19" i="34"/>
  <c r="H19" i="34" s="1"/>
  <c r="E22" i="34"/>
  <c r="C23" i="34"/>
  <c r="D23" i="34" s="1"/>
  <c r="G23" i="34"/>
  <c r="H22" i="34" s="1"/>
  <c r="G11" i="34"/>
  <c r="H11" i="34" s="1"/>
  <c r="E19" i="34"/>
  <c r="E23" i="34"/>
  <c r="F23" i="34" s="1"/>
  <c r="H20" i="34" l="1"/>
  <c r="H18" i="34"/>
  <c r="H3" i="34"/>
  <c r="H10" i="34"/>
  <c r="H9" i="34"/>
  <c r="F19" i="34"/>
  <c r="F22" i="34"/>
  <c r="D10" i="34"/>
  <c r="D20" i="34"/>
  <c r="F20" i="34"/>
  <c r="F21" i="34"/>
  <c r="F17" i="34"/>
  <c r="F18" i="34"/>
  <c r="H4" i="34"/>
  <c r="D18" i="34"/>
  <c r="D22" i="34"/>
  <c r="F9" i="34"/>
  <c r="D17" i="34"/>
  <c r="H23" i="34"/>
  <c r="H21" i="34"/>
  <c r="D19" i="34"/>
  <c r="F10" i="34"/>
  <c r="H17" i="34"/>
  <c r="D21" i="34"/>
  <c r="D4" i="34"/>
  <c r="D9" i="34"/>
  <c r="B21" i="30" l="1"/>
  <c r="D15" i="31" l="1"/>
  <c r="D7" i="32" l="1"/>
  <c r="C3" i="32" s="1"/>
  <c r="C7" i="32" s="1"/>
  <c r="E7" i="32"/>
  <c r="E11" i="31"/>
  <c r="D11" i="31"/>
  <c r="B23" i="30"/>
  <c r="B24" i="30" s="1"/>
  <c r="C14" i="31" l="1"/>
  <c r="C3" i="31"/>
  <c r="C11" i="31" s="1"/>
  <c r="K11" i="30"/>
  <c r="K12" i="30" s="1"/>
  <c r="U12" i="30"/>
  <c r="T12" i="30"/>
  <c r="P12" i="30"/>
  <c r="C12" i="30"/>
  <c r="H12" i="30" s="1"/>
  <c r="U11" i="30"/>
  <c r="T11" i="30"/>
  <c r="S11" i="30"/>
  <c r="Q11" i="30"/>
  <c r="P11" i="30"/>
  <c r="C11" i="30"/>
  <c r="H11" i="30" s="1"/>
  <c r="U10" i="30"/>
  <c r="T10" i="30"/>
  <c r="S10" i="30"/>
  <c r="P10" i="30"/>
  <c r="J10" i="30"/>
  <c r="L10" i="30" s="1"/>
  <c r="C10" i="30"/>
  <c r="H10" i="30" s="1"/>
  <c r="S8" i="30"/>
  <c r="S12" i="30" s="1"/>
  <c r="R8" i="30"/>
  <c r="L8" i="30"/>
  <c r="I8" i="30"/>
  <c r="H8" i="30"/>
  <c r="R7" i="30"/>
  <c r="L7" i="30"/>
  <c r="I7" i="30"/>
  <c r="H7" i="30"/>
  <c r="V6" i="30"/>
  <c r="Q6" i="30"/>
  <c r="Q12" i="30" s="1"/>
  <c r="L6" i="30"/>
  <c r="I6" i="30"/>
  <c r="H6" i="30"/>
  <c r="V5" i="30"/>
  <c r="R5" i="30"/>
  <c r="R10" i="30" s="1"/>
  <c r="N5" i="30"/>
  <c r="N10" i="30" s="1"/>
  <c r="L5" i="30"/>
  <c r="I5" i="30"/>
  <c r="H5" i="30"/>
  <c r="V4" i="30"/>
  <c r="L4" i="30"/>
  <c r="I4" i="30"/>
  <c r="H4" i="30"/>
  <c r="V3" i="30"/>
  <c r="Q3" i="30"/>
  <c r="L3" i="30"/>
  <c r="I3" i="30"/>
  <c r="H3" i="30"/>
  <c r="V12" i="30" l="1"/>
  <c r="R12" i="30"/>
  <c r="I12" i="30"/>
  <c r="Q10" i="30"/>
  <c r="V11" i="30"/>
  <c r="V10" i="30"/>
  <c r="N12" i="30"/>
  <c r="I11" i="30"/>
  <c r="R11" i="30"/>
  <c r="I10" i="30"/>
  <c r="N11" i="30"/>
  <c r="K254" i="20"/>
  <c r="E251" i="20"/>
  <c r="D251" i="20"/>
  <c r="E250" i="20"/>
  <c r="D250" i="20"/>
  <c r="M249" i="20"/>
  <c r="K249" i="20"/>
  <c r="J249" i="20"/>
  <c r="I249" i="20"/>
  <c r="H249" i="20"/>
  <c r="G249" i="20"/>
  <c r="M248" i="20"/>
  <c r="K248" i="20"/>
  <c r="J248" i="20"/>
  <c r="I248" i="20"/>
  <c r="H248" i="20"/>
  <c r="G248" i="20"/>
  <c r="M247" i="20"/>
  <c r="K247" i="20"/>
  <c r="J247" i="20"/>
  <c r="I247" i="20"/>
  <c r="H247" i="20"/>
  <c r="G247" i="20"/>
  <c r="M246" i="20"/>
  <c r="K246" i="20"/>
  <c r="J246" i="20"/>
  <c r="I246" i="20"/>
  <c r="H246" i="20"/>
  <c r="G246" i="20"/>
  <c r="M245" i="20"/>
  <c r="K245" i="20"/>
  <c r="J245" i="20"/>
  <c r="I245" i="20"/>
  <c r="H245" i="20"/>
  <c r="G245" i="20"/>
  <c r="M244" i="20"/>
  <c r="K244" i="20"/>
  <c r="J244" i="20"/>
  <c r="I244" i="20"/>
  <c r="H244" i="20"/>
  <c r="G244" i="20"/>
  <c r="M243" i="20"/>
  <c r="K243" i="20"/>
  <c r="J243" i="20"/>
  <c r="I243" i="20"/>
  <c r="H243" i="20"/>
  <c r="G243" i="20"/>
  <c r="M242" i="20"/>
  <c r="K242" i="20"/>
  <c r="J242" i="20"/>
  <c r="I242" i="20"/>
  <c r="H242" i="20"/>
  <c r="G242" i="20"/>
  <c r="M241" i="20"/>
  <c r="K241" i="20"/>
  <c r="J241" i="20"/>
  <c r="I241" i="20"/>
  <c r="H241" i="20"/>
  <c r="G241" i="20"/>
  <c r="M240" i="20"/>
  <c r="K240" i="20"/>
  <c r="J240" i="20"/>
  <c r="I240" i="20"/>
  <c r="H240" i="20"/>
  <c r="G240" i="20"/>
  <c r="M239" i="20"/>
  <c r="K239" i="20"/>
  <c r="J239" i="20"/>
  <c r="I239" i="20"/>
  <c r="H239" i="20"/>
  <c r="G239" i="20"/>
  <c r="M238" i="20"/>
  <c r="K238" i="20"/>
  <c r="J238" i="20"/>
  <c r="I238" i="20"/>
  <c r="H238" i="20"/>
  <c r="G238" i="20"/>
  <c r="M237" i="20"/>
  <c r="K237" i="20"/>
  <c r="J237" i="20"/>
  <c r="I237" i="20"/>
  <c r="H237" i="20"/>
  <c r="G237" i="20"/>
  <c r="M236" i="20"/>
  <c r="K236" i="20"/>
  <c r="J236" i="20"/>
  <c r="I236" i="20"/>
  <c r="H236" i="20"/>
  <c r="G236" i="20"/>
  <c r="M235" i="20"/>
  <c r="K235" i="20"/>
  <c r="J235" i="20"/>
  <c r="I235" i="20"/>
  <c r="H235" i="20"/>
  <c r="G235" i="20"/>
  <c r="M234" i="20"/>
  <c r="K234" i="20"/>
  <c r="J234" i="20"/>
  <c r="I234" i="20"/>
  <c r="H234" i="20"/>
  <c r="G234" i="20"/>
  <c r="M233" i="20"/>
  <c r="K233" i="20"/>
  <c r="J233" i="20"/>
  <c r="I233" i="20"/>
  <c r="H233" i="20"/>
  <c r="G233" i="20"/>
  <c r="M232" i="20"/>
  <c r="K232" i="20"/>
  <c r="J232" i="20"/>
  <c r="I232" i="20"/>
  <c r="H232" i="20"/>
  <c r="G232" i="20"/>
  <c r="M231" i="20"/>
  <c r="K231" i="20"/>
  <c r="J231" i="20"/>
  <c r="I231" i="20"/>
  <c r="H231" i="20"/>
  <c r="G231" i="20"/>
  <c r="M230" i="20"/>
  <c r="K230" i="20"/>
  <c r="J230" i="20"/>
  <c r="I230" i="20"/>
  <c r="H230" i="20"/>
  <c r="G230" i="20"/>
  <c r="M229" i="20"/>
  <c r="K229" i="20"/>
  <c r="J229" i="20"/>
  <c r="I229" i="20"/>
  <c r="H229" i="20"/>
  <c r="G229" i="20"/>
  <c r="M228" i="20"/>
  <c r="K228" i="20"/>
  <c r="J228" i="20"/>
  <c r="I228" i="20"/>
  <c r="H228" i="20"/>
  <c r="G228" i="20"/>
  <c r="M227" i="20"/>
  <c r="K227" i="20"/>
  <c r="J227" i="20"/>
  <c r="I227" i="20"/>
  <c r="H227" i="20"/>
  <c r="G227" i="20"/>
  <c r="M226" i="20"/>
  <c r="K226" i="20"/>
  <c r="J226" i="20"/>
  <c r="I226" i="20"/>
  <c r="H226" i="20"/>
  <c r="G226" i="20"/>
  <c r="M225" i="20"/>
  <c r="K225" i="20"/>
  <c r="J225" i="20"/>
  <c r="I225" i="20"/>
  <c r="H225" i="20"/>
  <c r="G225" i="20"/>
  <c r="M224" i="20"/>
  <c r="K224" i="20"/>
  <c r="J224" i="20"/>
  <c r="I224" i="20"/>
  <c r="H224" i="20"/>
  <c r="G224" i="20"/>
  <c r="M223" i="20"/>
  <c r="K223" i="20"/>
  <c r="J223" i="20"/>
  <c r="I223" i="20"/>
  <c r="H223" i="20"/>
  <c r="G223" i="20"/>
  <c r="M222" i="20"/>
  <c r="K222" i="20"/>
  <c r="J222" i="20"/>
  <c r="I222" i="20"/>
  <c r="H222" i="20"/>
  <c r="G222" i="20"/>
  <c r="M221" i="20"/>
  <c r="K221" i="20"/>
  <c r="J221" i="20"/>
  <c r="I221" i="20"/>
  <c r="H221" i="20"/>
  <c r="G221" i="20"/>
  <c r="M220" i="20"/>
  <c r="K220" i="20"/>
  <c r="J220" i="20"/>
  <c r="I220" i="20"/>
  <c r="H220" i="20"/>
  <c r="G220" i="20"/>
  <c r="M219" i="20"/>
  <c r="K219" i="20"/>
  <c r="J219" i="20"/>
  <c r="I219" i="20"/>
  <c r="H219" i="20"/>
  <c r="G219" i="20"/>
  <c r="M218" i="20"/>
  <c r="K218" i="20"/>
  <c r="J218" i="20"/>
  <c r="I218" i="20"/>
  <c r="H218" i="20"/>
  <c r="G218" i="20"/>
  <c r="M217" i="20"/>
  <c r="K217" i="20"/>
  <c r="J217" i="20"/>
  <c r="I217" i="20"/>
  <c r="H217" i="20"/>
  <c r="G217" i="20"/>
  <c r="M216" i="20"/>
  <c r="K216" i="20"/>
  <c r="J216" i="20"/>
  <c r="I216" i="20"/>
  <c r="H216" i="20"/>
  <c r="G216" i="20"/>
  <c r="M215" i="20"/>
  <c r="K215" i="20"/>
  <c r="J215" i="20"/>
  <c r="I215" i="20"/>
  <c r="H215" i="20"/>
  <c r="G215" i="20"/>
  <c r="M214" i="20"/>
  <c r="K214" i="20"/>
  <c r="J214" i="20"/>
  <c r="I214" i="20"/>
  <c r="H214" i="20"/>
  <c r="G214" i="20"/>
  <c r="M213" i="20"/>
  <c r="K213" i="20"/>
  <c r="J213" i="20"/>
  <c r="I213" i="20"/>
  <c r="H213" i="20"/>
  <c r="G213" i="20"/>
  <c r="M212" i="20"/>
  <c r="K212" i="20"/>
  <c r="J212" i="20"/>
  <c r="I212" i="20"/>
  <c r="H212" i="20"/>
  <c r="G212" i="20"/>
  <c r="M211" i="20"/>
  <c r="K211" i="20"/>
  <c r="J211" i="20"/>
  <c r="I211" i="20"/>
  <c r="H211" i="20"/>
  <c r="G211" i="20"/>
  <c r="M210" i="20"/>
  <c r="K210" i="20"/>
  <c r="J210" i="20"/>
  <c r="I210" i="20"/>
  <c r="H210" i="20"/>
  <c r="G210" i="20"/>
  <c r="M209" i="20"/>
  <c r="K209" i="20"/>
  <c r="J209" i="20"/>
  <c r="I209" i="20"/>
  <c r="H209" i="20"/>
  <c r="G209" i="20"/>
  <c r="M208" i="20"/>
  <c r="K208" i="20"/>
  <c r="J208" i="20"/>
  <c r="I208" i="20"/>
  <c r="H208" i="20"/>
  <c r="G208" i="20"/>
  <c r="M207" i="20"/>
  <c r="K207" i="20"/>
  <c r="J207" i="20"/>
  <c r="I207" i="20"/>
  <c r="H207" i="20"/>
  <c r="G207" i="20"/>
  <c r="M206" i="20"/>
  <c r="K206" i="20"/>
  <c r="J206" i="20"/>
  <c r="I206" i="20"/>
  <c r="H206" i="20"/>
  <c r="G206" i="20"/>
  <c r="M205" i="20"/>
  <c r="K205" i="20"/>
  <c r="J205" i="20"/>
  <c r="I205" i="20"/>
  <c r="H205" i="20"/>
  <c r="G205" i="20"/>
  <c r="M204" i="20"/>
  <c r="K204" i="20"/>
  <c r="J204" i="20"/>
  <c r="I204" i="20"/>
  <c r="H204" i="20"/>
  <c r="G204" i="20"/>
  <c r="M203" i="20"/>
  <c r="K203" i="20"/>
  <c r="J203" i="20"/>
  <c r="I203" i="20"/>
  <c r="H203" i="20"/>
  <c r="G203" i="20"/>
  <c r="M202" i="20"/>
  <c r="K202" i="20"/>
  <c r="J202" i="20"/>
  <c r="I202" i="20"/>
  <c r="H202" i="20"/>
  <c r="G202" i="20"/>
  <c r="M201" i="20"/>
  <c r="K201" i="20"/>
  <c r="J201" i="20"/>
  <c r="I201" i="20"/>
  <c r="H201" i="20"/>
  <c r="G201" i="20"/>
  <c r="M200" i="20"/>
  <c r="K200" i="20"/>
  <c r="J200" i="20"/>
  <c r="I200" i="20"/>
  <c r="H200" i="20"/>
  <c r="G200" i="20"/>
  <c r="M199" i="20"/>
  <c r="K199" i="20"/>
  <c r="J199" i="20"/>
  <c r="I199" i="20"/>
  <c r="H199" i="20"/>
  <c r="G199" i="20"/>
  <c r="M198" i="20"/>
  <c r="K198" i="20"/>
  <c r="J198" i="20"/>
  <c r="I198" i="20"/>
  <c r="H198" i="20"/>
  <c r="G198" i="20"/>
  <c r="M197" i="20"/>
  <c r="K197" i="20"/>
  <c r="J197" i="20"/>
  <c r="I197" i="20"/>
  <c r="H197" i="20"/>
  <c r="G197" i="20"/>
  <c r="M196" i="20"/>
  <c r="K196" i="20"/>
  <c r="J196" i="20"/>
  <c r="I196" i="20"/>
  <c r="H196" i="20"/>
  <c r="G196" i="20"/>
  <c r="M195" i="20"/>
  <c r="K195" i="20"/>
  <c r="J195" i="20"/>
  <c r="I195" i="20"/>
  <c r="H195" i="20"/>
  <c r="G195" i="20"/>
  <c r="M194" i="20"/>
  <c r="K194" i="20"/>
  <c r="J194" i="20"/>
  <c r="I194" i="20"/>
  <c r="H194" i="20"/>
  <c r="G194" i="20"/>
  <c r="M193" i="20"/>
  <c r="K193" i="20"/>
  <c r="J193" i="20"/>
  <c r="I193" i="20"/>
  <c r="H193" i="20"/>
  <c r="G193" i="20"/>
  <c r="M192" i="20"/>
  <c r="K192" i="20"/>
  <c r="J192" i="20"/>
  <c r="I192" i="20"/>
  <c r="H192" i="20"/>
  <c r="G192" i="20"/>
  <c r="M191" i="20"/>
  <c r="K191" i="20"/>
  <c r="J191" i="20"/>
  <c r="I191" i="20"/>
  <c r="H191" i="20"/>
  <c r="G191" i="20"/>
  <c r="M190" i="20"/>
  <c r="K190" i="20"/>
  <c r="J190" i="20"/>
  <c r="I190" i="20"/>
  <c r="H190" i="20"/>
  <c r="G190" i="20"/>
  <c r="M189" i="20"/>
  <c r="K189" i="20"/>
  <c r="J189" i="20"/>
  <c r="I189" i="20"/>
  <c r="H189" i="20"/>
  <c r="G189" i="20"/>
  <c r="M188" i="20"/>
  <c r="K188" i="20"/>
  <c r="J188" i="20"/>
  <c r="I188" i="20"/>
  <c r="H188" i="20"/>
  <c r="G188" i="20"/>
  <c r="M187" i="20"/>
  <c r="K187" i="20"/>
  <c r="J187" i="20"/>
  <c r="I187" i="20"/>
  <c r="H187" i="20"/>
  <c r="G187" i="20"/>
  <c r="M186" i="20"/>
  <c r="K186" i="20"/>
  <c r="J186" i="20"/>
  <c r="I186" i="20"/>
  <c r="H186" i="20"/>
  <c r="G186" i="20"/>
  <c r="M185" i="20"/>
  <c r="K185" i="20"/>
  <c r="J185" i="20"/>
  <c r="I185" i="20"/>
  <c r="H185" i="20"/>
  <c r="G185" i="20"/>
  <c r="M184" i="20"/>
  <c r="K184" i="20"/>
  <c r="J184" i="20"/>
  <c r="I184" i="20"/>
  <c r="H184" i="20"/>
  <c r="G184" i="20"/>
  <c r="M183" i="20"/>
  <c r="K183" i="20"/>
  <c r="J183" i="20"/>
  <c r="I183" i="20"/>
  <c r="H183" i="20"/>
  <c r="G183" i="20"/>
  <c r="M182" i="20"/>
  <c r="K182" i="20"/>
  <c r="J182" i="20"/>
  <c r="I182" i="20"/>
  <c r="H182" i="20"/>
  <c r="G182" i="20"/>
  <c r="M181" i="20"/>
  <c r="K181" i="20"/>
  <c r="J181" i="20"/>
  <c r="I181" i="20"/>
  <c r="H181" i="20"/>
  <c r="G181" i="20"/>
  <c r="M180" i="20"/>
  <c r="K180" i="20"/>
  <c r="J180" i="20"/>
  <c r="I180" i="20"/>
  <c r="H180" i="20"/>
  <c r="G180" i="20"/>
  <c r="M179" i="20"/>
  <c r="K179" i="20"/>
  <c r="J179" i="20"/>
  <c r="I179" i="20"/>
  <c r="H179" i="20"/>
  <c r="G179" i="20"/>
  <c r="M178" i="20"/>
  <c r="K178" i="20"/>
  <c r="J178" i="20"/>
  <c r="I178" i="20"/>
  <c r="H178" i="20"/>
  <c r="G178" i="20"/>
  <c r="M177" i="20"/>
  <c r="K177" i="20"/>
  <c r="J177" i="20"/>
  <c r="I177" i="20"/>
  <c r="H177" i="20"/>
  <c r="G177" i="20"/>
  <c r="M176" i="20"/>
  <c r="K176" i="20"/>
  <c r="J176" i="20"/>
  <c r="I176" i="20"/>
  <c r="H176" i="20"/>
  <c r="G176" i="20"/>
  <c r="M175" i="20"/>
  <c r="K175" i="20"/>
  <c r="J175" i="20"/>
  <c r="I175" i="20"/>
  <c r="H175" i="20"/>
  <c r="G175" i="20"/>
  <c r="M174" i="20"/>
  <c r="K174" i="20"/>
  <c r="J174" i="20"/>
  <c r="I174" i="20"/>
  <c r="H174" i="20"/>
  <c r="G174" i="20"/>
  <c r="M173" i="20"/>
  <c r="K173" i="20"/>
  <c r="J173" i="20"/>
  <c r="I173" i="20"/>
  <c r="H173" i="20"/>
  <c r="G173" i="20"/>
  <c r="M172" i="20"/>
  <c r="K172" i="20"/>
  <c r="J172" i="20"/>
  <c r="I172" i="20"/>
  <c r="H172" i="20"/>
  <c r="G172" i="20"/>
  <c r="M171" i="20"/>
  <c r="K171" i="20"/>
  <c r="J171" i="20"/>
  <c r="I171" i="20"/>
  <c r="H171" i="20"/>
  <c r="G171" i="20"/>
  <c r="M170" i="20"/>
  <c r="K170" i="20"/>
  <c r="J170" i="20"/>
  <c r="I170" i="20"/>
  <c r="H170" i="20"/>
  <c r="G170" i="20"/>
  <c r="M169" i="20"/>
  <c r="K169" i="20"/>
  <c r="J169" i="20"/>
  <c r="I169" i="20"/>
  <c r="H169" i="20"/>
  <c r="G169" i="20"/>
  <c r="M168" i="20"/>
  <c r="K168" i="20"/>
  <c r="J168" i="20"/>
  <c r="I168" i="20"/>
  <c r="H168" i="20"/>
  <c r="G168" i="20"/>
  <c r="M167" i="20"/>
  <c r="K167" i="20"/>
  <c r="J167" i="20"/>
  <c r="I167" i="20"/>
  <c r="H167" i="20"/>
  <c r="G167" i="20"/>
  <c r="M166" i="20"/>
  <c r="K166" i="20"/>
  <c r="J166" i="20"/>
  <c r="I166" i="20"/>
  <c r="H166" i="20"/>
  <c r="G166" i="20"/>
  <c r="M165" i="20"/>
  <c r="K165" i="20"/>
  <c r="J165" i="20"/>
  <c r="I165" i="20"/>
  <c r="H165" i="20"/>
  <c r="G165" i="20"/>
  <c r="M164" i="20"/>
  <c r="K164" i="20"/>
  <c r="J164" i="20"/>
  <c r="I164" i="20"/>
  <c r="H164" i="20"/>
  <c r="G164" i="20"/>
  <c r="M163" i="20"/>
  <c r="K163" i="20"/>
  <c r="J163" i="20"/>
  <c r="I163" i="20"/>
  <c r="H163" i="20"/>
  <c r="G163" i="20"/>
  <c r="M162" i="20"/>
  <c r="K162" i="20"/>
  <c r="J162" i="20"/>
  <c r="I162" i="20"/>
  <c r="H162" i="20"/>
  <c r="G162" i="20"/>
  <c r="M161" i="20"/>
  <c r="K161" i="20"/>
  <c r="J161" i="20"/>
  <c r="I161" i="20"/>
  <c r="H161" i="20"/>
  <c r="G161" i="20"/>
  <c r="M160" i="20"/>
  <c r="K160" i="20"/>
  <c r="J160" i="20"/>
  <c r="I160" i="20"/>
  <c r="H160" i="20"/>
  <c r="G160" i="20"/>
  <c r="M159" i="20"/>
  <c r="K159" i="20"/>
  <c r="J159" i="20"/>
  <c r="I159" i="20"/>
  <c r="H159" i="20"/>
  <c r="G159" i="20"/>
  <c r="M158" i="20"/>
  <c r="K158" i="20"/>
  <c r="J158" i="20"/>
  <c r="I158" i="20"/>
  <c r="H158" i="20"/>
  <c r="G158" i="20"/>
  <c r="M157" i="20"/>
  <c r="K157" i="20"/>
  <c r="J157" i="20"/>
  <c r="I157" i="20"/>
  <c r="H157" i="20"/>
  <c r="G157" i="20"/>
  <c r="M156" i="20"/>
  <c r="K156" i="20"/>
  <c r="J156" i="20"/>
  <c r="I156" i="20"/>
  <c r="H156" i="20"/>
  <c r="G156" i="20"/>
  <c r="M155" i="20"/>
  <c r="K155" i="20"/>
  <c r="J155" i="20"/>
  <c r="I155" i="20"/>
  <c r="H155" i="20"/>
  <c r="G155" i="20"/>
  <c r="M154" i="20"/>
  <c r="K154" i="20"/>
  <c r="J154" i="20"/>
  <c r="I154" i="20"/>
  <c r="H154" i="20"/>
  <c r="G154" i="20"/>
  <c r="M153" i="20"/>
  <c r="K153" i="20"/>
  <c r="J153" i="20"/>
  <c r="I153" i="20"/>
  <c r="H153" i="20"/>
  <c r="G153" i="20"/>
  <c r="M152" i="20"/>
  <c r="K152" i="20"/>
  <c r="J152" i="20"/>
  <c r="I152" i="20"/>
  <c r="H152" i="20"/>
  <c r="G152" i="20"/>
  <c r="M151" i="20"/>
  <c r="K151" i="20"/>
  <c r="J151" i="20"/>
  <c r="I151" i="20"/>
  <c r="H151" i="20"/>
  <c r="G151" i="20"/>
  <c r="M150" i="20"/>
  <c r="K150" i="20"/>
  <c r="J150" i="20"/>
  <c r="I150" i="20"/>
  <c r="H150" i="20"/>
  <c r="G150" i="20"/>
  <c r="M149" i="20"/>
  <c r="K149" i="20"/>
  <c r="J149" i="20"/>
  <c r="I149" i="20"/>
  <c r="H149" i="20"/>
  <c r="G149" i="20"/>
  <c r="M148" i="20"/>
  <c r="K148" i="20"/>
  <c r="J148" i="20"/>
  <c r="I148" i="20"/>
  <c r="H148" i="20"/>
  <c r="G148" i="20"/>
  <c r="M147" i="20"/>
  <c r="K147" i="20"/>
  <c r="J147" i="20"/>
  <c r="I147" i="20"/>
  <c r="H147" i="20"/>
  <c r="G147" i="20"/>
  <c r="M146" i="20"/>
  <c r="K146" i="20"/>
  <c r="J146" i="20"/>
  <c r="I146" i="20"/>
  <c r="H146" i="20"/>
  <c r="G146" i="20"/>
  <c r="M145" i="20"/>
  <c r="K145" i="20"/>
  <c r="J145" i="20"/>
  <c r="I145" i="20"/>
  <c r="H145" i="20"/>
  <c r="G145" i="20"/>
  <c r="M144" i="20"/>
  <c r="K144" i="20"/>
  <c r="J144" i="20"/>
  <c r="I144" i="20"/>
  <c r="H144" i="20"/>
  <c r="G144" i="20"/>
  <c r="M143" i="20"/>
  <c r="K143" i="20"/>
  <c r="J143" i="20"/>
  <c r="I143" i="20"/>
  <c r="H143" i="20"/>
  <c r="G143" i="20"/>
  <c r="M142" i="20"/>
  <c r="K142" i="20"/>
  <c r="J142" i="20"/>
  <c r="I142" i="20"/>
  <c r="H142" i="20"/>
  <c r="G142" i="20"/>
  <c r="M141" i="20"/>
  <c r="K141" i="20"/>
  <c r="J141" i="20"/>
  <c r="I141" i="20"/>
  <c r="H141" i="20"/>
  <c r="G141" i="20"/>
  <c r="M140" i="20"/>
  <c r="K140" i="20"/>
  <c r="J140" i="20"/>
  <c r="I140" i="20"/>
  <c r="H140" i="20"/>
  <c r="G140" i="20"/>
  <c r="M139" i="20"/>
  <c r="K139" i="20"/>
  <c r="J139" i="20"/>
  <c r="I139" i="20"/>
  <c r="H139" i="20"/>
  <c r="G139" i="20"/>
  <c r="M138" i="20"/>
  <c r="K138" i="20"/>
  <c r="J138" i="20"/>
  <c r="I138" i="20"/>
  <c r="H138" i="20"/>
  <c r="G138" i="20"/>
  <c r="M137" i="20"/>
  <c r="K137" i="20"/>
  <c r="J137" i="20"/>
  <c r="I137" i="20"/>
  <c r="H137" i="20"/>
  <c r="G137" i="20"/>
  <c r="M136" i="20"/>
  <c r="K136" i="20"/>
  <c r="J136" i="20"/>
  <c r="I136" i="20"/>
  <c r="H136" i="20"/>
  <c r="G136" i="20"/>
  <c r="M135" i="20"/>
  <c r="K135" i="20"/>
  <c r="J135" i="20"/>
  <c r="I135" i="20"/>
  <c r="H135" i="20"/>
  <c r="G135" i="20"/>
  <c r="M134" i="20"/>
  <c r="K134" i="20"/>
  <c r="J134" i="20"/>
  <c r="I134" i="20"/>
  <c r="H134" i="20"/>
  <c r="G134" i="20"/>
  <c r="M133" i="20"/>
  <c r="K133" i="20"/>
  <c r="J133" i="20"/>
  <c r="I133" i="20"/>
  <c r="H133" i="20"/>
  <c r="G133" i="20"/>
  <c r="M132" i="20"/>
  <c r="K132" i="20"/>
  <c r="J132" i="20"/>
  <c r="I132" i="20"/>
  <c r="H132" i="20"/>
  <c r="G132" i="20"/>
  <c r="M131" i="20"/>
  <c r="K131" i="20"/>
  <c r="J131" i="20"/>
  <c r="I131" i="20"/>
  <c r="H131" i="20"/>
  <c r="G131" i="20"/>
  <c r="M130" i="20"/>
  <c r="K130" i="20"/>
  <c r="J130" i="20"/>
  <c r="I130" i="20"/>
  <c r="H130" i="20"/>
  <c r="G130" i="20"/>
  <c r="M129" i="20"/>
  <c r="K129" i="20"/>
  <c r="J129" i="20"/>
  <c r="I129" i="20"/>
  <c r="H129" i="20"/>
  <c r="G129" i="20"/>
  <c r="M128" i="20"/>
  <c r="K128" i="20"/>
  <c r="J128" i="20"/>
  <c r="I128" i="20"/>
  <c r="H128" i="20"/>
  <c r="G128" i="20"/>
  <c r="M127" i="20"/>
  <c r="K127" i="20"/>
  <c r="J127" i="20"/>
  <c r="I127" i="20"/>
  <c r="H127" i="20"/>
  <c r="G127" i="20"/>
  <c r="M126" i="20"/>
  <c r="K126" i="20"/>
  <c r="J126" i="20"/>
  <c r="I126" i="20"/>
  <c r="H126" i="20"/>
  <c r="G126" i="20"/>
  <c r="M125" i="20"/>
  <c r="K125" i="20"/>
  <c r="J125" i="20"/>
  <c r="I125" i="20"/>
  <c r="H125" i="20"/>
  <c r="G125" i="20"/>
  <c r="M124" i="20"/>
  <c r="K124" i="20"/>
  <c r="J124" i="20"/>
  <c r="I124" i="20"/>
  <c r="H124" i="20"/>
  <c r="G124" i="20"/>
  <c r="M123" i="20"/>
  <c r="K123" i="20"/>
  <c r="J123" i="20"/>
  <c r="I123" i="20"/>
  <c r="H123" i="20"/>
  <c r="G123" i="20"/>
  <c r="M122" i="20"/>
  <c r="K122" i="20"/>
  <c r="J122" i="20"/>
  <c r="I122" i="20"/>
  <c r="H122" i="20"/>
  <c r="G122" i="20"/>
  <c r="M121" i="20"/>
  <c r="K121" i="20"/>
  <c r="J121" i="20"/>
  <c r="I121" i="20"/>
  <c r="H121" i="20"/>
  <c r="G121" i="20"/>
  <c r="M120" i="20"/>
  <c r="K120" i="20"/>
  <c r="J120" i="20"/>
  <c r="I120" i="20"/>
  <c r="H120" i="20"/>
  <c r="G120" i="20"/>
  <c r="M119" i="20"/>
  <c r="K119" i="20"/>
  <c r="J119" i="20"/>
  <c r="I119" i="20"/>
  <c r="H119" i="20"/>
  <c r="G119" i="20"/>
  <c r="M118" i="20"/>
  <c r="K118" i="20"/>
  <c r="J118" i="20"/>
  <c r="I118" i="20"/>
  <c r="H118" i="20"/>
  <c r="G118" i="20"/>
  <c r="M117" i="20"/>
  <c r="K117" i="20"/>
  <c r="J117" i="20"/>
  <c r="I117" i="20"/>
  <c r="H117" i="20"/>
  <c r="G117" i="20"/>
  <c r="M116" i="20"/>
  <c r="K116" i="20"/>
  <c r="J116" i="20"/>
  <c r="I116" i="20"/>
  <c r="H116" i="20"/>
  <c r="G116" i="20"/>
  <c r="M115" i="20"/>
  <c r="K115" i="20"/>
  <c r="J115" i="20"/>
  <c r="I115" i="20"/>
  <c r="H115" i="20"/>
  <c r="G115" i="20"/>
  <c r="M114" i="20"/>
  <c r="K114" i="20"/>
  <c r="J114" i="20"/>
  <c r="I114" i="20"/>
  <c r="H114" i="20"/>
  <c r="G114" i="20"/>
  <c r="M113" i="20"/>
  <c r="K113" i="20"/>
  <c r="J113" i="20"/>
  <c r="I113" i="20"/>
  <c r="H113" i="20"/>
  <c r="G113" i="20"/>
  <c r="M112" i="20"/>
  <c r="K112" i="20"/>
  <c r="J112" i="20"/>
  <c r="I112" i="20"/>
  <c r="G112" i="20"/>
  <c r="M111" i="20"/>
  <c r="K111" i="20"/>
  <c r="J111" i="20"/>
  <c r="I111" i="20"/>
  <c r="G111" i="20"/>
  <c r="M110" i="20"/>
  <c r="K110" i="20"/>
  <c r="J110" i="20"/>
  <c r="I110" i="20"/>
  <c r="H110" i="20"/>
  <c r="G110" i="20"/>
  <c r="M109" i="20"/>
  <c r="K109" i="20"/>
  <c r="J109" i="20"/>
  <c r="I109" i="20"/>
  <c r="H109" i="20"/>
  <c r="G109" i="20"/>
  <c r="M108" i="20"/>
  <c r="K108" i="20"/>
  <c r="J108" i="20"/>
  <c r="I108" i="20"/>
  <c r="H108" i="20"/>
  <c r="G108" i="20"/>
  <c r="M107" i="20"/>
  <c r="K107" i="20"/>
  <c r="J107" i="20"/>
  <c r="I107" i="20"/>
  <c r="H107" i="20"/>
  <c r="G107" i="20"/>
  <c r="M106" i="20"/>
  <c r="K106" i="20"/>
  <c r="J106" i="20"/>
  <c r="I106" i="20"/>
  <c r="H106" i="20"/>
  <c r="G106" i="20"/>
  <c r="M105" i="20"/>
  <c r="K105" i="20"/>
  <c r="J105" i="20"/>
  <c r="I105" i="20"/>
  <c r="H105" i="20"/>
  <c r="G105" i="20"/>
  <c r="M104" i="20"/>
  <c r="K104" i="20"/>
  <c r="J104" i="20"/>
  <c r="I104" i="20"/>
  <c r="H104" i="20"/>
  <c r="G104" i="20"/>
  <c r="M103" i="20"/>
  <c r="K103" i="20"/>
  <c r="J103" i="20"/>
  <c r="I103" i="20"/>
  <c r="H103" i="20"/>
  <c r="G103" i="20"/>
  <c r="M102" i="20"/>
  <c r="K102" i="20"/>
  <c r="J102" i="20"/>
  <c r="I102" i="20"/>
  <c r="H102" i="20"/>
  <c r="G102" i="20"/>
  <c r="M101" i="20"/>
  <c r="K101" i="20"/>
  <c r="J101" i="20"/>
  <c r="I101" i="20"/>
  <c r="H101" i="20"/>
  <c r="G101" i="20"/>
  <c r="M100" i="20"/>
  <c r="K100" i="20"/>
  <c r="J100" i="20"/>
  <c r="I100" i="20"/>
  <c r="H100" i="20"/>
  <c r="G100" i="20"/>
  <c r="M99" i="20"/>
  <c r="K99" i="20"/>
  <c r="J99" i="20"/>
  <c r="I99" i="20"/>
  <c r="H99" i="20"/>
  <c r="G99" i="20"/>
  <c r="M98" i="20"/>
  <c r="K98" i="20"/>
  <c r="J98" i="20"/>
  <c r="I98" i="20"/>
  <c r="H98" i="20"/>
  <c r="G98" i="20"/>
  <c r="M97" i="20"/>
  <c r="K97" i="20"/>
  <c r="J97" i="20"/>
  <c r="I97" i="20"/>
  <c r="H97" i="20"/>
  <c r="G97" i="20"/>
  <c r="M96" i="20"/>
  <c r="K96" i="20"/>
  <c r="J96" i="20"/>
  <c r="I96" i="20"/>
  <c r="H96" i="20"/>
  <c r="G96" i="20"/>
  <c r="M95" i="20"/>
  <c r="K95" i="20"/>
  <c r="J95" i="20"/>
  <c r="I95" i="20"/>
  <c r="H95" i="20"/>
  <c r="G95" i="20"/>
  <c r="M94" i="20"/>
  <c r="K94" i="20"/>
  <c r="J94" i="20"/>
  <c r="I94" i="20"/>
  <c r="H94" i="20"/>
  <c r="G94" i="20"/>
  <c r="M93" i="20"/>
  <c r="K93" i="20"/>
  <c r="J93" i="20"/>
  <c r="I93" i="20"/>
  <c r="H93" i="20"/>
  <c r="G93" i="20"/>
  <c r="M92" i="20"/>
  <c r="K92" i="20"/>
  <c r="J92" i="20"/>
  <c r="I92" i="20"/>
  <c r="H92" i="20"/>
  <c r="G92" i="20"/>
  <c r="M91" i="20"/>
  <c r="K91" i="20"/>
  <c r="J91" i="20"/>
  <c r="I91" i="20"/>
  <c r="H91" i="20"/>
  <c r="G91" i="20"/>
  <c r="M90" i="20"/>
  <c r="K90" i="20"/>
  <c r="J90" i="20"/>
  <c r="I90" i="20"/>
  <c r="H90" i="20"/>
  <c r="G90" i="20"/>
  <c r="M89" i="20"/>
  <c r="K89" i="20"/>
  <c r="J89" i="20"/>
  <c r="I89" i="20"/>
  <c r="H89" i="20"/>
  <c r="G89" i="20"/>
  <c r="M88" i="20"/>
  <c r="K88" i="20"/>
  <c r="J88" i="20"/>
  <c r="I88" i="20"/>
  <c r="H88" i="20"/>
  <c r="G88" i="20"/>
  <c r="M87" i="20"/>
  <c r="K87" i="20"/>
  <c r="J87" i="20"/>
  <c r="I87" i="20"/>
  <c r="H87" i="20"/>
  <c r="G87" i="20"/>
  <c r="M86" i="20"/>
  <c r="K86" i="20"/>
  <c r="J86" i="20"/>
  <c r="I86" i="20"/>
  <c r="H86" i="20"/>
  <c r="G86" i="20"/>
  <c r="M85" i="20"/>
  <c r="K85" i="20"/>
  <c r="J85" i="20"/>
  <c r="I85" i="20"/>
  <c r="H85" i="20"/>
  <c r="G85" i="20"/>
  <c r="M84" i="20"/>
  <c r="K84" i="20"/>
  <c r="J84" i="20"/>
  <c r="I84" i="20"/>
  <c r="H84" i="20"/>
  <c r="G84" i="20"/>
  <c r="M83" i="20"/>
  <c r="K83" i="20"/>
  <c r="J83" i="20"/>
  <c r="I83" i="20"/>
  <c r="H83" i="20"/>
  <c r="G83" i="20"/>
  <c r="M82" i="20"/>
  <c r="K82" i="20"/>
  <c r="J82" i="20"/>
  <c r="I82" i="20"/>
  <c r="H82" i="20"/>
  <c r="G82" i="20"/>
  <c r="M81" i="20"/>
  <c r="K81" i="20"/>
  <c r="J81" i="20"/>
  <c r="I81" i="20"/>
  <c r="H81" i="20"/>
  <c r="G81" i="20"/>
  <c r="M80" i="20"/>
  <c r="K80" i="20"/>
  <c r="J80" i="20"/>
  <c r="I80" i="20"/>
  <c r="H80" i="20"/>
  <c r="G80" i="20"/>
  <c r="M79" i="20"/>
  <c r="K79" i="20"/>
  <c r="J79" i="20"/>
  <c r="I79" i="20"/>
  <c r="H79" i="20"/>
  <c r="G79" i="20"/>
  <c r="M78" i="20"/>
  <c r="K78" i="20"/>
  <c r="J78" i="20"/>
  <c r="I78" i="20"/>
  <c r="H78" i="20"/>
  <c r="G78" i="20"/>
  <c r="M77" i="20"/>
  <c r="K77" i="20"/>
  <c r="J77" i="20"/>
  <c r="I77" i="20"/>
  <c r="H77" i="20"/>
  <c r="G77" i="20"/>
  <c r="M76" i="20"/>
  <c r="K76" i="20"/>
  <c r="J76" i="20"/>
  <c r="I76" i="20"/>
  <c r="H76" i="20"/>
  <c r="G76" i="20"/>
  <c r="M75" i="20"/>
  <c r="K75" i="20"/>
  <c r="J75" i="20"/>
  <c r="I75" i="20"/>
  <c r="H75" i="20"/>
  <c r="G75" i="20"/>
  <c r="M74" i="20"/>
  <c r="K74" i="20"/>
  <c r="J74" i="20"/>
  <c r="I74" i="20"/>
  <c r="H74" i="20"/>
  <c r="G74" i="20"/>
  <c r="M73" i="20"/>
  <c r="K73" i="20"/>
  <c r="J73" i="20"/>
  <c r="I73" i="20"/>
  <c r="H73" i="20"/>
  <c r="G73" i="20"/>
  <c r="M72" i="20"/>
  <c r="K72" i="20"/>
  <c r="J72" i="20"/>
  <c r="I72" i="20"/>
  <c r="H72" i="20"/>
  <c r="G72" i="20"/>
  <c r="M71" i="20"/>
  <c r="K71" i="20"/>
  <c r="J71" i="20"/>
  <c r="I71" i="20"/>
  <c r="H71" i="20"/>
  <c r="G71" i="20"/>
  <c r="M70" i="20"/>
  <c r="K70" i="20"/>
  <c r="J70" i="20"/>
  <c r="I70" i="20"/>
  <c r="H70" i="20"/>
  <c r="G70" i="20"/>
  <c r="M69" i="20"/>
  <c r="K69" i="20"/>
  <c r="J69" i="20"/>
  <c r="I69" i="20"/>
  <c r="H69" i="20"/>
  <c r="G69" i="20"/>
  <c r="M68" i="20"/>
  <c r="K68" i="20"/>
  <c r="J68" i="20"/>
  <c r="I68" i="20"/>
  <c r="H68" i="20"/>
  <c r="G68" i="20"/>
  <c r="M67" i="20"/>
  <c r="K67" i="20"/>
  <c r="J67" i="20"/>
  <c r="I67" i="20"/>
  <c r="H67" i="20"/>
  <c r="G67" i="20"/>
  <c r="M66" i="20"/>
  <c r="K66" i="20"/>
  <c r="J66" i="20"/>
  <c r="I66" i="20"/>
  <c r="H66" i="20"/>
  <c r="G66" i="20"/>
  <c r="M65" i="20"/>
  <c r="K65" i="20"/>
  <c r="J65" i="20"/>
  <c r="I65" i="20"/>
  <c r="H65" i="20"/>
  <c r="G65" i="20"/>
  <c r="M64" i="20"/>
  <c r="K64" i="20"/>
  <c r="J64" i="20"/>
  <c r="I64" i="20"/>
  <c r="H64" i="20"/>
  <c r="G64" i="20"/>
  <c r="M63" i="20"/>
  <c r="K63" i="20"/>
  <c r="J63" i="20"/>
  <c r="I63" i="20"/>
  <c r="H63" i="20"/>
  <c r="G63" i="20"/>
  <c r="M62" i="20"/>
  <c r="K62" i="20"/>
  <c r="J62" i="20"/>
  <c r="I62" i="20"/>
  <c r="H62" i="20"/>
  <c r="G62" i="20"/>
  <c r="M61" i="20"/>
  <c r="K61" i="20"/>
  <c r="J61" i="20"/>
  <c r="I61" i="20"/>
  <c r="H61" i="20"/>
  <c r="G61" i="20"/>
  <c r="M60" i="20"/>
  <c r="K60" i="20"/>
  <c r="J60" i="20"/>
  <c r="I60" i="20"/>
  <c r="H60" i="20"/>
  <c r="G60" i="20"/>
  <c r="M59" i="20"/>
  <c r="K59" i="20"/>
  <c r="J59" i="20"/>
  <c r="I59" i="20"/>
  <c r="H59" i="20"/>
  <c r="G59" i="20"/>
  <c r="M58" i="20"/>
  <c r="K58" i="20"/>
  <c r="J58" i="20"/>
  <c r="I58" i="20"/>
  <c r="H58" i="20"/>
  <c r="G58" i="20"/>
  <c r="M57" i="20"/>
  <c r="K57" i="20"/>
  <c r="J57" i="20"/>
  <c r="I57" i="20"/>
  <c r="H57" i="20"/>
  <c r="G57" i="20"/>
  <c r="M56" i="20"/>
  <c r="K56" i="20"/>
  <c r="J56" i="20"/>
  <c r="I56" i="20"/>
  <c r="H56" i="20"/>
  <c r="G56" i="20"/>
  <c r="M55" i="20"/>
  <c r="K55" i="20"/>
  <c r="J55" i="20"/>
  <c r="I55" i="20"/>
  <c r="H55" i="20"/>
  <c r="G55" i="20"/>
  <c r="M54" i="20"/>
  <c r="K54" i="20"/>
  <c r="J54" i="20"/>
  <c r="I54" i="20"/>
  <c r="H54" i="20"/>
  <c r="G54" i="20"/>
  <c r="M53" i="20"/>
  <c r="K53" i="20"/>
  <c r="J53" i="20"/>
  <c r="I53" i="20"/>
  <c r="H53" i="20"/>
  <c r="G53" i="20"/>
  <c r="M52" i="20"/>
  <c r="K52" i="20"/>
  <c r="J52" i="20"/>
  <c r="I52" i="20"/>
  <c r="H52" i="20"/>
  <c r="G52" i="20"/>
  <c r="M51" i="20"/>
  <c r="K51" i="20"/>
  <c r="J51" i="20"/>
  <c r="I51" i="20"/>
  <c r="H51" i="20"/>
  <c r="G51" i="20"/>
  <c r="M50" i="20"/>
  <c r="K50" i="20"/>
  <c r="J50" i="20"/>
  <c r="I50" i="20"/>
  <c r="H50" i="20"/>
  <c r="G50" i="20"/>
  <c r="M49" i="20"/>
  <c r="K49" i="20"/>
  <c r="J49" i="20"/>
  <c r="I49" i="20"/>
  <c r="H49" i="20"/>
  <c r="G49" i="20"/>
  <c r="M48" i="20"/>
  <c r="K48" i="20"/>
  <c r="J48" i="20"/>
  <c r="I48" i="20"/>
  <c r="H48" i="20"/>
  <c r="G48" i="20"/>
  <c r="M47" i="20"/>
  <c r="K47" i="20"/>
  <c r="J47" i="20"/>
  <c r="I47" i="20"/>
  <c r="H47" i="20"/>
  <c r="G47" i="20"/>
  <c r="M46" i="20"/>
  <c r="K46" i="20"/>
  <c r="J46" i="20"/>
  <c r="I46" i="20"/>
  <c r="H46" i="20"/>
  <c r="G46" i="20"/>
  <c r="M45" i="20"/>
  <c r="K45" i="20"/>
  <c r="J45" i="20"/>
  <c r="I45" i="20"/>
  <c r="H45" i="20"/>
  <c r="G45" i="20"/>
  <c r="M44" i="20"/>
  <c r="K44" i="20"/>
  <c r="J44" i="20"/>
  <c r="I44" i="20"/>
  <c r="H44" i="20"/>
  <c r="G44" i="20"/>
  <c r="M43" i="20"/>
  <c r="K43" i="20"/>
  <c r="J43" i="20"/>
  <c r="I43" i="20"/>
  <c r="H43" i="20"/>
  <c r="G43" i="20"/>
  <c r="M42" i="20"/>
  <c r="K42" i="20"/>
  <c r="J42" i="20"/>
  <c r="I42" i="20"/>
  <c r="H42" i="20"/>
  <c r="G42" i="20"/>
  <c r="M41" i="20"/>
  <c r="K41" i="20"/>
  <c r="J41" i="20"/>
  <c r="I41" i="20"/>
  <c r="H41" i="20"/>
  <c r="G41" i="20"/>
  <c r="M40" i="20"/>
  <c r="K40" i="20"/>
  <c r="J40" i="20"/>
  <c r="I40" i="20"/>
  <c r="H40" i="20"/>
  <c r="G40" i="20"/>
  <c r="M39" i="20"/>
  <c r="K39" i="20"/>
  <c r="J39" i="20"/>
  <c r="I39" i="20"/>
  <c r="H39" i="20"/>
  <c r="G39" i="20"/>
  <c r="M38" i="20"/>
  <c r="K38" i="20"/>
  <c r="J38" i="20"/>
  <c r="I38" i="20"/>
  <c r="H38" i="20"/>
  <c r="G38" i="20"/>
  <c r="M37" i="20"/>
  <c r="K37" i="20"/>
  <c r="J37" i="20"/>
  <c r="I37" i="20"/>
  <c r="H37" i="20"/>
  <c r="G37" i="20"/>
  <c r="M36" i="20"/>
  <c r="K36" i="20"/>
  <c r="J36" i="20"/>
  <c r="I36" i="20"/>
  <c r="H36" i="20"/>
  <c r="G36" i="20"/>
  <c r="M35" i="20"/>
  <c r="K35" i="20"/>
  <c r="J35" i="20"/>
  <c r="I35" i="20"/>
  <c r="H35" i="20"/>
  <c r="G35" i="20"/>
  <c r="M34" i="20"/>
  <c r="K34" i="20"/>
  <c r="J34" i="20"/>
  <c r="I34" i="20"/>
  <c r="H34" i="20"/>
  <c r="G34" i="20"/>
  <c r="M33" i="20"/>
  <c r="K33" i="20"/>
  <c r="J33" i="20"/>
  <c r="I33" i="20"/>
  <c r="H33" i="20"/>
  <c r="G33" i="20"/>
  <c r="M32" i="20"/>
  <c r="K32" i="20"/>
  <c r="J32" i="20"/>
  <c r="I32" i="20"/>
  <c r="H32" i="20"/>
  <c r="G32" i="20"/>
  <c r="M31" i="20"/>
  <c r="K31" i="20"/>
  <c r="J31" i="20"/>
  <c r="I31" i="20"/>
  <c r="H31" i="20"/>
  <c r="G31" i="20"/>
  <c r="M30" i="20"/>
  <c r="K30" i="20"/>
  <c r="J30" i="20"/>
  <c r="I30" i="20"/>
  <c r="H30" i="20"/>
  <c r="G30" i="20"/>
  <c r="M29" i="20"/>
  <c r="K29" i="20"/>
  <c r="J29" i="20"/>
  <c r="I29" i="20"/>
  <c r="H29" i="20"/>
  <c r="G29" i="20"/>
  <c r="M28" i="20"/>
  <c r="K28" i="20"/>
  <c r="J28" i="20"/>
  <c r="I28" i="20"/>
  <c r="H28" i="20"/>
  <c r="G28" i="20"/>
  <c r="M27" i="20"/>
  <c r="K27" i="20"/>
  <c r="J27" i="20"/>
  <c r="I27" i="20"/>
  <c r="H27" i="20"/>
  <c r="G27" i="20"/>
  <c r="M26" i="20"/>
  <c r="K26" i="20"/>
  <c r="J26" i="20"/>
  <c r="I26" i="20"/>
  <c r="H26" i="20"/>
  <c r="G26" i="20"/>
  <c r="M25" i="20"/>
  <c r="K25" i="20"/>
  <c r="J25" i="20"/>
  <c r="I25" i="20"/>
  <c r="H25" i="20"/>
  <c r="G25" i="20"/>
  <c r="M24" i="20"/>
  <c r="K24" i="20"/>
  <c r="J24" i="20"/>
  <c r="I24" i="20"/>
  <c r="H24" i="20"/>
  <c r="G24" i="20"/>
  <c r="M23" i="20"/>
  <c r="K23" i="20"/>
  <c r="J23" i="20"/>
  <c r="I23" i="20"/>
  <c r="H23" i="20"/>
  <c r="G23" i="20"/>
  <c r="M22" i="20"/>
  <c r="K22" i="20"/>
  <c r="J22" i="20"/>
  <c r="I22" i="20"/>
  <c r="H22" i="20"/>
  <c r="G22" i="20"/>
  <c r="M21" i="20"/>
  <c r="K21" i="20"/>
  <c r="J21" i="20"/>
  <c r="I21" i="20"/>
  <c r="H21" i="20"/>
  <c r="G21" i="20"/>
  <c r="M20" i="20"/>
  <c r="K20" i="20"/>
  <c r="J20" i="20"/>
  <c r="I20" i="20"/>
  <c r="H20" i="20"/>
  <c r="G20" i="20"/>
  <c r="M19" i="20"/>
  <c r="K19" i="20"/>
  <c r="J19" i="20"/>
  <c r="I19" i="20"/>
  <c r="H19" i="20"/>
  <c r="G19" i="20"/>
  <c r="M18" i="20"/>
  <c r="K18" i="20"/>
  <c r="J18" i="20"/>
  <c r="I18" i="20"/>
  <c r="H18" i="20"/>
  <c r="G18" i="20"/>
  <c r="M17" i="20"/>
  <c r="K17" i="20"/>
  <c r="J17" i="20"/>
  <c r="I17" i="20"/>
  <c r="H17" i="20"/>
  <c r="G17" i="20"/>
  <c r="M16" i="20"/>
  <c r="K16" i="20"/>
  <c r="J16" i="20"/>
  <c r="I16" i="20"/>
  <c r="H16" i="20"/>
  <c r="G16" i="20"/>
  <c r="M15" i="20"/>
  <c r="K15" i="20"/>
  <c r="J15" i="20"/>
  <c r="I15" i="20"/>
  <c r="H15" i="20"/>
  <c r="G15" i="20"/>
  <c r="M14" i="20"/>
  <c r="K14" i="20"/>
  <c r="J14" i="20"/>
  <c r="I14" i="20"/>
  <c r="H14" i="20"/>
  <c r="G14" i="20"/>
  <c r="M13" i="20"/>
  <c r="K13" i="20"/>
  <c r="J13" i="20"/>
  <c r="I13" i="20"/>
  <c r="H13" i="20"/>
  <c r="G13" i="20"/>
  <c r="M12" i="20"/>
  <c r="K12" i="20"/>
  <c r="J12" i="20"/>
  <c r="I12" i="20"/>
  <c r="H12" i="20"/>
  <c r="G12" i="20"/>
  <c r="M11" i="20"/>
  <c r="K11" i="20"/>
  <c r="J11" i="20"/>
  <c r="I11" i="20"/>
  <c r="H11" i="20"/>
  <c r="G11" i="20"/>
  <c r="M10" i="20"/>
  <c r="K10" i="20"/>
  <c r="J10" i="20"/>
  <c r="I10" i="20"/>
  <c r="H10" i="20"/>
  <c r="G10" i="20"/>
  <c r="M9" i="20"/>
  <c r="K9" i="20"/>
  <c r="J9" i="20"/>
  <c r="I9" i="20"/>
  <c r="H9" i="20"/>
  <c r="G9" i="20"/>
  <c r="M8" i="20"/>
  <c r="K8" i="20"/>
  <c r="J8" i="20"/>
  <c r="I8" i="20"/>
  <c r="H8" i="20"/>
  <c r="G8" i="20"/>
  <c r="M7" i="20"/>
  <c r="K7" i="20"/>
  <c r="J7" i="20"/>
  <c r="I7" i="20"/>
  <c r="H7" i="20"/>
  <c r="G7" i="20"/>
  <c r="M6" i="20"/>
  <c r="K6" i="20"/>
  <c r="J6" i="20"/>
  <c r="I6" i="20"/>
  <c r="H6" i="20"/>
  <c r="G6" i="20"/>
  <c r="M5" i="20"/>
  <c r="K5" i="20"/>
  <c r="J5" i="20"/>
  <c r="I5" i="20"/>
  <c r="H5" i="20"/>
  <c r="G5" i="20"/>
  <c r="R4" i="20"/>
  <c r="Q4" i="20"/>
  <c r="Q5" i="20" s="1"/>
  <c r="Q6" i="20" s="1"/>
  <c r="Q7" i="20" s="1"/>
  <c r="Q8" i="20" s="1"/>
  <c r="Q9" i="20" s="1"/>
  <c r="Q10" i="20" s="1"/>
  <c r="Q11" i="20" s="1"/>
  <c r="Q12" i="20" s="1"/>
  <c r="Q13" i="20" s="1"/>
  <c r="Q14" i="20" s="1"/>
  <c r="Q15" i="20" s="1"/>
  <c r="Q16" i="20" s="1"/>
  <c r="Q17" i="20" s="1"/>
  <c r="Q18" i="20" s="1"/>
  <c r="Q19" i="20" s="1"/>
  <c r="Q20" i="20" s="1"/>
  <c r="Q21" i="20" s="1"/>
  <c r="Q22" i="20" s="1"/>
  <c r="Q23" i="20" s="1"/>
  <c r="Q24" i="20" s="1"/>
  <c r="Q25" i="20" s="1"/>
  <c r="Q26" i="20" s="1"/>
  <c r="Q27" i="20" s="1"/>
  <c r="Q28" i="20" s="1"/>
  <c r="Q29" i="20" s="1"/>
  <c r="Q30" i="20" s="1"/>
  <c r="Q31" i="20" s="1"/>
  <c r="Q32" i="20" s="1"/>
  <c r="Q33" i="20" s="1"/>
  <c r="Q34" i="20" s="1"/>
  <c r="Q35" i="20" s="1"/>
  <c r="Q36" i="20" s="1"/>
  <c r="Q37" i="20" s="1"/>
  <c r="Q38" i="20" s="1"/>
  <c r="Q39" i="20" s="1"/>
  <c r="Q40" i="20" s="1"/>
  <c r="Q41" i="20" s="1"/>
  <c r="Q42" i="20" s="1"/>
  <c r="Q43" i="20" s="1"/>
  <c r="Q44" i="20" s="1"/>
  <c r="Q45" i="20" s="1"/>
  <c r="Q46" i="20" s="1"/>
  <c r="Q47" i="20" s="1"/>
  <c r="Q48" i="20" s="1"/>
  <c r="Q49" i="20" s="1"/>
  <c r="Q50" i="20" s="1"/>
  <c r="Q51" i="20" s="1"/>
  <c r="Q52" i="20" s="1"/>
  <c r="Q53" i="20" s="1"/>
  <c r="Q54" i="20" s="1"/>
  <c r="Q55" i="20" s="1"/>
  <c r="Q56" i="20" s="1"/>
  <c r="Q57" i="20" s="1"/>
  <c r="Q58" i="20" s="1"/>
  <c r="Q59" i="20" s="1"/>
  <c r="Q60" i="20" s="1"/>
  <c r="Q61" i="20" s="1"/>
  <c r="Q62" i="20" s="1"/>
  <c r="Q63" i="20" s="1"/>
  <c r="Q64" i="20" s="1"/>
  <c r="Q65" i="20" s="1"/>
  <c r="Q66" i="20" s="1"/>
  <c r="Q67" i="20" s="1"/>
  <c r="Q68" i="20" s="1"/>
  <c r="Q69" i="20" s="1"/>
  <c r="Q70" i="20" s="1"/>
  <c r="Q71" i="20" s="1"/>
  <c r="Q72" i="20" s="1"/>
  <c r="Q73" i="20" s="1"/>
  <c r="Q74" i="20" s="1"/>
  <c r="Q75" i="20" s="1"/>
  <c r="Q76" i="20" s="1"/>
  <c r="Q77" i="20" s="1"/>
  <c r="Q78" i="20" s="1"/>
  <c r="Q79" i="20" s="1"/>
  <c r="Q80" i="20" s="1"/>
  <c r="Q81" i="20" s="1"/>
  <c r="Q82" i="20" s="1"/>
  <c r="Q83" i="20" s="1"/>
  <c r="Q84" i="20" s="1"/>
  <c r="Q85" i="20" s="1"/>
  <c r="Q86" i="20" s="1"/>
  <c r="Q87" i="20" s="1"/>
  <c r="Q88" i="20" s="1"/>
  <c r="Q89" i="20" s="1"/>
  <c r="Q90" i="20" s="1"/>
  <c r="Q91" i="20" s="1"/>
  <c r="Q92" i="20" s="1"/>
  <c r="Q93" i="20" s="1"/>
  <c r="Q94" i="20" s="1"/>
  <c r="Q95" i="20" s="1"/>
  <c r="Q96" i="20" s="1"/>
  <c r="Q97" i="20" s="1"/>
  <c r="Q98" i="20" s="1"/>
  <c r="Q99" i="20" s="1"/>
  <c r="Q100" i="20" s="1"/>
  <c r="Q101" i="20" s="1"/>
  <c r="Q102" i="20" s="1"/>
  <c r="Q103" i="20" s="1"/>
  <c r="Q104" i="20" s="1"/>
  <c r="Q105" i="20" s="1"/>
  <c r="Q106" i="20" s="1"/>
  <c r="Q107" i="20" s="1"/>
  <c r="Q108" i="20" s="1"/>
  <c r="Q109" i="20" s="1"/>
  <c r="Q110" i="20" s="1"/>
  <c r="Q111" i="20" s="1"/>
  <c r="Q112" i="20" s="1"/>
  <c r="Q113" i="20" s="1"/>
  <c r="Q114" i="20" s="1"/>
  <c r="Q115" i="20" s="1"/>
  <c r="Q116" i="20" s="1"/>
  <c r="Q117" i="20" s="1"/>
  <c r="Q118" i="20" s="1"/>
  <c r="Q119" i="20" s="1"/>
  <c r="Q120" i="20" s="1"/>
  <c r="Q121" i="20" s="1"/>
  <c r="Q122" i="20" s="1"/>
  <c r="Q123" i="20" s="1"/>
  <c r="Q124" i="20" s="1"/>
  <c r="Q125" i="20" s="1"/>
  <c r="Q126" i="20" s="1"/>
  <c r="Q127" i="20" s="1"/>
  <c r="Q128" i="20" s="1"/>
  <c r="Q129" i="20" s="1"/>
  <c r="Q130" i="20" s="1"/>
  <c r="Q131" i="20" s="1"/>
  <c r="Q132" i="20" s="1"/>
  <c r="Q133" i="20" s="1"/>
  <c r="Q134" i="20" s="1"/>
  <c r="Q135" i="20" s="1"/>
  <c r="Q136" i="20" s="1"/>
  <c r="Q137" i="20" s="1"/>
  <c r="Q138" i="20" s="1"/>
  <c r="Q139" i="20" s="1"/>
  <c r="Q140" i="20" s="1"/>
  <c r="Q141" i="20" s="1"/>
  <c r="Q142" i="20" s="1"/>
  <c r="Q143" i="20" s="1"/>
  <c r="Q144" i="20" s="1"/>
  <c r="Q145" i="20" s="1"/>
  <c r="Q146" i="20" s="1"/>
  <c r="Q147" i="20" s="1"/>
  <c r="Q148" i="20" s="1"/>
  <c r="Q149" i="20" s="1"/>
  <c r="Q150" i="20" s="1"/>
  <c r="Q151" i="20" s="1"/>
  <c r="Q152" i="20" s="1"/>
  <c r="Q153" i="20" s="1"/>
  <c r="Q154" i="20" s="1"/>
  <c r="Q155" i="20" s="1"/>
  <c r="Q156" i="20" s="1"/>
  <c r="Q157" i="20" s="1"/>
  <c r="Q158" i="20" s="1"/>
  <c r="Q159" i="20" s="1"/>
  <c r="Q160" i="20" s="1"/>
  <c r="Q161" i="20" s="1"/>
  <c r="Q162" i="20" s="1"/>
  <c r="Q163" i="20" s="1"/>
  <c r="Q164" i="20" s="1"/>
  <c r="Q165" i="20" s="1"/>
  <c r="Q166" i="20" s="1"/>
  <c r="Q167" i="20" s="1"/>
  <c r="Q168" i="20" s="1"/>
  <c r="Q169" i="20" s="1"/>
  <c r="Q170" i="20" s="1"/>
  <c r="Q171" i="20" s="1"/>
  <c r="Q172" i="20" s="1"/>
  <c r="Q173" i="20" s="1"/>
  <c r="Q174" i="20" s="1"/>
  <c r="Q175" i="20" s="1"/>
  <c r="Q176" i="20" s="1"/>
  <c r="Q177" i="20" s="1"/>
  <c r="Q178" i="20" s="1"/>
  <c r="Q179" i="20" s="1"/>
  <c r="Q180" i="20" s="1"/>
  <c r="Q181" i="20" s="1"/>
  <c r="Q182" i="20" s="1"/>
  <c r="Q183" i="20" s="1"/>
  <c r="Q184" i="20" s="1"/>
  <c r="Q185" i="20" s="1"/>
  <c r="Q186" i="20" s="1"/>
  <c r="Q187" i="20" s="1"/>
  <c r="Q188" i="20" s="1"/>
  <c r="Q189" i="20" s="1"/>
  <c r="Q190" i="20" s="1"/>
  <c r="Q191" i="20" s="1"/>
  <c r="Q192" i="20" s="1"/>
  <c r="Q193" i="20" s="1"/>
  <c r="Q194" i="20" s="1"/>
  <c r="Q195" i="20" s="1"/>
  <c r="Q196" i="20" s="1"/>
  <c r="Q197" i="20" s="1"/>
  <c r="Q198" i="20" s="1"/>
  <c r="Q199" i="20" s="1"/>
  <c r="Q200" i="20" s="1"/>
  <c r="Q201" i="20" s="1"/>
  <c r="Q202" i="20" s="1"/>
  <c r="Q203" i="20" s="1"/>
  <c r="Q204" i="20" s="1"/>
  <c r="Q205" i="20" s="1"/>
  <c r="Q206" i="20" s="1"/>
  <c r="Q207" i="20" s="1"/>
  <c r="Q208" i="20" s="1"/>
  <c r="Q209" i="20" s="1"/>
  <c r="Q210" i="20" s="1"/>
  <c r="Q211" i="20" s="1"/>
  <c r="Q212" i="20" s="1"/>
  <c r="Q213" i="20" s="1"/>
  <c r="Q214" i="20" s="1"/>
  <c r="Q215" i="20" s="1"/>
  <c r="Q216" i="20" s="1"/>
  <c r="Q217" i="20" s="1"/>
  <c r="Q218" i="20" s="1"/>
  <c r="Q219" i="20" s="1"/>
  <c r="Q220" i="20" s="1"/>
  <c r="Q221" i="20" s="1"/>
  <c r="Q222" i="20" s="1"/>
  <c r="Q223" i="20" s="1"/>
  <c r="Q224" i="20" s="1"/>
  <c r="Q225" i="20" s="1"/>
  <c r="Q226" i="20" s="1"/>
  <c r="Q227" i="20" s="1"/>
  <c r="Q228" i="20" s="1"/>
  <c r="Q229" i="20" s="1"/>
  <c r="Q230" i="20" s="1"/>
  <c r="Q231" i="20" s="1"/>
  <c r="Q232" i="20" s="1"/>
  <c r="Q233" i="20" s="1"/>
  <c r="Q234" i="20" s="1"/>
  <c r="Q235" i="20" s="1"/>
  <c r="Q236" i="20" s="1"/>
  <c r="Q237" i="20" s="1"/>
  <c r="Q238" i="20" s="1"/>
  <c r="Q239" i="20" s="1"/>
  <c r="Q240" i="20" s="1"/>
  <c r="Q241" i="20" s="1"/>
  <c r="Q242" i="20" s="1"/>
  <c r="Q243" i="20" s="1"/>
  <c r="Q244" i="20" s="1"/>
  <c r="Q245" i="20" s="1"/>
  <c r="Q246" i="20" s="1"/>
  <c r="Q247" i="20" s="1"/>
  <c r="Q248" i="20" s="1"/>
  <c r="Q249" i="20" s="1"/>
  <c r="P4" i="20"/>
  <c r="P5" i="20" s="1"/>
  <c r="P6" i="20" s="1"/>
  <c r="P7" i="20" s="1"/>
  <c r="P8" i="20" s="1"/>
  <c r="P9" i="20" s="1"/>
  <c r="P10" i="20" s="1"/>
  <c r="P11" i="20" s="1"/>
  <c r="P12" i="20" s="1"/>
  <c r="P13" i="20" s="1"/>
  <c r="P14" i="20" s="1"/>
  <c r="P15" i="20" s="1"/>
  <c r="P16" i="20" s="1"/>
  <c r="P17" i="20" s="1"/>
  <c r="P18" i="20" s="1"/>
  <c r="P19" i="20" s="1"/>
  <c r="P20" i="20" s="1"/>
  <c r="P21" i="20" s="1"/>
  <c r="P22" i="20" s="1"/>
  <c r="P23" i="20" s="1"/>
  <c r="P24" i="20" s="1"/>
  <c r="P25" i="20" s="1"/>
  <c r="P26" i="20" s="1"/>
  <c r="P27" i="20" s="1"/>
  <c r="P28" i="20" s="1"/>
  <c r="P29" i="20" s="1"/>
  <c r="P30" i="20" s="1"/>
  <c r="P31" i="20" s="1"/>
  <c r="P32" i="20" s="1"/>
  <c r="P33" i="20" s="1"/>
  <c r="P34" i="20" s="1"/>
  <c r="P35" i="20" s="1"/>
  <c r="P36" i="20" s="1"/>
  <c r="P37" i="20" s="1"/>
  <c r="P38" i="20" s="1"/>
  <c r="P39" i="20" s="1"/>
  <c r="P40" i="20" s="1"/>
  <c r="P41" i="20" s="1"/>
  <c r="P42" i="20" s="1"/>
  <c r="P43" i="20" s="1"/>
  <c r="P44" i="20" s="1"/>
  <c r="P45" i="20" s="1"/>
  <c r="P46" i="20" s="1"/>
  <c r="P47" i="20" s="1"/>
  <c r="P48" i="20" s="1"/>
  <c r="P49" i="20" s="1"/>
  <c r="P50" i="20" s="1"/>
  <c r="P51" i="20" s="1"/>
  <c r="P52" i="20" s="1"/>
  <c r="P53" i="20" s="1"/>
  <c r="P54" i="20" s="1"/>
  <c r="P55" i="20" s="1"/>
  <c r="P56" i="20" s="1"/>
  <c r="P57" i="20" s="1"/>
  <c r="P58" i="20" s="1"/>
  <c r="P59" i="20" s="1"/>
  <c r="P60" i="20" s="1"/>
  <c r="P61" i="20" s="1"/>
  <c r="P62" i="20" s="1"/>
  <c r="P63" i="20" s="1"/>
  <c r="P64" i="20" s="1"/>
  <c r="P65" i="20" s="1"/>
  <c r="P66" i="20" s="1"/>
  <c r="P67" i="20" s="1"/>
  <c r="P68" i="20" s="1"/>
  <c r="P69" i="20" s="1"/>
  <c r="P70" i="20" s="1"/>
  <c r="P71" i="20" s="1"/>
  <c r="P72" i="20" s="1"/>
  <c r="P73" i="20" s="1"/>
  <c r="P74" i="20" s="1"/>
  <c r="P75" i="20" s="1"/>
  <c r="P76" i="20" s="1"/>
  <c r="P77" i="20" s="1"/>
  <c r="P78" i="20" s="1"/>
  <c r="P79" i="20" s="1"/>
  <c r="P80" i="20" s="1"/>
  <c r="P81" i="20" s="1"/>
  <c r="P82" i="20" s="1"/>
  <c r="P83" i="20" s="1"/>
  <c r="P84" i="20" s="1"/>
  <c r="P85" i="20" s="1"/>
  <c r="P86" i="20" s="1"/>
  <c r="P87" i="20" s="1"/>
  <c r="P88" i="20" s="1"/>
  <c r="P89" i="20" s="1"/>
  <c r="P90" i="20" s="1"/>
  <c r="P91" i="20" s="1"/>
  <c r="P92" i="20" s="1"/>
  <c r="P93" i="20" s="1"/>
  <c r="P94" i="20" s="1"/>
  <c r="P95" i="20" s="1"/>
  <c r="P96" i="20" s="1"/>
  <c r="P97" i="20" s="1"/>
  <c r="P98" i="20" s="1"/>
  <c r="P99" i="20" s="1"/>
  <c r="P100" i="20" s="1"/>
  <c r="P101" i="20" s="1"/>
  <c r="P102" i="20" s="1"/>
  <c r="P103" i="20" s="1"/>
  <c r="P104" i="20" s="1"/>
  <c r="P105" i="20" s="1"/>
  <c r="P106" i="20" s="1"/>
  <c r="P107" i="20" s="1"/>
  <c r="P108" i="20" s="1"/>
  <c r="P109" i="20" s="1"/>
  <c r="P110" i="20" s="1"/>
  <c r="P111" i="20" s="1"/>
  <c r="P112" i="20" s="1"/>
  <c r="P113" i="20" s="1"/>
  <c r="P114" i="20" s="1"/>
  <c r="P115" i="20" s="1"/>
  <c r="P116" i="20" s="1"/>
  <c r="P117" i="20" s="1"/>
  <c r="P118" i="20" s="1"/>
  <c r="P119" i="20" s="1"/>
  <c r="P120" i="20" s="1"/>
  <c r="P121" i="20" s="1"/>
  <c r="P122" i="20" s="1"/>
  <c r="P123" i="20" s="1"/>
  <c r="P124" i="20" s="1"/>
  <c r="P125" i="20" s="1"/>
  <c r="P126" i="20" s="1"/>
  <c r="P127" i="20" s="1"/>
  <c r="P128" i="20" s="1"/>
  <c r="P129" i="20" s="1"/>
  <c r="P130" i="20" s="1"/>
  <c r="P131" i="20" s="1"/>
  <c r="P132" i="20" s="1"/>
  <c r="P133" i="20" s="1"/>
  <c r="P134" i="20" s="1"/>
  <c r="P135" i="20" s="1"/>
  <c r="P136" i="20" s="1"/>
  <c r="P137" i="20" s="1"/>
  <c r="P138" i="20" s="1"/>
  <c r="P139" i="20" s="1"/>
  <c r="P140" i="20" s="1"/>
  <c r="P141" i="20" s="1"/>
  <c r="P142" i="20" s="1"/>
  <c r="P143" i="20" s="1"/>
  <c r="P144" i="20" s="1"/>
  <c r="P145" i="20" s="1"/>
  <c r="P146" i="20" s="1"/>
  <c r="P147" i="20" s="1"/>
  <c r="P148" i="20" s="1"/>
  <c r="P149" i="20" s="1"/>
  <c r="P150" i="20" s="1"/>
  <c r="P151" i="20" s="1"/>
  <c r="P152" i="20" s="1"/>
  <c r="P153" i="20" s="1"/>
  <c r="P154" i="20" s="1"/>
  <c r="P155" i="20" s="1"/>
  <c r="P156" i="20" s="1"/>
  <c r="P157" i="20" s="1"/>
  <c r="P158" i="20" s="1"/>
  <c r="P159" i="20" s="1"/>
  <c r="P160" i="20" s="1"/>
  <c r="P161" i="20" s="1"/>
  <c r="P162" i="20" s="1"/>
  <c r="P163" i="20" s="1"/>
  <c r="P164" i="20" s="1"/>
  <c r="P165" i="20" s="1"/>
  <c r="P166" i="20" s="1"/>
  <c r="P167" i="20" s="1"/>
  <c r="P168" i="20" s="1"/>
  <c r="P169" i="20" s="1"/>
  <c r="P170" i="20" s="1"/>
  <c r="P171" i="20" s="1"/>
  <c r="P172" i="20" s="1"/>
  <c r="P173" i="20" s="1"/>
  <c r="P174" i="20" s="1"/>
  <c r="P175" i="20" s="1"/>
  <c r="P176" i="20" s="1"/>
  <c r="P177" i="20" s="1"/>
  <c r="P178" i="20" s="1"/>
  <c r="P179" i="20" s="1"/>
  <c r="P180" i="20" s="1"/>
  <c r="P181" i="20" s="1"/>
  <c r="P182" i="20" s="1"/>
  <c r="P183" i="20" s="1"/>
  <c r="P184" i="20" s="1"/>
  <c r="P185" i="20" s="1"/>
  <c r="P186" i="20" s="1"/>
  <c r="P187" i="20" s="1"/>
  <c r="P188" i="20" s="1"/>
  <c r="P189" i="20" s="1"/>
  <c r="P190" i="20" s="1"/>
  <c r="P191" i="20" s="1"/>
  <c r="P192" i="20" s="1"/>
  <c r="P193" i="20" s="1"/>
  <c r="P194" i="20" s="1"/>
  <c r="P195" i="20" s="1"/>
  <c r="P196" i="20" s="1"/>
  <c r="P197" i="20" s="1"/>
  <c r="P198" i="20" s="1"/>
  <c r="P199" i="20" s="1"/>
  <c r="P200" i="20" s="1"/>
  <c r="P201" i="20" s="1"/>
  <c r="P202" i="20" s="1"/>
  <c r="P203" i="20" s="1"/>
  <c r="P204" i="20" s="1"/>
  <c r="P205" i="20" s="1"/>
  <c r="P206" i="20" s="1"/>
  <c r="P207" i="20" s="1"/>
  <c r="P208" i="20" s="1"/>
  <c r="P209" i="20" s="1"/>
  <c r="P210" i="20" s="1"/>
  <c r="P211" i="20" s="1"/>
  <c r="P212" i="20" s="1"/>
  <c r="P213" i="20" s="1"/>
  <c r="P214" i="20" s="1"/>
  <c r="P215" i="20" s="1"/>
  <c r="P216" i="20" s="1"/>
  <c r="P217" i="20" s="1"/>
  <c r="P218" i="20" s="1"/>
  <c r="P219" i="20" s="1"/>
  <c r="P220" i="20" s="1"/>
  <c r="P221" i="20" s="1"/>
  <c r="P222" i="20" s="1"/>
  <c r="P223" i="20" s="1"/>
  <c r="P224" i="20" s="1"/>
  <c r="P225" i="20" s="1"/>
  <c r="P226" i="20" s="1"/>
  <c r="P227" i="20" s="1"/>
  <c r="P228" i="20" s="1"/>
  <c r="P229" i="20" s="1"/>
  <c r="P230" i="20" s="1"/>
  <c r="P231" i="20" s="1"/>
  <c r="P232" i="20" s="1"/>
  <c r="P233" i="20" s="1"/>
  <c r="P234" i="20" s="1"/>
  <c r="P235" i="20" s="1"/>
  <c r="P236" i="20" s="1"/>
  <c r="P237" i="20" s="1"/>
  <c r="P238" i="20" s="1"/>
  <c r="P239" i="20" s="1"/>
  <c r="P240" i="20" s="1"/>
  <c r="P241" i="20" s="1"/>
  <c r="P242" i="20" s="1"/>
  <c r="P243" i="20" s="1"/>
  <c r="P244" i="20" s="1"/>
  <c r="P245" i="20" s="1"/>
  <c r="P246" i="20" s="1"/>
  <c r="P247" i="20" s="1"/>
  <c r="P248" i="20" s="1"/>
  <c r="P249" i="20" s="1"/>
  <c r="O4" i="20"/>
  <c r="O5" i="20" s="1"/>
  <c r="O6" i="20" s="1"/>
  <c r="O7" i="20" s="1"/>
  <c r="O8" i="20" s="1"/>
  <c r="O9" i="20" s="1"/>
  <c r="O10" i="20" s="1"/>
  <c r="O11" i="20" s="1"/>
  <c r="O12" i="20" s="1"/>
  <c r="O13" i="20" s="1"/>
  <c r="O14" i="20" s="1"/>
  <c r="O15" i="20" s="1"/>
  <c r="O16" i="20" s="1"/>
  <c r="O17" i="20" s="1"/>
  <c r="O18" i="20" s="1"/>
  <c r="O19" i="20" s="1"/>
  <c r="O20" i="20" s="1"/>
  <c r="O21" i="20" s="1"/>
  <c r="O22" i="20" s="1"/>
  <c r="O23" i="20" s="1"/>
  <c r="O24" i="20" s="1"/>
  <c r="O25" i="20" s="1"/>
  <c r="O26" i="20" s="1"/>
  <c r="O27" i="20" s="1"/>
  <c r="O28" i="20" s="1"/>
  <c r="O29" i="20" s="1"/>
  <c r="O30" i="20" s="1"/>
  <c r="O31" i="20" s="1"/>
  <c r="O32" i="20" s="1"/>
  <c r="O33" i="20" s="1"/>
  <c r="O34" i="20" s="1"/>
  <c r="O35" i="20" s="1"/>
  <c r="O36" i="20" s="1"/>
  <c r="O37" i="20" s="1"/>
  <c r="O38" i="20" s="1"/>
  <c r="O39" i="20" s="1"/>
  <c r="O40" i="20" s="1"/>
  <c r="O41" i="20" s="1"/>
  <c r="O42" i="20" s="1"/>
  <c r="O43" i="20" s="1"/>
  <c r="O44" i="20" s="1"/>
  <c r="O45" i="20" s="1"/>
  <c r="O46" i="20" s="1"/>
  <c r="O47" i="20" s="1"/>
  <c r="O48" i="20" s="1"/>
  <c r="O49" i="20" s="1"/>
  <c r="O50" i="20" s="1"/>
  <c r="O51" i="20" s="1"/>
  <c r="O52" i="20" s="1"/>
  <c r="O53" i="20" s="1"/>
  <c r="O54" i="20" s="1"/>
  <c r="O55" i="20" s="1"/>
  <c r="O56" i="20" s="1"/>
  <c r="O57" i="20" s="1"/>
  <c r="O58" i="20" s="1"/>
  <c r="O59" i="20" s="1"/>
  <c r="O60" i="20" s="1"/>
  <c r="O61" i="20" s="1"/>
  <c r="O62" i="20" s="1"/>
  <c r="O63" i="20" s="1"/>
  <c r="O64" i="20" s="1"/>
  <c r="O65" i="20" s="1"/>
  <c r="O66" i="20" s="1"/>
  <c r="O67" i="20" s="1"/>
  <c r="O68" i="20" s="1"/>
  <c r="O69" i="20" s="1"/>
  <c r="O70" i="20" s="1"/>
  <c r="O71" i="20" s="1"/>
  <c r="O72" i="20" s="1"/>
  <c r="O73" i="20" s="1"/>
  <c r="O74" i="20" s="1"/>
  <c r="O75" i="20" s="1"/>
  <c r="O76" i="20" s="1"/>
  <c r="O77" i="20" s="1"/>
  <c r="O78" i="20" s="1"/>
  <c r="O79" i="20" s="1"/>
  <c r="O80" i="20" s="1"/>
  <c r="O81" i="20" s="1"/>
  <c r="O82" i="20" s="1"/>
  <c r="O83" i="20" s="1"/>
  <c r="O84" i="20" s="1"/>
  <c r="O85" i="20" s="1"/>
  <c r="O86" i="20" s="1"/>
  <c r="O87" i="20" s="1"/>
  <c r="O88" i="20" s="1"/>
  <c r="O89" i="20" s="1"/>
  <c r="O90" i="20" s="1"/>
  <c r="O91" i="20" s="1"/>
  <c r="O92" i="20" s="1"/>
  <c r="O93" i="20" s="1"/>
  <c r="O94" i="20" s="1"/>
  <c r="O95" i="20" s="1"/>
  <c r="O96" i="20" s="1"/>
  <c r="O97" i="20" s="1"/>
  <c r="O98" i="20" s="1"/>
  <c r="O99" i="20" s="1"/>
  <c r="O100" i="20" s="1"/>
  <c r="O101" i="20" s="1"/>
  <c r="O102" i="20" s="1"/>
  <c r="O103" i="20" s="1"/>
  <c r="O104" i="20" s="1"/>
  <c r="O105" i="20" s="1"/>
  <c r="O106" i="20" s="1"/>
  <c r="O107" i="20" s="1"/>
  <c r="O108" i="20" s="1"/>
  <c r="O109" i="20" s="1"/>
  <c r="O110" i="20" s="1"/>
  <c r="O111" i="20" s="1"/>
  <c r="O112" i="20" s="1"/>
  <c r="O113" i="20" s="1"/>
  <c r="O114" i="20" s="1"/>
  <c r="O115" i="20" s="1"/>
  <c r="O116" i="20" s="1"/>
  <c r="O117" i="20" s="1"/>
  <c r="O118" i="20" s="1"/>
  <c r="O119" i="20" s="1"/>
  <c r="O120" i="20" s="1"/>
  <c r="O121" i="20" s="1"/>
  <c r="O122" i="20" s="1"/>
  <c r="O123" i="20" s="1"/>
  <c r="O124" i="20" s="1"/>
  <c r="O125" i="20" s="1"/>
  <c r="O126" i="20" s="1"/>
  <c r="O127" i="20" s="1"/>
  <c r="O128" i="20" s="1"/>
  <c r="O129" i="20" s="1"/>
  <c r="O130" i="20" s="1"/>
  <c r="O131" i="20" s="1"/>
  <c r="O132" i="20" s="1"/>
  <c r="O133" i="20" s="1"/>
  <c r="O134" i="20" s="1"/>
  <c r="O135" i="20" s="1"/>
  <c r="O136" i="20" s="1"/>
  <c r="O137" i="20" s="1"/>
  <c r="O138" i="20" s="1"/>
  <c r="O139" i="20" s="1"/>
  <c r="O140" i="20" s="1"/>
  <c r="O141" i="20" s="1"/>
  <c r="O142" i="20" s="1"/>
  <c r="O143" i="20" s="1"/>
  <c r="O144" i="20" s="1"/>
  <c r="O145" i="20" s="1"/>
  <c r="O146" i="20" s="1"/>
  <c r="O147" i="20" s="1"/>
  <c r="O148" i="20" s="1"/>
  <c r="O149" i="20" s="1"/>
  <c r="O150" i="20" s="1"/>
  <c r="O151" i="20" s="1"/>
  <c r="O152" i="20" s="1"/>
  <c r="O153" i="20" s="1"/>
  <c r="O154" i="20" s="1"/>
  <c r="O155" i="20" s="1"/>
  <c r="O156" i="20" s="1"/>
  <c r="O157" i="20" s="1"/>
  <c r="O158" i="20" s="1"/>
  <c r="O159" i="20" s="1"/>
  <c r="O160" i="20" s="1"/>
  <c r="O161" i="20" s="1"/>
  <c r="O162" i="20" s="1"/>
  <c r="O163" i="20" s="1"/>
  <c r="O164" i="20" s="1"/>
  <c r="O165" i="20" s="1"/>
  <c r="O166" i="20" s="1"/>
  <c r="O167" i="20" s="1"/>
  <c r="O168" i="20" s="1"/>
  <c r="O169" i="20" s="1"/>
  <c r="O170" i="20" s="1"/>
  <c r="O171" i="20" s="1"/>
  <c r="O172" i="20" s="1"/>
  <c r="O173" i="20" s="1"/>
  <c r="O174" i="20" s="1"/>
  <c r="O175" i="20" s="1"/>
  <c r="O176" i="20" s="1"/>
  <c r="O177" i="20" s="1"/>
  <c r="O178" i="20" s="1"/>
  <c r="O179" i="20" s="1"/>
  <c r="O180" i="20" s="1"/>
  <c r="O181" i="20" s="1"/>
  <c r="O182" i="20" s="1"/>
  <c r="O183" i="20" s="1"/>
  <c r="O184" i="20" s="1"/>
  <c r="O185" i="20" s="1"/>
  <c r="O186" i="20" s="1"/>
  <c r="O187" i="20" s="1"/>
  <c r="O188" i="20" s="1"/>
  <c r="O189" i="20" s="1"/>
  <c r="O190" i="20" s="1"/>
  <c r="O191" i="20" s="1"/>
  <c r="O192" i="20" s="1"/>
  <c r="O193" i="20" s="1"/>
  <c r="O194" i="20" s="1"/>
  <c r="O195" i="20" s="1"/>
  <c r="O196" i="20" s="1"/>
  <c r="O197" i="20" s="1"/>
  <c r="O198" i="20" s="1"/>
  <c r="O199" i="20" s="1"/>
  <c r="O200" i="20" s="1"/>
  <c r="O201" i="20" s="1"/>
  <c r="O202" i="20" s="1"/>
  <c r="O203" i="20" s="1"/>
  <c r="O204" i="20" s="1"/>
  <c r="O205" i="20" s="1"/>
  <c r="O206" i="20" s="1"/>
  <c r="O207" i="20" s="1"/>
  <c r="O208" i="20" s="1"/>
  <c r="O209" i="20" s="1"/>
  <c r="O210" i="20" s="1"/>
  <c r="O211" i="20" s="1"/>
  <c r="O212" i="20" s="1"/>
  <c r="O213" i="20" s="1"/>
  <c r="O214" i="20" s="1"/>
  <c r="O215" i="20" s="1"/>
  <c r="O216" i="20" s="1"/>
  <c r="O217" i="20" s="1"/>
  <c r="O218" i="20" s="1"/>
  <c r="O219" i="20" s="1"/>
  <c r="O220" i="20" s="1"/>
  <c r="O221" i="20" s="1"/>
  <c r="O222" i="20" s="1"/>
  <c r="O223" i="20" s="1"/>
  <c r="O224" i="20" s="1"/>
  <c r="O225" i="20" s="1"/>
  <c r="O226" i="20" s="1"/>
  <c r="O227" i="20" s="1"/>
  <c r="O228" i="20" s="1"/>
  <c r="O229" i="20" s="1"/>
  <c r="O230" i="20" s="1"/>
  <c r="O231" i="20" s="1"/>
  <c r="O232" i="20" s="1"/>
  <c r="O233" i="20" s="1"/>
  <c r="O234" i="20" s="1"/>
  <c r="O235" i="20" s="1"/>
  <c r="O236" i="20" s="1"/>
  <c r="O237" i="20" s="1"/>
  <c r="O238" i="20" s="1"/>
  <c r="O239" i="20" s="1"/>
  <c r="O240" i="20" s="1"/>
  <c r="O241" i="20" s="1"/>
  <c r="O242" i="20" s="1"/>
  <c r="O243" i="20" s="1"/>
  <c r="O244" i="20" s="1"/>
  <c r="O245" i="20" s="1"/>
  <c r="O246" i="20" s="1"/>
  <c r="O247" i="20" s="1"/>
  <c r="O248" i="20" s="1"/>
  <c r="O249" i="20" s="1"/>
  <c r="N4" i="20"/>
  <c r="N5" i="20" s="1"/>
  <c r="N6" i="20" s="1"/>
  <c r="N7" i="20" s="1"/>
  <c r="N8" i="20" s="1"/>
  <c r="N9" i="20" s="1"/>
  <c r="N10" i="20" s="1"/>
  <c r="N11" i="20" s="1"/>
  <c r="N12" i="20" s="1"/>
  <c r="N13" i="20" s="1"/>
  <c r="N14" i="20" s="1"/>
  <c r="N15" i="20" s="1"/>
  <c r="N16" i="20" s="1"/>
  <c r="N17" i="20" s="1"/>
  <c r="N18" i="20" s="1"/>
  <c r="N19" i="20" s="1"/>
  <c r="N20" i="20" s="1"/>
  <c r="N21" i="20" s="1"/>
  <c r="N22" i="20" s="1"/>
  <c r="N23" i="20" s="1"/>
  <c r="N24" i="20" s="1"/>
  <c r="N25" i="20" s="1"/>
  <c r="N26" i="20" s="1"/>
  <c r="N27" i="20" s="1"/>
  <c r="N28" i="20" s="1"/>
  <c r="N29" i="20" s="1"/>
  <c r="N30" i="20" s="1"/>
  <c r="N31" i="20" s="1"/>
  <c r="N32" i="20" s="1"/>
  <c r="N33" i="20" s="1"/>
  <c r="N34" i="20" s="1"/>
  <c r="N35" i="20" s="1"/>
  <c r="N36" i="20" s="1"/>
  <c r="N37" i="20" s="1"/>
  <c r="N38" i="20" s="1"/>
  <c r="N39" i="20" s="1"/>
  <c r="N40" i="20" s="1"/>
  <c r="N41" i="20" s="1"/>
  <c r="N42" i="20" s="1"/>
  <c r="N43" i="20" s="1"/>
  <c r="N44" i="20" s="1"/>
  <c r="N45" i="20" s="1"/>
  <c r="N46" i="20" s="1"/>
  <c r="N47" i="20" s="1"/>
  <c r="N48" i="20" s="1"/>
  <c r="N49" i="20" s="1"/>
  <c r="N50" i="20" s="1"/>
  <c r="N51" i="20" s="1"/>
  <c r="N52" i="20" s="1"/>
  <c r="N53" i="20" s="1"/>
  <c r="N54" i="20" s="1"/>
  <c r="N55" i="20" s="1"/>
  <c r="N56" i="20" s="1"/>
  <c r="N57" i="20" s="1"/>
  <c r="N58" i="20" s="1"/>
  <c r="N59" i="20" s="1"/>
  <c r="N60" i="20" s="1"/>
  <c r="N61" i="20" s="1"/>
  <c r="N62" i="20" s="1"/>
  <c r="N63" i="20" s="1"/>
  <c r="N64" i="20" s="1"/>
  <c r="N65" i="20" s="1"/>
  <c r="N66" i="20" s="1"/>
  <c r="N67" i="20" s="1"/>
  <c r="N68" i="20" s="1"/>
  <c r="N69" i="20" s="1"/>
  <c r="N70" i="20" s="1"/>
  <c r="N71" i="20" s="1"/>
  <c r="N72" i="20" s="1"/>
  <c r="N73" i="20" s="1"/>
  <c r="N74" i="20" s="1"/>
  <c r="N75" i="20" s="1"/>
  <c r="N76" i="20" s="1"/>
  <c r="N77" i="20" s="1"/>
  <c r="N78" i="20" s="1"/>
  <c r="N79" i="20" s="1"/>
  <c r="N80" i="20" s="1"/>
  <c r="N81" i="20" s="1"/>
  <c r="N82" i="20" s="1"/>
  <c r="N83" i="20" s="1"/>
  <c r="N84" i="20" s="1"/>
  <c r="N85" i="20" s="1"/>
  <c r="N86" i="20" s="1"/>
  <c r="N87" i="20" s="1"/>
  <c r="N88" i="20" s="1"/>
  <c r="N89" i="20" s="1"/>
  <c r="N90" i="20" s="1"/>
  <c r="N91" i="20" s="1"/>
  <c r="N92" i="20" s="1"/>
  <c r="N93" i="20" s="1"/>
  <c r="N94" i="20" s="1"/>
  <c r="N95" i="20" s="1"/>
  <c r="N96" i="20" s="1"/>
  <c r="N97" i="20" s="1"/>
  <c r="N98" i="20" s="1"/>
  <c r="N99" i="20" s="1"/>
  <c r="N100" i="20" s="1"/>
  <c r="N101" i="20" s="1"/>
  <c r="N102" i="20" s="1"/>
  <c r="N103" i="20" s="1"/>
  <c r="N104" i="20" s="1"/>
  <c r="N105" i="20" s="1"/>
  <c r="N106" i="20" s="1"/>
  <c r="N107" i="20" s="1"/>
  <c r="N108" i="20" s="1"/>
  <c r="N109" i="20" s="1"/>
  <c r="N110" i="20" s="1"/>
  <c r="M4" i="20"/>
  <c r="K4" i="20"/>
  <c r="J4" i="20"/>
  <c r="I4" i="20"/>
  <c r="H4" i="20"/>
  <c r="G4" i="20"/>
  <c r="M3" i="20"/>
  <c r="G3" i="20"/>
  <c r="K2" i="20"/>
  <c r="Q2" i="20" s="1"/>
  <c r="J2" i="20"/>
  <c r="P2" i="20" s="1"/>
  <c r="I2" i="20"/>
  <c r="O2" i="20" s="1"/>
  <c r="H2" i="20"/>
  <c r="N2" i="20" s="1"/>
  <c r="K250" i="20" l="1"/>
  <c r="K252" i="20" s="1"/>
  <c r="K251" i="20"/>
  <c r="C251" i="20"/>
  <c r="C250" i="20"/>
  <c r="N111" i="20"/>
  <c r="N112" i="20" s="1"/>
  <c r="N113" i="20" s="1"/>
  <c r="N114" i="20" s="1"/>
  <c r="N115" i="20" s="1"/>
  <c r="N116" i="20" s="1"/>
  <c r="N117" i="20" s="1"/>
  <c r="N118" i="20" s="1"/>
  <c r="N119" i="20" s="1"/>
  <c r="N120" i="20" s="1"/>
  <c r="N121" i="20" s="1"/>
  <c r="N122" i="20" s="1"/>
  <c r="N123" i="20" s="1"/>
  <c r="N124" i="20" s="1"/>
  <c r="N125" i="20" s="1"/>
  <c r="N126" i="20" s="1"/>
  <c r="N127" i="20" s="1"/>
  <c r="N128" i="20" s="1"/>
  <c r="N129" i="20" s="1"/>
  <c r="N130" i="20" s="1"/>
  <c r="N131" i="20" s="1"/>
  <c r="N132" i="20" s="1"/>
  <c r="N133" i="20" s="1"/>
  <c r="N134" i="20" s="1"/>
  <c r="N135" i="20" s="1"/>
  <c r="N136" i="20" s="1"/>
  <c r="N137" i="20" s="1"/>
  <c r="N138" i="20" s="1"/>
  <c r="N139" i="20" s="1"/>
  <c r="N140" i="20" s="1"/>
  <c r="N141" i="20" s="1"/>
  <c r="N142" i="20" s="1"/>
  <c r="N143" i="20" s="1"/>
  <c r="N144" i="20" s="1"/>
  <c r="N145" i="20" s="1"/>
  <c r="N146" i="20" s="1"/>
  <c r="N147" i="20" s="1"/>
  <c r="N148" i="20" s="1"/>
  <c r="N149" i="20" s="1"/>
  <c r="N150" i="20" s="1"/>
  <c r="N151" i="20" s="1"/>
  <c r="N152" i="20" s="1"/>
  <c r="N153" i="20" s="1"/>
  <c r="N154" i="20" s="1"/>
  <c r="N155" i="20" s="1"/>
  <c r="N156" i="20" s="1"/>
  <c r="N157" i="20" s="1"/>
  <c r="N158" i="20" s="1"/>
  <c r="N159" i="20" s="1"/>
  <c r="N160" i="20" s="1"/>
  <c r="N161" i="20" s="1"/>
  <c r="N162" i="20" s="1"/>
  <c r="N163" i="20" s="1"/>
  <c r="N164" i="20" s="1"/>
  <c r="N165" i="20" s="1"/>
  <c r="N166" i="20" s="1"/>
  <c r="N167" i="20" s="1"/>
  <c r="N168" i="20" s="1"/>
  <c r="N169" i="20" s="1"/>
  <c r="N170" i="20" s="1"/>
  <c r="N171" i="20" s="1"/>
  <c r="N172" i="20" s="1"/>
  <c r="N173" i="20" s="1"/>
  <c r="N174" i="20" s="1"/>
  <c r="N175" i="20" s="1"/>
  <c r="N176" i="20" s="1"/>
  <c r="N177" i="20" s="1"/>
  <c r="N178" i="20" s="1"/>
  <c r="N179" i="20" s="1"/>
  <c r="N180" i="20" s="1"/>
  <c r="N181" i="20" s="1"/>
  <c r="N182" i="20" s="1"/>
  <c r="N183" i="20" s="1"/>
  <c r="N184" i="20" s="1"/>
  <c r="N185" i="20" s="1"/>
  <c r="N186" i="20" s="1"/>
  <c r="N187" i="20" s="1"/>
  <c r="N188" i="20" s="1"/>
  <c r="N189" i="20" s="1"/>
  <c r="N190" i="20" s="1"/>
  <c r="N191" i="20" s="1"/>
  <c r="N192" i="20" s="1"/>
  <c r="N193" i="20" s="1"/>
  <c r="N194" i="20" s="1"/>
  <c r="N195" i="20" s="1"/>
  <c r="N196" i="20" s="1"/>
  <c r="N197" i="20" s="1"/>
  <c r="N198" i="20" s="1"/>
  <c r="N199" i="20" s="1"/>
  <c r="N200" i="20" s="1"/>
  <c r="N201" i="20" s="1"/>
  <c r="N202" i="20" s="1"/>
  <c r="N203" i="20" s="1"/>
  <c r="N204" i="20" s="1"/>
  <c r="N205" i="20" s="1"/>
  <c r="N206" i="20" s="1"/>
  <c r="N207" i="20" s="1"/>
  <c r="N208" i="20" s="1"/>
  <c r="N209" i="20" s="1"/>
  <c r="N210" i="20" s="1"/>
  <c r="N211" i="20" s="1"/>
  <c r="N212" i="20" s="1"/>
  <c r="N213" i="20" s="1"/>
  <c r="N214" i="20" s="1"/>
  <c r="N215" i="20" s="1"/>
  <c r="N216" i="20" s="1"/>
  <c r="N217" i="20" s="1"/>
  <c r="N218" i="20" s="1"/>
  <c r="N219" i="20" s="1"/>
  <c r="N220" i="20" s="1"/>
  <c r="N221" i="20" s="1"/>
  <c r="N222" i="20" s="1"/>
  <c r="N223" i="20" s="1"/>
  <c r="N224" i="20" s="1"/>
  <c r="N225" i="20" s="1"/>
  <c r="N226" i="20" s="1"/>
  <c r="N227" i="20" s="1"/>
  <c r="N228" i="20" s="1"/>
  <c r="N229" i="20" s="1"/>
  <c r="N230" i="20" s="1"/>
  <c r="N231" i="20" s="1"/>
  <c r="N232" i="20" s="1"/>
  <c r="N233" i="20" s="1"/>
  <c r="N234" i="20" s="1"/>
  <c r="N235" i="20" s="1"/>
  <c r="N236" i="20" s="1"/>
  <c r="N237" i="20" s="1"/>
  <c r="N238" i="20" s="1"/>
  <c r="N239" i="20" s="1"/>
  <c r="N240" i="20" s="1"/>
  <c r="N241" i="20" s="1"/>
  <c r="N242" i="20" s="1"/>
  <c r="N243" i="20" s="1"/>
  <c r="N244" i="20" s="1"/>
  <c r="N245" i="20" s="1"/>
  <c r="N246" i="20" s="1"/>
  <c r="N247" i="20" s="1"/>
  <c r="N248" i="20" s="1"/>
  <c r="N249" i="20" s="1"/>
  <c r="H111" i="20"/>
  <c r="H112" i="20"/>
  <c r="J250" i="20"/>
  <c r="J252" i="20" s="1"/>
  <c r="J251" i="20"/>
  <c r="I251" i="20"/>
  <c r="I250" i="20"/>
  <c r="I252" i="20" s="1"/>
  <c r="H250" i="20" l="1"/>
  <c r="H252" i="20" s="1"/>
  <c r="K253" i="20" s="1"/>
  <c r="H251" i="20"/>
  <c r="B18" i="9"/>
  <c r="I26" i="16" l="1"/>
  <c r="I25" i="16"/>
  <c r="I24" i="16"/>
  <c r="I27" i="16" l="1"/>
  <c r="B23" i="9" l="1"/>
  <c r="B24" i="9" s="1"/>
  <c r="B20" i="9"/>
  <c r="B19" i="9"/>
  <c r="D15" i="14" l="1"/>
  <c r="G15" i="14" s="1"/>
  <c r="F15" i="14" l="1"/>
  <c r="F4" i="14"/>
  <c r="D17" i="14"/>
  <c r="F9" i="14"/>
  <c r="F8" i="14"/>
  <c r="F7" i="14"/>
  <c r="F6" i="14"/>
  <c r="F5" i="14"/>
  <c r="F3" i="14"/>
  <c r="D14" i="14"/>
  <c r="F14" i="14" s="1"/>
  <c r="D12" i="14"/>
  <c r="F12" i="14" s="1"/>
  <c r="D13" i="14"/>
  <c r="F13" i="14" s="1"/>
  <c r="G9" i="14"/>
  <c r="G8" i="14"/>
  <c r="G7" i="14"/>
  <c r="G6" i="14"/>
  <c r="G5" i="14"/>
  <c r="G4" i="14"/>
  <c r="G3" i="14"/>
  <c r="D10" i="14"/>
  <c r="G10" i="14" s="1"/>
  <c r="E10" i="14"/>
  <c r="G12" i="14" l="1"/>
  <c r="F10" i="14"/>
  <c r="G13" i="14"/>
  <c r="G14" i="14"/>
  <c r="E9" i="6"/>
  <c r="F9" i="6" s="1"/>
  <c r="F10" i="6"/>
  <c r="E11" i="6"/>
  <c r="D11" i="6"/>
  <c r="F11" i="6" l="1"/>
  <c r="J11" i="30"/>
  <c r="J12" i="30" l="1"/>
  <c r="L11" i="30"/>
  <c r="C11" i="38" l="1"/>
  <c r="C12" i="38" s="1"/>
  <c r="E11" i="38"/>
  <c r="E12" i="38" s="1"/>
  <c r="D11" i="38"/>
  <c r="D12" i="38" s="1"/>
  <c r="AG11" i="60"/>
  <c r="AG24" i="60" s="1"/>
  <c r="AG28" i="60" s="1"/>
  <c r="AG30" i="6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NO012303</author>
  </authors>
  <commentList>
    <comment ref="AO63" authorId="0" shapeId="0" xr:uid="{00000000-0006-0000-1200-000002000000}">
      <text>
        <r>
          <rPr>
            <sz val="9"/>
            <color indexed="81"/>
            <rFont val="Tahoma"/>
            <family val="2"/>
          </rPr>
          <t>Valor alterou devido reclassificação em 2017.</t>
        </r>
      </text>
    </comment>
    <comment ref="AO65" authorId="0" shapeId="0" xr:uid="{00000000-0006-0000-1200-000003000000}">
      <text>
        <r>
          <rPr>
            <sz val="9"/>
            <color indexed="81"/>
            <rFont val="Tahoma"/>
            <family val="2"/>
          </rPr>
          <t>Valor alterou devido reclassificação em 2017.</t>
        </r>
      </text>
    </comment>
    <comment ref="AO67" authorId="0" shapeId="0" xr:uid="{00000000-0006-0000-1200-000004000000}">
      <text>
        <r>
          <rPr>
            <sz val="9"/>
            <color indexed="81"/>
            <rFont val="Tahoma"/>
            <family val="2"/>
          </rPr>
          <t>Valor reclassificado em 2017.</t>
        </r>
      </text>
    </comment>
  </commentList>
</comments>
</file>

<file path=xl/sharedStrings.xml><?xml version="1.0" encoding="utf-8"?>
<sst xmlns="http://schemas.openxmlformats.org/spreadsheetml/2006/main" count="1075" uniqueCount="466">
  <si>
    <t>4T12</t>
  </si>
  <si>
    <t>2T13</t>
  </si>
  <si>
    <t>3T13</t>
  </si>
  <si>
    <t>Lucro Líquido</t>
  </si>
  <si>
    <t>4T13</t>
  </si>
  <si>
    <t>1T14</t>
  </si>
  <si>
    <t>2T14</t>
  </si>
  <si>
    <t>Value</t>
  </si>
  <si>
    <t>Change</t>
  </si>
  <si>
    <t>Operacional</t>
  </si>
  <si>
    <t>Investimento</t>
  </si>
  <si>
    <t>Financiamento</t>
  </si>
  <si>
    <t>Aplicações Financeiras</t>
  </si>
  <si>
    <t>Dívida líquida</t>
  </si>
  <si>
    <t>1S14</t>
  </si>
  <si>
    <t xml:space="preserve">1T13 </t>
  </si>
  <si>
    <t>Imposto de Renda/Contribuição Social</t>
  </si>
  <si>
    <t>Resultado Financeiro Líquido</t>
  </si>
  <si>
    <t>Depreciação e amortização</t>
  </si>
  <si>
    <t>Custo</t>
  </si>
  <si>
    <t>Despesas</t>
  </si>
  <si>
    <t>EBITDA¹</t>
  </si>
  <si>
    <t>¹ EBITDA calculado de acordo com a instrução CVM Nº 527/12.</t>
  </si>
  <si>
    <t>Mercado interno</t>
  </si>
  <si>
    <t>Mercado externo</t>
  </si>
  <si>
    <t>Variações nos estoques de matérias-primas, materiais de  consumo, produtos em elaboração e produtos acabados</t>
  </si>
  <si>
    <t>Despesa com salários e benefícios a empregados</t>
  </si>
  <si>
    <t>Encargos de depreciação e amortização</t>
  </si>
  <si>
    <t>Serviços de terceiros</t>
  </si>
  <si>
    <t>Despesas com fretes e vendas</t>
  </si>
  <si>
    <t>Outros</t>
  </si>
  <si>
    <t>Despesas com vendas</t>
  </si>
  <si>
    <t>Despesas gerais e administrativas</t>
  </si>
  <si>
    <t>Custos das vendas</t>
  </si>
  <si>
    <t xml:space="preserve">2T14 </t>
  </si>
  <si>
    <t xml:space="preserve">1T14 </t>
  </si>
  <si>
    <t>Var(%)</t>
  </si>
  <si>
    <t>Var(R$ mil)</t>
  </si>
  <si>
    <t>Custos totais das vendas, despesas com vendas e despesas administrativas</t>
  </si>
  <si>
    <t>Energia elétrica</t>
  </si>
  <si>
    <t>Despesas por natureza (valores em R$ mil)</t>
  </si>
  <si>
    <t>Caixa e Eq. Inicial</t>
  </si>
  <si>
    <t>Caixa e Eq. Final</t>
  </si>
  <si>
    <t>Caixa e Eq. +Aplicações Financeiras</t>
  </si>
  <si>
    <t>Market Cap</t>
  </si>
  <si>
    <t>Espécie/Classe</t>
  </si>
  <si>
    <t>Capital Social</t>
  </si>
  <si>
    <t>Cotação 30/06/14 R$</t>
  </si>
  <si>
    <t>Ordinárias</t>
  </si>
  <si>
    <t xml:space="preserve">                 278.500.690 </t>
  </si>
  <si>
    <t>Preferenciais A</t>
  </si>
  <si>
    <t xml:space="preserve">                   25.907.109 </t>
  </si>
  <si>
    <t>Preferenciais B</t>
  </si>
  <si>
    <t xml:space="preserve">                 531.094.273 </t>
  </si>
  <si>
    <t>Total</t>
  </si>
  <si>
    <t xml:space="preserve">                 835.502.072 </t>
  </si>
  <si>
    <t>Valor de Mercado</t>
  </si>
  <si>
    <t xml:space="preserve">                 412.245.797 </t>
  </si>
  <si>
    <t>Tesouraria</t>
  </si>
  <si>
    <t xml:space="preserve">                        976.878 </t>
  </si>
  <si>
    <t xml:space="preserve">                               981 </t>
  </si>
  <si>
    <t xml:space="preserve">                   28.237.626 </t>
  </si>
  <si>
    <t xml:space="preserve">                   29.215.485 </t>
  </si>
  <si>
    <t xml:space="preserve">                   14.052.847 </t>
  </si>
  <si>
    <t>Ex-tesouraria</t>
  </si>
  <si>
    <t xml:space="preserve">                 277.523.812 </t>
  </si>
  <si>
    <t xml:space="preserve">                   25.906.128 </t>
  </si>
  <si>
    <t xml:space="preserve">                 502.856.647 </t>
  </si>
  <si>
    <t xml:space="preserve">                 806.286.587 </t>
  </si>
  <si>
    <t xml:space="preserve">                 398.192.950 </t>
  </si>
  <si>
    <t>Preço</t>
  </si>
  <si>
    <t>Retorno</t>
  </si>
  <si>
    <t>UNIP3</t>
  </si>
  <si>
    <t>UNIP6</t>
  </si>
  <si>
    <t>UNIP5</t>
  </si>
  <si>
    <t>IBOV</t>
  </si>
  <si>
    <t>Média</t>
  </si>
  <si>
    <t>Desvio padrão</t>
  </si>
  <si>
    <t>ON</t>
  </si>
  <si>
    <t>Pref"A"</t>
  </si>
  <si>
    <t>Pref"B"</t>
  </si>
  <si>
    <t>9M13</t>
  </si>
  <si>
    <t>9M12</t>
  </si>
  <si>
    <t>* ajustado por proventos</t>
  </si>
  <si>
    <t>Participação nos pregões 12 meses</t>
  </si>
  <si>
    <t>Volume médio diário negociado 2T14 R$</t>
  </si>
  <si>
    <t>(D) Fechamento (dez/13)</t>
  </si>
  <si>
    <t>RESUMO DAS AÇÕES DA COMPANHIA NA BM&amp;FBOVESPA*</t>
  </si>
  <si>
    <t>3T14</t>
  </si>
  <si>
    <t>(E) = (B)/(D) = Valorização 9M14</t>
  </si>
  <si>
    <t>(F) Fechamento (jun/14)</t>
  </si>
  <si>
    <t>(G) = (B)/(F) = Valorização 3T14</t>
  </si>
  <si>
    <t>Volume médio diário negociado 3T14 R$</t>
  </si>
  <si>
    <t>4T14</t>
  </si>
  <si>
    <t>Var(%) 2014 vs 2013</t>
  </si>
  <si>
    <t>Var(%) 4T14 vs 3T14</t>
  </si>
  <si>
    <t>Var(%) 4T14 vs 4T13</t>
  </si>
  <si>
    <r>
      <t>Cálculo LAJIDA (</t>
    </r>
    <r>
      <rPr>
        <b/>
        <i/>
        <sz val="10"/>
        <color indexed="9"/>
        <rFont val="Arial"/>
        <family val="2"/>
      </rPr>
      <t>EBITDA</t>
    </r>
    <r>
      <rPr>
        <b/>
        <sz val="10"/>
        <color indexed="9"/>
        <rFont val="Arial"/>
        <family val="2"/>
      </rPr>
      <t>) (valores em R$ mil)</t>
    </r>
  </si>
  <si>
    <t>198/248</t>
  </si>
  <si>
    <t>241/248</t>
  </si>
  <si>
    <t>248/248</t>
  </si>
  <si>
    <t>Participação nos pregões 2014</t>
  </si>
  <si>
    <t>Fonte: Bloomberg e BM&amp;FBovespa</t>
  </si>
  <si>
    <t>Dívida líquida/EBITDA</t>
  </si>
  <si>
    <t>Juros, encargos e variações monetárias - despesa</t>
  </si>
  <si>
    <t>Juros capitalizados</t>
  </si>
  <si>
    <t>Pagamentos de juros</t>
  </si>
  <si>
    <t>Transferências - incorporação Carbocloro</t>
  </si>
  <si>
    <t>Transferências da dívida de longo prazo</t>
  </si>
  <si>
    <t>Captações</t>
  </si>
  <si>
    <t>Pagamento de principal</t>
  </si>
  <si>
    <t>Saldo incial</t>
  </si>
  <si>
    <t>-</t>
  </si>
  <si>
    <t>Saldo final</t>
  </si>
  <si>
    <t>Transferências para dívida de curto prazo</t>
  </si>
  <si>
    <t>Movimentação empréstimos e financiamentos de longo prazo</t>
  </si>
  <si>
    <t>Movimentação de empréstimos e financiamentos de curto prazo</t>
  </si>
  <si>
    <t>Volume médio diário negociado 2014 R$</t>
  </si>
  <si>
    <t>1T15</t>
  </si>
  <si>
    <t>(B) Fechamento (mar/15)</t>
  </si>
  <si>
    <t>(C) = (B)/(A) = Valorização 3 meses</t>
  </si>
  <si>
    <t>Menor Cotação  de janeiro a março 2015</t>
  </si>
  <si>
    <t>Participação nos pregões 2015</t>
  </si>
  <si>
    <t>Volume médio diário negociado 2015 R$</t>
  </si>
  <si>
    <t>18/61</t>
  </si>
  <si>
    <t>45/61</t>
  </si>
  <si>
    <t>61/61</t>
  </si>
  <si>
    <t>Maior Cotação  de janeiro a março 2015</t>
  </si>
  <si>
    <t>Estrutura de Capital</t>
  </si>
  <si>
    <t>%</t>
  </si>
  <si>
    <t>Passivo circulante e não circulante</t>
  </si>
  <si>
    <t>Patrimônio líquido</t>
  </si>
  <si>
    <t>Total do Passivo e Patrimônio líquido</t>
  </si>
  <si>
    <t>Passivo oneroso</t>
  </si>
  <si>
    <t>Empréstimos e Financiamento CP e LP</t>
  </si>
  <si>
    <t>Passivo Oneroso total e Patrimônio líquido</t>
  </si>
  <si>
    <t>Endividamento total</t>
  </si>
  <si>
    <t>Passivo Circulante</t>
  </si>
  <si>
    <t>Empréstimos e Financiamentos</t>
  </si>
  <si>
    <t>Passivo não Circulante</t>
  </si>
  <si>
    <t>Passivo Total</t>
  </si>
  <si>
    <t>(A) Fechamento (mar/14)</t>
  </si>
  <si>
    <t>UNIP3 ON</t>
  </si>
  <si>
    <t>UNIP5 Pref"A"</t>
  </si>
  <si>
    <t>UNIP6 Pref"B"</t>
  </si>
  <si>
    <t>2014</t>
  </si>
  <si>
    <t>2015</t>
  </si>
  <si>
    <t>9M16</t>
  </si>
  <si>
    <t>2016</t>
  </si>
  <si>
    <t xml:space="preserve"> R$ </t>
  </si>
  <si>
    <t xml:space="preserve"> AR$ </t>
  </si>
  <si>
    <t xml:space="preserve"> US$ </t>
  </si>
  <si>
    <t>0,28x</t>
  </si>
  <si>
    <t>0,18x</t>
  </si>
  <si>
    <t>0,23x</t>
  </si>
  <si>
    <t>EBITDA ¹</t>
  </si>
  <si>
    <t>9M17</t>
  </si>
  <si>
    <t xml:space="preserve">             -  </t>
  </si>
  <si>
    <t>0,41x</t>
  </si>
  <si>
    <t xml:space="preserve">                -  </t>
  </si>
  <si>
    <t>0,44x</t>
  </si>
  <si>
    <t>2017</t>
  </si>
  <si>
    <t>9M18</t>
  </si>
  <si>
    <t>(R$ thousand)</t>
  </si>
  <si>
    <t>3Q18</t>
  </si>
  <si>
    <t>1H18</t>
  </si>
  <si>
    <t>2Q18</t>
  </si>
  <si>
    <t>1Q18</t>
  </si>
  <si>
    <t>4Q17</t>
  </si>
  <si>
    <t>3Q17</t>
  </si>
  <si>
    <t>1H17</t>
  </si>
  <si>
    <t>2Q17</t>
  </si>
  <si>
    <t>1Q17</t>
  </si>
  <si>
    <t>4Q16</t>
  </si>
  <si>
    <t>3Q16</t>
  </si>
  <si>
    <t>1H16</t>
  </si>
  <si>
    <t>2Q16</t>
  </si>
  <si>
    <t>1Q16</t>
  </si>
  <si>
    <t>2013</t>
  </si>
  <si>
    <t>Currency</t>
  </si>
  <si>
    <t>R$</t>
  </si>
  <si>
    <t>US$</t>
  </si>
  <si>
    <t>Net operating revenue</t>
  </si>
  <si>
    <t>Cost of goods sold</t>
  </si>
  <si>
    <t>Gross profit</t>
  </si>
  <si>
    <t>Selling expenses</t>
  </si>
  <si>
    <t>Administrative expenses</t>
  </si>
  <si>
    <t>Other operating income (expenses), net</t>
  </si>
  <si>
    <t>Business combination result</t>
  </si>
  <si>
    <t>Loss due to non-recoverability of assets</t>
  </si>
  <si>
    <t>Acquisition price adjustment</t>
  </si>
  <si>
    <t>Equity method result</t>
  </si>
  <si>
    <t>Income before financial result, income tax and social contribution</t>
  </si>
  <si>
    <t>Income before income tax and social contribution</t>
  </si>
  <si>
    <t>Deferred (current) income and socialcontribution taxes</t>
  </si>
  <si>
    <t>Net income for the period</t>
  </si>
  <si>
    <t>Total assets</t>
  </si>
  <si>
    <t>Current assets</t>
  </si>
  <si>
    <t>Cash and cash equivalent</t>
  </si>
  <si>
    <t>Financial investments</t>
  </si>
  <si>
    <t>Accounts receivable from clients</t>
  </si>
  <si>
    <t>Taxes recoverable</t>
  </si>
  <si>
    <t>Inventories</t>
  </si>
  <si>
    <t>Prepaid expenses</t>
  </si>
  <si>
    <t>Other current assets</t>
  </si>
  <si>
    <t>Non-current assets</t>
  </si>
  <si>
    <t>Long-term assets</t>
  </si>
  <si>
    <t>Deposits in court</t>
  </si>
  <si>
    <t>Investments</t>
  </si>
  <si>
    <t>Property, plant and equipment</t>
  </si>
  <si>
    <t>Intangible</t>
  </si>
  <si>
    <t>Total liabilities</t>
  </si>
  <si>
    <t>Current liabilities</t>
  </si>
  <si>
    <t>Suppliers</t>
  </si>
  <si>
    <t>Loans and Financing</t>
  </si>
  <si>
    <t>Salaries and social charges</t>
  </si>
  <si>
    <t>Income tax and social contribution</t>
  </si>
  <si>
    <t>Dividends payable</t>
  </si>
  <si>
    <t>Judicial claims</t>
  </si>
  <si>
    <t>Electricity</t>
  </si>
  <si>
    <t>Other current liabilities</t>
  </si>
  <si>
    <t>Non-current liabilities</t>
  </si>
  <si>
    <t>Deferred income and social contribution taxes</t>
  </si>
  <si>
    <t>Obligations with retirement benefits</t>
  </si>
  <si>
    <t>Other non-current liabilities</t>
  </si>
  <si>
    <t>Shareholders' Equity</t>
  </si>
  <si>
    <t>Capital stock</t>
  </si>
  <si>
    <t>Treasury shares</t>
  </si>
  <si>
    <t>Profit reserves</t>
  </si>
  <si>
    <t>Retained earnings</t>
  </si>
  <si>
    <t>Other comprehensive income for the period</t>
  </si>
  <si>
    <t>Other non-current assets</t>
  </si>
  <si>
    <t>Debt with third parties</t>
  </si>
  <si>
    <t>Non-controlling interest</t>
  </si>
  <si>
    <t>Cash flow from operating activities</t>
  </si>
  <si>
    <t>Adjustments to net income</t>
  </si>
  <si>
    <t>Depreciation and amortization</t>
  </si>
  <si>
    <t>Result from assets</t>
  </si>
  <si>
    <t>Provision for judicial claims</t>
  </si>
  <si>
    <t>Provision for doubtfull accounts</t>
  </si>
  <si>
    <t>Deferred income taxes and social contribution</t>
  </si>
  <si>
    <t>Provision for electricity charges</t>
  </si>
  <si>
    <t>Reversal of actuarial provision - FGTS fine and prior notice</t>
  </si>
  <si>
    <t>Provision for loss debentures - Tecsis</t>
  </si>
  <si>
    <t>Amortization of goodwill - Tecsis</t>
  </si>
  <si>
    <t>Reversal of loss provision - Tecsis</t>
  </si>
  <si>
    <t>Comprehensive results from prior years - Tecsis</t>
  </si>
  <si>
    <t>Losses in the first quarter of 2017 - Tecsis</t>
  </si>
  <si>
    <t>Financial loss on debentures - Tecsis</t>
  </si>
  <si>
    <t>Income from held-to-maturity investments</t>
  </si>
  <si>
    <t>FX changes on financial investments</t>
  </si>
  <si>
    <t>Provision for inventory adjustments</t>
  </si>
  <si>
    <t>Changes in assets and liabilities</t>
  </si>
  <si>
    <t>Taxes Recoverable</t>
  </si>
  <si>
    <t>Other assets</t>
  </si>
  <si>
    <t>Taxes, fees and contributions</t>
  </si>
  <si>
    <t>Employee benefit obligations</t>
  </si>
  <si>
    <t>Other liabilities</t>
  </si>
  <si>
    <t>Dividends and interest on capital received</t>
  </si>
  <si>
    <t>Cash provided by operating activities</t>
  </si>
  <si>
    <t>Income tax and social contribution paid</t>
  </si>
  <si>
    <t>Net cash provided by operating activities</t>
  </si>
  <si>
    <t>Cash flow from investing activities</t>
  </si>
  <si>
    <t>Net financial investments from redemptions</t>
  </si>
  <si>
    <t>Receipt on acquisition of minority shares</t>
  </si>
  <si>
    <t>Purchase of fixed assetsnad intangible assets</t>
  </si>
  <si>
    <t>Receipt from the sale of property, plant and equipment</t>
  </si>
  <si>
    <t>Desinvestment Tecsis</t>
  </si>
  <si>
    <t>Contribution of capital to investee</t>
  </si>
  <si>
    <t>Acquisition of a company net of cash</t>
  </si>
  <si>
    <t>Cash generated (invested) in investing activities</t>
  </si>
  <si>
    <t>Cash flow from financing activities</t>
  </si>
  <si>
    <t>Loans/debentures payments</t>
  </si>
  <si>
    <t>Payment of interest and other charges</t>
  </si>
  <si>
    <t>Borrowings</t>
  </si>
  <si>
    <t>Dividends paid</t>
  </si>
  <si>
    <t>Net cash provided by (used in) financing activities</t>
  </si>
  <si>
    <t>Increase (decrease) in cash and cash equivalents, net</t>
  </si>
  <si>
    <t>Cash and cash equivalents at end of the year</t>
  </si>
  <si>
    <t>Cash and cash equivalents at beginning of the year</t>
  </si>
  <si>
    <t>Provision for interest and other charges and loans</t>
  </si>
  <si>
    <t>Provision for restructuring</t>
  </si>
  <si>
    <t>Dividends received</t>
  </si>
  <si>
    <t>Cash of company acquired in business combination</t>
  </si>
  <si>
    <t>FX change on cash and cash equivalents</t>
  </si>
  <si>
    <t>Net Income</t>
  </si>
  <si>
    <t>Net Financial Result</t>
  </si>
  <si>
    <t>Income Tax / Social Contribution</t>
  </si>
  <si>
    <t>Depreciation and Amortization</t>
  </si>
  <si>
    <t>Funding in national currency ²</t>
  </si>
  <si>
    <t>Funding in foreign currency ²</t>
  </si>
  <si>
    <t>Gross Debt</t>
  </si>
  <si>
    <t>Cash and cash equivalents and financial investments</t>
  </si>
  <si>
    <t>Cash and cash equivalents</t>
  </si>
  <si>
    <t>Net Debt</t>
  </si>
  <si>
    <t>EBITDA ltm¹</t>
  </si>
  <si>
    <t>Net Debt/EBITDA ltm¹</t>
  </si>
  <si>
    <t>Closing Price - R$</t>
  </si>
  <si>
    <t>Daily Average Volume - R$</t>
  </si>
  <si>
    <t>Market Value - R$ thousand**</t>
  </si>
  <si>
    <t>* adjusted by dividends</t>
  </si>
  <si>
    <t>** ex-treasury stocks</t>
  </si>
  <si>
    <t>Source: Bloomberg /B3</t>
  </si>
  <si>
    <t>4Q18</t>
  </si>
  <si>
    <t>2018</t>
  </si>
  <si>
    <t>Others</t>
  </si>
  <si>
    <t>Provision for environmental contingencies</t>
  </si>
  <si>
    <t>1Q19</t>
  </si>
  <si>
    <t>Working Capital</t>
  </si>
  <si>
    <t>Fiscal obligation</t>
  </si>
  <si>
    <t>Provision</t>
  </si>
  <si>
    <t>2Q19</t>
  </si>
  <si>
    <t>1H19</t>
  </si>
  <si>
    <t>Debentures</t>
  </si>
  <si>
    <t>BNDES</t>
  </si>
  <si>
    <t>Funding in foreign currency</t>
  </si>
  <si>
    <t>Funding in national currency</t>
  </si>
  <si>
    <t>Working Capital ²</t>
  </si>
  <si>
    <t>² Includes promissory notes and Debentures issued with the purpose of financing the working capital</t>
  </si>
  <si>
    <t>Other</t>
  </si>
  <si>
    <t>Currency basket</t>
  </si>
  <si>
    <t>3Q19</t>
  </si>
  <si>
    <t>9M19</t>
  </si>
  <si>
    <t>2019</t>
  </si>
  <si>
    <t>4Q19</t>
  </si>
  <si>
    <t>1Q20</t>
  </si>
  <si>
    <t>Share-based payment</t>
  </si>
  <si>
    <t>2Q20</t>
  </si>
  <si>
    <t>1H20</t>
  </si>
  <si>
    <t>6/30/2020</t>
  </si>
  <si>
    <t>3/31/2020</t>
  </si>
  <si>
    <t>Accounts receivable from clients/Related Company</t>
  </si>
  <si>
    <t>9M20</t>
  </si>
  <si>
    <t>3Q20</t>
  </si>
  <si>
    <t xml:space="preserve">Provision </t>
  </si>
  <si>
    <t>Share buyback</t>
  </si>
  <si>
    <t>Effect of the Adoption of IAS 29(Hyperinflation)</t>
  </si>
  <si>
    <t>4Q20</t>
  </si>
  <si>
    <t>2020</t>
  </si>
  <si>
    <t>Provisions for Revenues from Bondage Agreements</t>
  </si>
  <si>
    <t>1Q21</t>
  </si>
  <si>
    <t>3/31/2021</t>
  </si>
  <si>
    <t>Provision of receivables from repayable credits</t>
  </si>
  <si>
    <t>2Q21</t>
  </si>
  <si>
    <t>6/30/2021</t>
  </si>
  <si>
    <t>1H21</t>
  </si>
  <si>
    <t>Acquisition of interest in a jointly controlled company</t>
  </si>
  <si>
    <t>3Q21</t>
  </si>
  <si>
    <t>9/30/2021</t>
  </si>
  <si>
    <t>9M21</t>
  </si>
  <si>
    <t>PIS/COFINS Credit (Exclusion of ICMS from calculation basis)</t>
  </si>
  <si>
    <t>Promissory Notes</t>
  </si>
  <si>
    <t xml:space="preserve">Provision (Reversal) of Environmental Contingencies </t>
  </si>
  <si>
    <t>4Q21</t>
  </si>
  <si>
    <t>2021</t>
  </si>
  <si>
    <t>12/31/2021</t>
  </si>
  <si>
    <t>December 31, 2021</t>
  </si>
  <si>
    <t>Acquisition of interest in a controlled company</t>
  </si>
  <si>
    <t>Profit before Income Tax and Social Contribution</t>
  </si>
  <si>
    <t>1Q22</t>
  </si>
  <si>
    <t>3/31/2022</t>
  </si>
  <si>
    <t>2Q22</t>
  </si>
  <si>
    <t>06/30/2022</t>
  </si>
  <si>
    <t>1H22</t>
  </si>
  <si>
    <t>6/30/2022</t>
  </si>
  <si>
    <t>Interest received - Credits with related companies</t>
  </si>
  <si>
    <t>05. Net Debt - Consolidated</t>
  </si>
  <si>
    <t>04. EBITDA - Consolidated</t>
  </si>
  <si>
    <t>03. Cah Flow Statement - Consolidated</t>
  </si>
  <si>
    <t>02. Balance Sheet - Consolidated</t>
  </si>
  <si>
    <t>01. Income Statement - Consolidated</t>
  </si>
  <si>
    <r>
      <t>Assets</t>
    </r>
    <r>
      <rPr>
        <sz val="12"/>
        <color indexed="9"/>
        <rFont val="Arial"/>
        <family val="2"/>
      </rPr>
      <t xml:space="preserve"> (R$ thousand)</t>
    </r>
  </si>
  <si>
    <r>
      <t xml:space="preserve">Liabilities </t>
    </r>
    <r>
      <rPr>
        <sz val="12"/>
        <color indexed="9"/>
        <rFont val="Arial"/>
        <family val="2"/>
      </rPr>
      <t>(R$ thousand)</t>
    </r>
  </si>
  <si>
    <r>
      <rPr>
        <b/>
        <sz val="12"/>
        <color indexed="9"/>
        <rFont val="Arial"/>
        <family val="2"/>
      </rPr>
      <t xml:space="preserve">Loans and Financing </t>
    </r>
    <r>
      <rPr>
        <sz val="12"/>
        <color indexed="9"/>
        <rFont val="Arial"/>
        <family val="2"/>
      </rPr>
      <t>(R$ thousand)</t>
    </r>
  </si>
  <si>
    <t>Utilization of Installed Capacity %</t>
  </si>
  <si>
    <t>07. Share Performance*</t>
  </si>
  <si>
    <t>08. Income Statement - Parent Company</t>
  </si>
  <si>
    <t>09. Balance Sheet - Parent Company</t>
  </si>
  <si>
    <t>10. Cash Flow Statement - Parent Company</t>
  </si>
  <si>
    <t>11. EBITDA - Parent Company</t>
  </si>
  <si>
    <t>12. Net Debt - Parent Company</t>
  </si>
  <si>
    <t>3Q22</t>
  </si>
  <si>
    <t>09/30/2022</t>
  </si>
  <si>
    <t>9M22</t>
  </si>
  <si>
    <t>September 30, 2022</t>
  </si>
  <si>
    <t>Other reserves</t>
  </si>
  <si>
    <t>2022</t>
  </si>
  <si>
    <t>4Q22</t>
  </si>
  <si>
    <t>12/31/2022</t>
  </si>
  <si>
    <t>December 31, 2022</t>
  </si>
  <si>
    <t>1Q23</t>
  </si>
  <si>
    <t>9/30/2022</t>
  </si>
  <si>
    <t>3/31/2023</t>
  </si>
  <si>
    <t>March 31, 2023</t>
  </si>
  <si>
    <t>Acquisition of interest in jointly controlled company/associated company</t>
  </si>
  <si>
    <t>Acquisition of net cash company</t>
  </si>
  <si>
    <t>Acquisition of interest in an affiliated company</t>
  </si>
  <si>
    <t>2Q23</t>
  </si>
  <si>
    <t>6/30/2023</t>
  </si>
  <si>
    <t>1H23</t>
  </si>
  <si>
    <t>3Q23</t>
  </si>
  <si>
    <t>9/30/2023</t>
  </si>
  <si>
    <t>9M23</t>
  </si>
  <si>
    <t>September 30, 2023</t>
  </si>
  <si>
    <t>Losses with other receivables/other</t>
  </si>
  <si>
    <t>2023</t>
  </si>
  <si>
    <t>4Q23</t>
  </si>
  <si>
    <t>12/31/2023</t>
  </si>
  <si>
    <t>Lease by right of use</t>
  </si>
  <si>
    <t>Amortization of right-of-use assets</t>
  </si>
  <si>
    <t>Provision of lease interest</t>
  </si>
  <si>
    <t>Payment of principal - right-of-use lease</t>
  </si>
  <si>
    <t>Payment of interest - right-of-use lease</t>
  </si>
  <si>
    <t>¹ EBITDA calculated according to CVM Instruction Nº 156/22.</t>
  </si>
  <si>
    <t>December 31, 2023</t>
  </si>
  <si>
    <t>1T24</t>
  </si>
  <si>
    <t>1Q24</t>
  </si>
  <si>
    <t>3/31/2024</t>
  </si>
  <si>
    <t>Reversal of Actuarial Provision – FGTS Fine and Advance Notice</t>
  </si>
  <si>
    <t>March 31, 2024</t>
  </si>
  <si>
    <t>3T23</t>
  </si>
  <si>
    <t>Brazil</t>
  </si>
  <si>
    <t>Argentina</t>
  </si>
  <si>
    <t>06. Installed Capacity - 
Electrolysis</t>
  </si>
  <si>
    <t>ECA</t>
  </si>
  <si>
    <t>2Q24</t>
  </si>
  <si>
    <t>1H24</t>
  </si>
  <si>
    <t>6/30/2024</t>
  </si>
  <si>
    <t>3Q24</t>
  </si>
  <si>
    <t>9M24</t>
  </si>
  <si>
    <t>9/30/2024</t>
  </si>
  <si>
    <t>September 30, 2024</t>
  </si>
  <si>
    <t>4Q24</t>
  </si>
  <si>
    <t>2024</t>
  </si>
  <si>
    <t>12/31/2024</t>
  </si>
  <si>
    <t>December 31, 2024</t>
  </si>
  <si>
    <t>BNB</t>
  </si>
  <si>
    <t>Provision (Reversal) for Employee Benefit Plans</t>
  </si>
  <si>
    <t>Provision (Reversal) for monetary restatement of PIS COFINS credits -  exclusion of ICMS from the calculation basis</t>
  </si>
  <si>
    <t>1Q25</t>
  </si>
  <si>
    <t>3/31/2025</t>
  </si>
  <si>
    <t>March 31, 2025</t>
  </si>
  <si>
    <t>2Q25</t>
  </si>
  <si>
    <t>Derivatives</t>
  </si>
  <si>
    <t>6/30/2025</t>
  </si>
  <si>
    <t>1H25</t>
  </si>
  <si>
    <t>3Q25</t>
  </si>
  <si>
    <t>9/30/2025</t>
  </si>
  <si>
    <t>9M25</t>
  </si>
  <si>
    <t>September 30, 2025</t>
  </si>
  <si>
    <t>4Q25</t>
  </si>
  <si>
    <t>2025</t>
  </si>
  <si>
    <t>12/31/2025</t>
  </si>
  <si>
    <t>December 31, 2025</t>
  </si>
  <si>
    <t>1Q26</t>
  </si>
  <si>
    <t>3/31/2026</t>
  </si>
  <si>
    <t>March 31, 2026</t>
  </si>
  <si>
    <t>Net financial result</t>
  </si>
  <si>
    <t>Financial Investments Income</t>
  </si>
  <si>
    <t>2Q26</t>
  </si>
  <si>
    <t>6/30/2026</t>
  </si>
  <si>
    <t>1H26</t>
  </si>
  <si>
    <t>Working Capital / Commercial Banks</t>
  </si>
  <si>
    <t>1H25
Resub</t>
  </si>
  <si>
    <t>1Q25
Resub</t>
  </si>
  <si>
    <t>1H25
 Resub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</si>
</sst>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2"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$&quot;#,##0_);\(&quot;$&quot;#,##0\)"/>
    <numFmt numFmtId="165" formatCode="0.0%"/>
    <numFmt numFmtId="166" formatCode="_-* #,##0_-;\-* #,##0_-;_-* &quot;-&quot;??_-;_-@_-"/>
    <numFmt numFmtId="167" formatCode="_-* #,##0.0_-;\-* #,##0.0_-;_-* &quot;-&quot;??_-;_-@_-"/>
    <numFmt numFmtId="168" formatCode="_(* #,##0.00_);_(* \(#,##0.00\);_(* &quot;-&quot;??_);_(@_)"/>
    <numFmt numFmtId="169" formatCode="_(* #,##0.0_);_(* \(#,##0.0\);_(* &quot;-&quot;??_);_(@_)"/>
    <numFmt numFmtId="170" formatCode="_(* #,##0_);_(* \(#,##0\);_(* &quot;-&quot;??_);_(@_)"/>
    <numFmt numFmtId="171" formatCode="_(&quot;R$&quot;* #,##0.00_);_(&quot;R$&quot;* \(#,##0.00\);_(&quot;R$&quot;* &quot;-&quot;??_);_(@_)"/>
    <numFmt numFmtId="172" formatCode="_-* #,##0.0_-;\-* #,##0.0_-;_-* &quot;-&quot;?_-;_-@_-"/>
    <numFmt numFmtId="173" formatCode="0.0"/>
    <numFmt numFmtId="174" formatCode="#,##0%"/>
    <numFmt numFmtId="175" formatCode="[$-416]mmm\-yy;@"/>
    <numFmt numFmtId="176" formatCode="0.0000%"/>
    <numFmt numFmtId="177" formatCode="#,##0_ ;[Red]\-#,##0\ "/>
    <numFmt numFmtId="178" formatCode="_(* #,##0_);_(* \(#,##0\);_(* &quot;-&quot;??_);@"/>
    <numFmt numFmtId="179" formatCode="General_)"/>
    <numFmt numFmtId="180" formatCode="0.0\p;\(0.0\)\p"/>
    <numFmt numFmtId="181" formatCode="_([$€]* #,##0.00_);_([$€]* \(#,##0.00\);_([$€]* &quot;-&quot;??_);_(@_)"/>
    <numFmt numFmtId="182" formatCode="_([$€-2]* #,##0.00_);_([$€-2]* \(#,##0.00\);_([$€-2]* &quot;-&quot;??_)"/>
    <numFmt numFmtId="183" formatCode="#,#00"/>
    <numFmt numFmtId="184" formatCode="0.00000000"/>
    <numFmt numFmtId="185" formatCode="#,##0.00&quot;F&quot;_);\(#,##0.00&quot;F&quot;\)"/>
    <numFmt numFmtId="186" formatCode="0\ 000\ 000\ 000"/>
    <numFmt numFmtId="187" formatCode="_-&quot;$&quot;* #,##0_-;\-&quot;$&quot;* #,##0_-;_-&quot;$&quot;* &quot;-&quot;_-;_-@_-"/>
    <numFmt numFmtId="188" formatCode="_-&quot;$&quot;* #,##0.00_-;\-&quot;$&quot;* #,##0.00_-;_-&quot;$&quot;* &quot;-&quot;??_-;_-@_-"/>
    <numFmt numFmtId="189" formatCode="0.000000000"/>
    <numFmt numFmtId="190" formatCode="0.0%;\(0.0\)%"/>
    <numFmt numFmtId="191" formatCode="0.00_)"/>
    <numFmt numFmtId="192" formatCode="#,##0.###############_);\(#,##0.###############\);0_);@"/>
    <numFmt numFmtId="193" formatCode="_(* #,##0.0_);_(* \(#,##0.0\);_(* &quot;-&quot;??_);@"/>
    <numFmt numFmtId="194" formatCode="_(* #,##0.00_);_(* \(#,##0.00\);_(* &quot;-&quot;??_);@"/>
    <numFmt numFmtId="195" formatCode="_(* #,##0.000000_);_(* \(#,##0.000000\);_(* &quot;-&quot;??_);@"/>
    <numFmt numFmtId="196" formatCode="#,##0.00&quot;x&quot;"/>
    <numFmt numFmtId="197" formatCode="_-* #,##0.00\ _E_s_c_._-;\-* #,##0.00\ _E_s_c_._-;_-* &quot;-&quot;??\ _E_s_c_._-;_-@_-"/>
    <numFmt numFmtId="198" formatCode="_ * #,##0.00_ ;_ * \-#,##0.00_ ;_ * &quot;-&quot;??_ ;_ @_ "/>
    <numFmt numFmtId="199" formatCode="_(&quot;R$ &quot;* #,##0.00_);_(&quot;R$ &quot;* \(#,##0.00\);_(&quot;R$ &quot;* &quot;-&quot;??_);_(@_)"/>
    <numFmt numFmtId="200" formatCode="_ &quot;$&quot;\ * #,##0.00_ ;_ &quot;$&quot;\ * \-#,##0.00_ ;_ &quot;$&quot;\ * &quot;-&quot;??_ ;_ @_ "/>
    <numFmt numFmtId="201" formatCode="m/d/yyyy;@"/>
    <numFmt numFmtId="202" formatCode="[$-409]mmmm\ d\,\ yyyy;@"/>
  </numFmts>
  <fonts count="137">
    <font>
      <sz val="10"/>
      <color theme="1" tint="0.34998626667073579"/>
      <name val="Cambria"/>
      <family val="2"/>
      <scheme val="maj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20"/>
      <color theme="0" tint="-0.34998626667073579"/>
      <name val="Calibri"/>
      <family val="2"/>
      <scheme val="minor"/>
    </font>
    <font>
      <sz val="10"/>
      <color theme="1" tint="0.34998626667073579"/>
      <name val="Cambria"/>
      <family val="2"/>
      <scheme val="major"/>
    </font>
    <font>
      <sz val="10"/>
      <name val="Arial"/>
      <family val="2"/>
    </font>
    <font>
      <sz val="11"/>
      <color theme="1" tint="0.3499862666707357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name val="Arial"/>
      <family val="2"/>
    </font>
    <font>
      <b/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indexed="9"/>
      <name val="Calibri"/>
      <family val="2"/>
      <scheme val="minor"/>
    </font>
    <font>
      <sz val="8"/>
      <color theme="1" tint="0.34998626667073579"/>
      <name val="Arial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0"/>
      <color theme="1" tint="0.34998626667073579"/>
      <name val="Times New Roman"/>
      <family val="1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Verdana"/>
      <family val="2"/>
    </font>
    <font>
      <b/>
      <sz val="10"/>
      <color rgb="FFFFFFFF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b/>
      <sz val="10"/>
      <color theme="1" tint="0.34998626667073579"/>
      <name val="Cambria"/>
      <family val="2"/>
      <scheme val="major"/>
    </font>
    <font>
      <b/>
      <sz val="10"/>
      <color indexed="9"/>
      <name val="Arial"/>
      <family val="2"/>
    </font>
    <font>
      <b/>
      <i/>
      <sz val="10"/>
      <color indexed="9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b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10"/>
      <color theme="1" tint="0.34998626667073579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indexed="9"/>
      <name val="Calibri"/>
      <family val="2"/>
    </font>
    <font>
      <sz val="8"/>
      <color indexed="12"/>
      <name val="Helv"/>
    </font>
    <font>
      <sz val="10"/>
      <name val="Geneva"/>
    </font>
    <font>
      <sz val="11"/>
      <color indexed="17"/>
      <name val="Calibri"/>
      <family val="2"/>
    </font>
    <font>
      <sz val="10"/>
      <name val="Helv"/>
    </font>
    <font>
      <sz val="12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u/>
      <sz val="10"/>
      <color indexed="12"/>
      <name val="Arial"/>
      <family val="2"/>
    </font>
    <font>
      <sz val="8"/>
      <name val="Times New Roman"/>
      <family val="1"/>
    </font>
    <font>
      <sz val="1"/>
      <color indexed="8"/>
      <name val="Courier"/>
      <family val="3"/>
    </font>
    <font>
      <sz val="10"/>
      <color indexed="8"/>
      <name val="Arial"/>
      <family val="2"/>
    </font>
    <font>
      <sz val="7.5"/>
      <color indexed="12"/>
      <name val="Arial"/>
      <family val="2"/>
    </font>
    <font>
      <b/>
      <sz val="12"/>
      <name val="Times New Roman"/>
      <family val="1"/>
    </font>
    <font>
      <sz val="11"/>
      <color indexed="62"/>
      <name val="Calibri"/>
      <family val="2"/>
    </font>
    <font>
      <sz val="10"/>
      <name val="Tahoma"/>
      <family val="2"/>
    </font>
    <font>
      <sz val="8"/>
      <name val="Arial"/>
      <family val="2"/>
    </font>
    <font>
      <b/>
      <sz val="1"/>
      <color indexed="8"/>
      <name val="Courier"/>
      <family val="3"/>
    </font>
    <font>
      <u/>
      <sz val="10"/>
      <color indexed="36"/>
      <name val="Arial"/>
      <family val="2"/>
    </font>
    <font>
      <sz val="11"/>
      <color indexed="20"/>
      <name val="Calibri"/>
      <family val="2"/>
    </font>
    <font>
      <sz val="10"/>
      <name val="Courier"/>
      <family val="3"/>
    </font>
    <font>
      <sz val="9"/>
      <color indexed="12"/>
      <name val="Helv"/>
    </font>
    <font>
      <sz val="8"/>
      <color indexed="8"/>
      <name val="Helv"/>
    </font>
    <font>
      <sz val="10"/>
      <color indexed="20"/>
      <name val="Times New Roman"/>
      <family val="1"/>
    </font>
    <font>
      <sz val="11"/>
      <color indexed="60"/>
      <name val="Calibri"/>
      <family val="2"/>
    </font>
    <font>
      <sz val="7"/>
      <name val="Small Fonts"/>
      <family val="2"/>
    </font>
    <font>
      <sz val="12"/>
      <name val="Helv"/>
    </font>
    <font>
      <sz val="11"/>
      <color theme="1"/>
      <name val="Calibri"/>
      <family val="2"/>
      <charset val="134"/>
      <scheme val="minor"/>
    </font>
    <font>
      <sz val="10"/>
      <name val="Times New Roman"/>
      <family val="1"/>
    </font>
    <font>
      <sz val="10"/>
      <color indexed="10"/>
      <name val="MS Sans Serif"/>
      <family val="2"/>
    </font>
    <font>
      <b/>
      <sz val="11"/>
      <color indexed="63"/>
      <name val="Calibri"/>
      <family val="2"/>
    </font>
    <font>
      <sz val="10"/>
      <color indexed="8"/>
      <name val="MS Sans Serif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8"/>
      <name val="Helv"/>
    </font>
    <font>
      <b/>
      <sz val="11"/>
      <color indexed="8"/>
      <name val="Calibri"/>
      <family val="2"/>
    </font>
    <font>
      <sz val="10"/>
      <color indexed="55"/>
      <name val="Calibri"/>
      <family val="2"/>
    </font>
    <font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24"/>
      <color theme="4"/>
      <name val="Cambria"/>
      <family val="2"/>
      <scheme val="major"/>
    </font>
    <font>
      <sz val="10"/>
      <color indexed="9"/>
      <name val="Arial"/>
      <family val="2"/>
    </font>
    <font>
      <sz val="10"/>
      <color indexed="17"/>
      <name val="Arial"/>
      <family val="2"/>
    </font>
    <font>
      <sz val="10"/>
      <color indexed="52"/>
      <name val="Arial"/>
      <family val="2"/>
    </font>
    <font>
      <b/>
      <sz val="11"/>
      <color indexed="56"/>
      <name val="Arial"/>
      <family val="2"/>
    </font>
    <font>
      <sz val="10"/>
      <color indexed="20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sz val="10"/>
      <color indexed="10"/>
      <name val="Arial"/>
      <family val="2"/>
    </font>
    <font>
      <sz val="9"/>
      <color theme="1"/>
      <name val="Arial"/>
      <family val="2"/>
    </font>
    <font>
      <sz val="9"/>
      <color indexed="81"/>
      <name val="Tahoma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b/>
      <sz val="16"/>
      <color theme="0"/>
      <name val="Arial"/>
      <family val="2"/>
    </font>
    <font>
      <sz val="12"/>
      <color indexed="8"/>
      <name val="Arial"/>
      <family val="2"/>
    </font>
    <font>
      <sz val="12"/>
      <color indexed="9"/>
      <name val="Arial"/>
      <family val="2"/>
    </font>
    <font>
      <b/>
      <sz val="12"/>
      <color indexed="9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b/>
      <sz val="10"/>
      <color theme="1" tint="0.34998626667073579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sz val="11"/>
      <color theme="0" tint="-0.499984740745262"/>
      <name val="Arial"/>
      <family val="2"/>
    </font>
    <font>
      <b/>
      <sz val="12"/>
      <color rgb="FFFFFFFF"/>
      <name val="Arial"/>
      <family val="2"/>
    </font>
    <font>
      <sz val="8"/>
      <name val="Cambria"/>
      <family val="2"/>
      <scheme val="major"/>
    </font>
  </fonts>
  <fills count="6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gray0625"/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432"/>
        <bgColor indexed="64"/>
      </patternFill>
    </fill>
    <fill>
      <patternFill patternType="solid">
        <fgColor rgb="FF0A3200"/>
        <bgColor indexed="64"/>
      </patternFill>
    </fill>
  </fills>
  <borders count="93">
    <border>
      <left/>
      <right/>
      <top/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dashed">
        <color theme="1" tint="0.34998626667073579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/>
      <bottom style="thick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double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theme="0" tint="-0.499984740745262"/>
      </left>
      <right style="hair">
        <color theme="0" tint="-0.499984740745262"/>
      </right>
      <top/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/>
      <diagonal/>
    </border>
    <border>
      <left style="hair">
        <color theme="0" tint="-0.499984740745262"/>
      </left>
      <right style="hair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thin">
        <color theme="1" tint="0.499984740745262"/>
      </top>
      <bottom style="thin">
        <color theme="1" tint="0.499984740745262"/>
      </bottom>
      <diagonal/>
    </border>
    <border>
      <left style="hair">
        <color auto="1"/>
      </left>
      <right style="hair">
        <color auto="1"/>
      </right>
      <top style="thin">
        <color theme="0" tint="-0.14996795556505021"/>
      </top>
      <bottom/>
      <diagonal/>
    </border>
    <border>
      <left style="hair">
        <color auto="1"/>
      </left>
      <right style="hair">
        <color auto="1"/>
      </right>
      <top/>
      <bottom style="thin">
        <color theme="0" tint="-0.1499679555650502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hair">
        <color auto="1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hair">
        <color auto="1"/>
      </right>
      <top style="thin">
        <color theme="0" tint="-0.14996795556505021"/>
      </top>
      <bottom/>
      <diagonal/>
    </border>
    <border>
      <left style="hair">
        <color auto="1"/>
      </left>
      <right/>
      <top/>
      <bottom style="thin">
        <color theme="0" tint="-0.14996795556505021"/>
      </bottom>
      <diagonal/>
    </border>
    <border>
      <left/>
      <right style="hair">
        <color auto="1"/>
      </right>
      <top/>
      <bottom style="thin">
        <color theme="0" tint="-0.1499679555650502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/>
      <right style="hair">
        <color auto="1"/>
      </right>
      <top/>
      <bottom style="double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/>
      <diagonal/>
    </border>
    <border>
      <left/>
      <right style="hair">
        <color theme="0" tint="-0.499984740745262"/>
      </right>
      <top/>
      <bottom/>
      <diagonal/>
    </border>
    <border>
      <left/>
      <right style="hair">
        <color theme="0" tint="-0.499984740745262"/>
      </right>
      <top/>
      <bottom style="thin">
        <color theme="0" tint="-0.499984740745262"/>
      </bottom>
      <diagonal/>
    </border>
    <border>
      <left/>
      <right style="hair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hair">
        <color theme="1"/>
      </right>
      <top style="hair">
        <color auto="1"/>
      </top>
      <bottom/>
      <diagonal/>
    </border>
    <border>
      <left/>
      <right style="hair">
        <color theme="1"/>
      </right>
      <top/>
      <bottom style="thin">
        <color theme="1" tint="0.499984740745262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/>
      <bottom/>
      <diagonal/>
    </border>
    <border>
      <left style="hair">
        <color theme="1" tint="0.499984740745262"/>
      </left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thin">
        <color theme="0" tint="-0.14996795556505021"/>
      </top>
      <bottom/>
      <diagonal/>
    </border>
    <border>
      <left style="hair">
        <color theme="1" tint="0.499984740745262"/>
      </left>
      <right style="hair">
        <color theme="1" tint="0.499984740745262"/>
      </right>
      <top/>
      <bottom style="thin">
        <color theme="0" tint="-0.1499679555650502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thin">
        <color theme="1" tint="0.499984740745262"/>
      </top>
      <bottom/>
      <diagonal/>
    </border>
    <border>
      <left style="hair">
        <color auto="1"/>
      </left>
      <right style="hair">
        <color auto="1"/>
      </right>
      <top/>
      <bottom style="thin">
        <color theme="1" tint="0.499984740745262"/>
      </bottom>
      <diagonal/>
    </border>
    <border>
      <left/>
      <right style="hair">
        <color auto="1"/>
      </right>
      <top/>
      <bottom style="thin">
        <color theme="1" tint="0.499984740745262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double">
        <color indexed="64"/>
      </top>
      <bottom/>
      <diagonal/>
    </border>
    <border>
      <left style="hair">
        <color auto="1"/>
      </left>
      <right/>
      <top style="double">
        <color indexed="64"/>
      </top>
      <bottom/>
      <diagonal/>
    </border>
    <border>
      <left style="hair">
        <color auto="1"/>
      </left>
      <right/>
      <top/>
      <bottom style="double">
        <color indexed="64"/>
      </bottom>
      <diagonal/>
    </border>
  </borders>
  <cellStyleXfs count="4176">
    <xf numFmtId="0" fontId="0" fillId="0" borderId="0" applyFill="0" applyBorder="0">
      <alignment vertical="center"/>
    </xf>
    <xf numFmtId="9" fontId="13" fillId="0" borderId="0" applyFont="0" applyFill="0" applyBorder="0" applyAlignment="0" applyProtection="0"/>
    <xf numFmtId="0" fontId="14" fillId="2" borderId="0">
      <alignment horizontal="center" vertical="center"/>
    </xf>
    <xf numFmtId="9" fontId="15" fillId="0" borderId="0">
      <alignment horizontal="left" vertical="center" indent="1"/>
    </xf>
    <xf numFmtId="164" fontId="16" fillId="0" borderId="3">
      <alignment horizontal="center" vertical="center"/>
    </xf>
    <xf numFmtId="43" fontId="17" fillId="0" borderId="0" applyFont="0" applyFill="0" applyBorder="0" applyAlignment="0" applyProtection="0"/>
    <xf numFmtId="0" fontId="18" fillId="0" borderId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0" fillId="0" borderId="0"/>
    <xf numFmtId="168" fontId="18" fillId="0" borderId="0" applyFont="0" applyFill="0" applyBorder="0" applyAlignment="0" applyProtection="0"/>
    <xf numFmtId="0" fontId="10" fillId="0" borderId="0"/>
    <xf numFmtId="0" fontId="10" fillId="0" borderId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9" fillId="0" borderId="0"/>
    <xf numFmtId="171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9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6" fillId="0" borderId="0"/>
    <xf numFmtId="168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9" fontId="18" fillId="10" borderId="0"/>
    <xf numFmtId="0" fontId="18" fillId="0" borderId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14" borderId="0" applyNumberFormat="0" applyBorder="0" applyAlignment="0" applyProtection="0"/>
    <xf numFmtId="0" fontId="30" fillId="17" borderId="0" applyNumberFormat="0" applyBorder="0" applyAlignment="0" applyProtection="0"/>
    <xf numFmtId="0" fontId="30" fillId="20" borderId="0" applyNumberFormat="0" applyBorder="0" applyAlignment="0" applyProtection="0"/>
    <xf numFmtId="0" fontId="53" fillId="21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4" borderId="0" applyNumberFormat="0" applyBorder="0" applyAlignment="0" applyProtection="0"/>
    <xf numFmtId="0" fontId="54" fillId="0" borderId="14">
      <protection hidden="1"/>
    </xf>
    <xf numFmtId="0" fontId="55" fillId="25" borderId="14" applyNumberFormat="0" applyFont="0" applyBorder="0" applyAlignment="0" applyProtection="0">
      <protection hidden="1"/>
    </xf>
    <xf numFmtId="0" fontId="56" fillId="13" borderId="0" applyNumberFormat="0" applyBorder="0" applyAlignment="0" applyProtection="0"/>
    <xf numFmtId="0" fontId="18" fillId="0" borderId="0" applyFill="0" applyBorder="0" applyAlignment="0"/>
    <xf numFmtId="0" fontId="57" fillId="0" borderId="0" applyFill="0" applyBorder="0" applyAlignment="0"/>
    <xf numFmtId="0" fontId="57" fillId="0" borderId="0" applyFill="0" applyBorder="0" applyAlignment="0"/>
    <xf numFmtId="179" fontId="58" fillId="0" borderId="0" applyFill="0" applyBorder="0" applyAlignment="0"/>
    <xf numFmtId="180" fontId="58" fillId="0" borderId="0" applyFill="0" applyBorder="0" applyAlignment="0"/>
    <xf numFmtId="0" fontId="57" fillId="0" borderId="0" applyFill="0" applyBorder="0" applyAlignment="0"/>
    <xf numFmtId="0" fontId="57" fillId="0" borderId="0" applyFill="0" applyBorder="0" applyAlignment="0"/>
    <xf numFmtId="0" fontId="57" fillId="0" borderId="0" applyFill="0" applyBorder="0" applyAlignment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0" fillId="26" borderId="19" applyNumberFormat="0" applyAlignment="0" applyProtection="0"/>
    <xf numFmtId="0" fontId="61" fillId="0" borderId="20" applyNumberFormat="0" applyFill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57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49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64" fillId="0" borderId="0">
      <protection locked="0"/>
    </xf>
    <xf numFmtId="14" fontId="65" fillId="0" borderId="0" applyFill="0" applyBorder="0" applyAlignment="0"/>
    <xf numFmtId="0" fontId="66" fillId="5" borderId="21" applyNumberFormat="0" applyBorder="0" applyAlignment="0">
      <alignment horizontal="center"/>
    </xf>
    <xf numFmtId="37" fontId="67" fillId="27" borderId="22" applyNumberFormat="0" applyAlignment="0">
      <alignment horizontal="left"/>
    </xf>
    <xf numFmtId="0" fontId="53" fillId="28" borderId="0" applyNumberFormat="0" applyBorder="0" applyAlignment="0" applyProtection="0"/>
    <xf numFmtId="0" fontId="53" fillId="29" borderId="0" applyNumberFormat="0" applyBorder="0" applyAlignment="0" applyProtection="0"/>
    <xf numFmtId="0" fontId="53" fillId="30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31" borderId="0" applyNumberFormat="0" applyBorder="0" applyAlignment="0" applyProtection="0"/>
    <xf numFmtId="0" fontId="57" fillId="0" borderId="0" applyFill="0" applyBorder="0" applyAlignment="0"/>
    <xf numFmtId="0" fontId="57" fillId="0" borderId="0" applyFill="0" applyBorder="0" applyAlignment="0"/>
    <xf numFmtId="0" fontId="57" fillId="0" borderId="0" applyFill="0" applyBorder="0" applyAlignment="0"/>
    <xf numFmtId="0" fontId="57" fillId="0" borderId="0" applyFill="0" applyBorder="0" applyAlignment="0"/>
    <xf numFmtId="0" fontId="57" fillId="0" borderId="0" applyFill="0" applyBorder="0" applyAlignment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65" fillId="0" borderId="0">
      <alignment vertical="top"/>
    </xf>
    <xf numFmtId="181" fontId="18" fillId="0" borderId="0" applyFont="0" applyFill="0" applyBorder="0" applyAlignment="0" applyProtection="0"/>
    <xf numFmtId="182" fontId="69" fillId="0" borderId="0" applyFont="0" applyFill="0" applyBorder="0" applyAlignment="0" applyProtection="0"/>
    <xf numFmtId="183" fontId="64" fillId="0" borderId="0">
      <protection locked="0"/>
    </xf>
    <xf numFmtId="38" fontId="70" fillId="5" borderId="0" applyNumberFormat="0" applyBorder="0" applyAlignment="0" applyProtection="0"/>
    <xf numFmtId="0" fontId="52" fillId="0" borderId="23" applyNumberFormat="0" applyAlignment="0" applyProtection="0">
      <alignment horizontal="left" vertical="center"/>
    </xf>
    <xf numFmtId="0" fontId="52" fillId="0" borderId="24">
      <alignment horizontal="left" vertical="center"/>
    </xf>
    <xf numFmtId="0" fontId="71" fillId="0" borderId="0">
      <protection locked="0"/>
    </xf>
    <xf numFmtId="0" fontId="71" fillId="0" borderId="0"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73" fillId="12" borderId="0" applyNumberFormat="0" applyBorder="0" applyAlignment="0" applyProtection="0"/>
    <xf numFmtId="0" fontId="74" fillId="0" borderId="0"/>
    <xf numFmtId="184" fontId="58" fillId="0" borderId="0"/>
    <xf numFmtId="185" fontId="58" fillId="0" borderId="0"/>
    <xf numFmtId="186" fontId="58" fillId="0" borderId="0"/>
    <xf numFmtId="10" fontId="70" fillId="32" borderId="13" applyNumberFormat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1" fontId="75" fillId="0" borderId="0" applyNumberFormat="0" applyFill="0" applyBorder="0" applyAlignment="0" applyProtection="0"/>
    <xf numFmtId="0" fontId="57" fillId="0" borderId="0" applyFill="0" applyBorder="0" applyAlignment="0"/>
    <xf numFmtId="0" fontId="57" fillId="0" borderId="0" applyFill="0" applyBorder="0" applyAlignment="0"/>
    <xf numFmtId="0" fontId="57" fillId="0" borderId="0" applyFill="0" applyBorder="0" applyAlignment="0"/>
    <xf numFmtId="0" fontId="57" fillId="0" borderId="0" applyFill="0" applyBorder="0" applyAlignment="0"/>
    <xf numFmtId="0" fontId="57" fillId="0" borderId="0" applyFill="0" applyBorder="0" applyAlignment="0"/>
    <xf numFmtId="0" fontId="76" fillId="0" borderId="14">
      <alignment horizontal="left"/>
      <protection locked="0"/>
    </xf>
    <xf numFmtId="38" fontId="42" fillId="0" borderId="0" applyFont="0" applyFill="0" applyBorder="0" applyAlignment="0" applyProtection="0"/>
    <xf numFmtId="38" fontId="42" fillId="0" borderId="0" applyFont="0" applyFill="0" applyBorder="0" applyAlignment="0" applyProtection="0"/>
    <xf numFmtId="0" fontId="77" fillId="0" borderId="0" applyBorder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0" fontId="78" fillId="33" borderId="0" applyNumberFormat="0" applyBorder="0" applyAlignment="0" applyProtection="0"/>
    <xf numFmtId="37" fontId="79" fillId="0" borderId="0"/>
    <xf numFmtId="0" fontId="74" fillId="0" borderId="0"/>
    <xf numFmtId="0" fontId="18" fillId="0" borderId="0"/>
    <xf numFmtId="184" fontId="58" fillId="0" borderId="0"/>
    <xf numFmtId="185" fontId="58" fillId="0" borderId="0"/>
    <xf numFmtId="186" fontId="58" fillId="0" borderId="0"/>
    <xf numFmtId="189" fontId="58" fillId="0" borderId="0">
      <alignment horizontal="right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39" fontId="8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9" fillId="0" borderId="0"/>
    <xf numFmtId="0" fontId="18" fillId="0" borderId="0"/>
    <xf numFmtId="0" fontId="81" fillId="0" borderId="0">
      <alignment vertical="center"/>
    </xf>
    <xf numFmtId="0" fontId="51" fillId="0" borderId="0"/>
    <xf numFmtId="0" fontId="18" fillId="0" borderId="0"/>
    <xf numFmtId="0" fontId="18" fillId="0" borderId="0"/>
    <xf numFmtId="0" fontId="51" fillId="0" borderId="0"/>
    <xf numFmtId="0" fontId="5" fillId="0" borderId="0"/>
    <xf numFmtId="0" fontId="18" fillId="0" borderId="0"/>
    <xf numFmtId="0" fontId="18" fillId="0" borderId="0"/>
    <xf numFmtId="0" fontId="82" fillId="0" borderId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57" fillId="0" borderId="0" applyFill="0" applyBorder="0" applyAlignment="0"/>
    <xf numFmtId="0" fontId="57" fillId="0" borderId="0" applyFill="0" applyBorder="0" applyAlignment="0"/>
    <xf numFmtId="0" fontId="57" fillId="0" borderId="0" applyFill="0" applyBorder="0" applyAlignment="0"/>
    <xf numFmtId="0" fontId="57" fillId="0" borderId="0" applyFill="0" applyBorder="0" applyAlignment="0"/>
    <xf numFmtId="0" fontId="57" fillId="0" borderId="0" applyFill="0" applyBorder="0" applyAlignment="0"/>
    <xf numFmtId="3" fontId="18" fillId="0" borderId="0" applyFont="0" applyFill="0" applyBorder="0" applyAlignment="0" applyProtection="0"/>
    <xf numFmtId="0" fontId="83" fillId="0" borderId="14" applyNumberFormat="0" applyFill="0" applyBorder="0" applyAlignment="0" applyProtection="0">
      <protection hidden="1"/>
    </xf>
    <xf numFmtId="0" fontId="84" fillId="25" borderId="26" applyNumberForma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38" fontId="42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85" fillId="0" borderId="0" applyNumberFormat="0" applyFill="0" applyBorder="0" applyAlignment="0" applyProtection="0"/>
    <xf numFmtId="49" fontId="65" fillId="0" borderId="0" applyFill="0" applyBorder="0" applyAlignment="0"/>
    <xf numFmtId="190" fontId="58" fillId="0" borderId="0" applyFill="0" applyBorder="0" applyAlignment="0"/>
    <xf numFmtId="190" fontId="58" fillId="0" borderId="0" applyFill="0" applyBorder="0" applyAlignment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27" applyNumberFormat="0" applyFill="0" applyAlignment="0" applyProtection="0"/>
    <xf numFmtId="0" fontId="89" fillId="0" borderId="28" applyNumberFormat="0" applyFill="0" applyAlignment="0" applyProtection="0"/>
    <xf numFmtId="0" fontId="90" fillId="0" borderId="29" applyNumberFormat="0" applyFill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2" fillId="25" borderId="14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191" fontId="82" fillId="0" borderId="0" applyFont="0" applyFill="0" applyBorder="0" applyAlignment="0" applyProtection="0"/>
    <xf numFmtId="191" fontId="82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92" fontId="94" fillId="0" borderId="0" applyFont="0" applyFill="0" applyBorder="0" applyProtection="0">
      <alignment horizontal="right" vertical="top" shrinkToFit="1"/>
    </xf>
    <xf numFmtId="178" fontId="95" fillId="0" borderId="0" applyFont="0" applyFill="0" applyBorder="0" applyProtection="0">
      <alignment horizontal="right" vertical="top" shrinkToFit="1"/>
    </xf>
    <xf numFmtId="193" fontId="95" fillId="0" borderId="0" applyFont="0" applyFill="0" applyBorder="0" applyProtection="0">
      <alignment horizontal="right" vertical="top" shrinkToFit="1"/>
    </xf>
    <xf numFmtId="194" fontId="95" fillId="0" borderId="0" applyFont="0" applyFill="0" applyBorder="0" applyProtection="0">
      <alignment horizontal="right" vertical="top" shrinkToFit="1"/>
    </xf>
    <xf numFmtId="195" fontId="95" fillId="0" borderId="0" applyFont="0" applyFill="0" applyBorder="0" applyProtection="0">
      <alignment horizontal="right" vertical="top" shrinkToFit="1"/>
    </xf>
    <xf numFmtId="0" fontId="4" fillId="0" borderId="0"/>
    <xf numFmtId="0" fontId="97" fillId="0" borderId="36" applyNumberFormat="0" applyFill="0" applyAlignment="0" applyProtection="0"/>
    <xf numFmtId="0" fontId="98" fillId="0" borderId="37" applyNumberFormat="0" applyFill="0" applyAlignment="0" applyProtection="0"/>
    <xf numFmtId="0" fontId="99" fillId="0" borderId="38" applyNumberFormat="0" applyFill="0" applyAlignment="0" applyProtection="0"/>
    <xf numFmtId="0" fontId="99" fillId="0" borderId="0" applyNumberFormat="0" applyFill="0" applyBorder="0" applyAlignment="0" applyProtection="0"/>
    <xf numFmtId="0" fontId="100" fillId="35" borderId="0" applyNumberFormat="0" applyBorder="0" applyAlignment="0" applyProtection="0"/>
    <xf numFmtId="0" fontId="101" fillId="36" borderId="0" applyNumberFormat="0" applyBorder="0" applyAlignment="0" applyProtection="0"/>
    <xf numFmtId="0" fontId="102" fillId="37" borderId="0" applyNumberFormat="0" applyBorder="0" applyAlignment="0" applyProtection="0"/>
    <xf numFmtId="0" fontId="103" fillId="38" borderId="39" applyNumberFormat="0" applyAlignment="0" applyProtection="0"/>
    <xf numFmtId="0" fontId="104" fillId="39" borderId="40" applyNumberFormat="0" applyAlignment="0" applyProtection="0"/>
    <xf numFmtId="0" fontId="105" fillId="39" borderId="39" applyNumberFormat="0" applyAlignment="0" applyProtection="0"/>
    <xf numFmtId="0" fontId="106" fillId="0" borderId="41" applyNumberFormat="0" applyFill="0" applyAlignment="0" applyProtection="0"/>
    <xf numFmtId="0" fontId="107" fillId="40" borderId="42" applyNumberFormat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21" fillId="0" borderId="44" applyNumberFormat="0" applyFill="0" applyAlignment="0" applyProtection="0"/>
    <xf numFmtId="0" fontId="110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110" fillId="45" borderId="0" applyNumberFormat="0" applyBorder="0" applyAlignment="0" applyProtection="0"/>
    <xf numFmtId="0" fontId="110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110" fillId="49" borderId="0" applyNumberFormat="0" applyBorder="0" applyAlignment="0" applyProtection="0"/>
    <xf numFmtId="0" fontId="110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110" fillId="53" borderId="0" applyNumberFormat="0" applyBorder="0" applyAlignment="0" applyProtection="0"/>
    <xf numFmtId="0" fontId="110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110" fillId="57" borderId="0" applyNumberFormat="0" applyBorder="0" applyAlignment="0" applyProtection="0"/>
    <xf numFmtId="0" fontId="110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110" fillId="61" borderId="0" applyNumberFormat="0" applyBorder="0" applyAlignment="0" applyProtection="0"/>
    <xf numFmtId="0" fontId="110" fillId="62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110" fillId="65" borderId="0" applyNumberFormat="0" applyBorder="0" applyAlignment="0" applyProtection="0"/>
    <xf numFmtId="9" fontId="3" fillId="0" borderId="0" applyFont="0" applyFill="0" applyBorder="0" applyAlignment="0" applyProtection="0"/>
    <xf numFmtId="0" fontId="111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8" fillId="0" borderId="0"/>
    <xf numFmtId="168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8" fillId="0" borderId="0"/>
    <xf numFmtId="168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10" fontId="70" fillId="32" borderId="45" applyNumberFormat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18" fillId="0" borderId="0"/>
    <xf numFmtId="197" fontId="18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25" borderId="18" applyNumberForma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96" fillId="0" borderId="0" applyNumberFormat="0" applyFill="0" applyBorder="0" applyAlignment="0" applyProtection="0"/>
    <xf numFmtId="0" fontId="3" fillId="41" borderId="43" applyNumberFormat="0" applyFont="0" applyAlignment="0" applyProtection="0"/>
    <xf numFmtId="0" fontId="30" fillId="34" borderId="25" applyNumberFormat="0" applyFont="0" applyAlignment="0" applyProtection="0"/>
    <xf numFmtId="0" fontId="59" fillId="25" borderId="18" applyNumberFormat="0" applyAlignment="0" applyProtection="0"/>
    <xf numFmtId="0" fontId="66" fillId="5" borderId="46" applyNumberFormat="0" applyBorder="0" applyAlignment="0">
      <alignment horizontal="center"/>
    </xf>
    <xf numFmtId="0" fontId="68" fillId="16" borderId="18" applyNumberFormat="0" applyAlignment="0" applyProtection="0"/>
    <xf numFmtId="0" fontId="52" fillId="0" borderId="24">
      <alignment horizontal="left" vertical="center"/>
    </xf>
    <xf numFmtId="10" fontId="70" fillId="32" borderId="45" applyNumberFormat="0" applyBorder="0" applyAlignment="0" applyProtection="0"/>
    <xf numFmtId="0" fontId="3" fillId="0" borderId="0"/>
    <xf numFmtId="0" fontId="18" fillId="0" borderId="0">
      <alignment vertical="center"/>
    </xf>
    <xf numFmtId="0" fontId="18" fillId="0" borderId="0"/>
    <xf numFmtId="0" fontId="3" fillId="0" borderId="0"/>
    <xf numFmtId="0" fontId="3" fillId="0" borderId="0"/>
    <xf numFmtId="0" fontId="3" fillId="0" borderId="0"/>
    <xf numFmtId="0" fontId="18" fillId="0" borderId="0">
      <alignment vertical="top"/>
    </xf>
    <xf numFmtId="9" fontId="3" fillId="0" borderId="0" applyFont="0" applyFill="0" applyBorder="0" applyAlignment="0" applyProtection="0"/>
    <xf numFmtId="9" fontId="18" fillId="0" borderId="0" applyFont="0" applyFill="0" applyBorder="0" applyAlignment="0" applyProtection="0"/>
    <xf numFmtId="43" fontId="18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97" fontId="18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44" fontId="18" fillId="0" borderId="0" applyFont="0" applyFill="0" applyBorder="0" applyAlignment="0" applyProtection="0"/>
    <xf numFmtId="0" fontId="18" fillId="0" borderId="0">
      <alignment vertical="top"/>
    </xf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93" fillId="0" borderId="30" applyNumberFormat="0" applyFill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84" fillId="25" borderId="26" applyNumberFormat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66" fillId="5" borderId="21" applyNumberFormat="0" applyBorder="0" applyAlignment="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9" fillId="25" borderId="18" applyNumberFormat="0" applyAlignment="0" applyProtection="0"/>
    <xf numFmtId="0" fontId="51" fillId="0" borderId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3" fillId="0" borderId="0"/>
    <xf numFmtId="0" fontId="3" fillId="0" borderId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93" fillId="0" borderId="30" applyNumberFormat="0" applyFill="0" applyAlignment="0" applyProtection="0"/>
    <xf numFmtId="0" fontId="84" fillId="25" borderId="26" applyNumberFormat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66" fillId="5" borderId="21" applyNumberFormat="0" applyBorder="0" applyAlignment="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8" fillId="0" borderId="0"/>
    <xf numFmtId="168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30" fillId="34" borderId="25" applyNumberFormat="0" applyFon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9" fontId="3" fillId="0" borderId="0" applyFont="0" applyFill="0" applyBorder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93" fillId="0" borderId="30" applyNumberFormat="0" applyFill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84" fillId="25" borderId="26" applyNumberFormat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66" fillId="5" borderId="21" applyNumberFormat="0" applyBorder="0" applyAlignment="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3" fillId="0" borderId="0"/>
    <xf numFmtId="0" fontId="3" fillId="0" borderId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0" fontId="3" fillId="63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60" borderId="0" applyNumberFormat="0" applyBorder="0" applyAlignment="0" applyProtection="0"/>
    <xf numFmtId="0" fontId="3" fillId="64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4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8" fillId="0" borderId="0"/>
    <xf numFmtId="168" fontId="18" fillId="0" borderId="0" applyFont="0" applyFill="0" applyBorder="0" applyAlignment="0" applyProtection="0"/>
    <xf numFmtId="197" fontId="18" fillId="0" borderId="0" applyFont="0" applyFill="0" applyBorder="0" applyAlignment="0" applyProtection="0"/>
    <xf numFmtId="0" fontId="84" fillId="25" borderId="26" applyNumberFormat="0" applyAlignment="0" applyProtection="0"/>
    <xf numFmtId="0" fontId="30" fillId="34" borderId="25" applyNumberFormat="0" applyFon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52" fillId="0" borderId="24">
      <alignment horizontal="left" vertical="center"/>
    </xf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93" fillId="0" borderId="30" applyNumberFormat="0" applyFill="0" applyAlignment="0" applyProtection="0"/>
    <xf numFmtId="0" fontId="84" fillId="25" borderId="26" applyNumberFormat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66" fillId="5" borderId="21" applyNumberFormat="0" applyBorder="0" applyAlignment="0">
      <alignment horizontal="center"/>
    </xf>
    <xf numFmtId="0" fontId="93" fillId="0" borderId="30" applyNumberFormat="0" applyFill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84" fillId="25" borderId="26" applyNumberFormat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66" fillId="5" borderId="21" applyNumberFormat="0" applyBorder="0" applyAlignment="0">
      <alignment horizontal="center"/>
    </xf>
    <xf numFmtId="0" fontId="93" fillId="0" borderId="30" applyNumberFormat="0" applyFill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59" fillId="25" borderId="18" applyNumberFormat="0" applyAlignment="0" applyProtection="0"/>
    <xf numFmtId="0" fontId="3" fillId="0" borderId="0"/>
    <xf numFmtId="0" fontId="68" fillId="16" borderId="18" applyNumberFormat="0" applyAlignment="0" applyProtection="0"/>
    <xf numFmtId="0" fontId="3" fillId="0" borderId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3" fillId="0" borderId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93" fillId="0" borderId="30" applyNumberFormat="0" applyFill="0" applyAlignment="0" applyProtection="0"/>
    <xf numFmtId="0" fontId="84" fillId="25" borderId="26" applyNumberFormat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66" fillId="5" borderId="21" applyNumberFormat="0" applyBorder="0" applyAlignment="0">
      <alignment horizontal="center"/>
    </xf>
    <xf numFmtId="0" fontId="93" fillId="0" borderId="30" applyNumberFormat="0" applyFill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59" fillId="25" borderId="18" applyNumberFormat="0" applyAlignment="0" applyProtection="0"/>
    <xf numFmtId="0" fontId="66" fillId="5" borderId="46" applyNumberFormat="0" applyBorder="0" applyAlignment="0">
      <alignment horizontal="center"/>
    </xf>
    <xf numFmtId="0" fontId="68" fillId="16" borderId="18" applyNumberFormat="0" applyAlignment="0" applyProtection="0"/>
    <xf numFmtId="10" fontId="70" fillId="32" borderId="45" applyNumberFormat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93" fillId="0" borderId="30" applyNumberFormat="0" applyFill="0" applyAlignment="0" applyProtection="0"/>
    <xf numFmtId="0" fontId="84" fillId="25" borderId="26" applyNumberFormat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84" fillId="25" borderId="26" applyNumberFormat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3" fillId="0" borderId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30" fillId="34" borderId="25" applyNumberFormat="0" applyFon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44" fontId="3" fillId="0" borderId="0" applyFont="0" applyFill="0" applyBorder="0" applyAlignment="0" applyProtection="0"/>
    <xf numFmtId="0" fontId="93" fillId="0" borderId="30" applyNumberFormat="0" applyFill="0" applyAlignment="0" applyProtection="0"/>
    <xf numFmtId="0" fontId="84" fillId="25" borderId="26" applyNumberFormat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52" fillId="0" borderId="47">
      <alignment horizontal="left" vertical="center"/>
    </xf>
    <xf numFmtId="44" fontId="3" fillId="0" borderId="0" applyFont="0" applyFill="0" applyBorder="0" applyAlignment="0" applyProtection="0"/>
    <xf numFmtId="0" fontId="68" fillId="16" borderId="18" applyNumberFormat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59" fillId="25" borderId="18" applyNumberFormat="0" applyAlignment="0" applyProtection="0"/>
    <xf numFmtId="0" fontId="30" fillId="34" borderId="25" applyNumberFormat="0" applyFont="0" applyAlignment="0" applyProtection="0"/>
    <xf numFmtId="0" fontId="66" fillId="5" borderId="46" applyNumberFormat="0" applyBorder="0" applyAlignment="0">
      <alignment horizontal="center"/>
    </xf>
    <xf numFmtId="10" fontId="70" fillId="32" borderId="45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68" fillId="16" borderId="18" applyNumberFormat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59" fillId="25" borderId="18" applyNumberFormat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68" fillId="16" borderId="1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" fillId="0" borderId="0"/>
    <xf numFmtId="0" fontId="3" fillId="0" borderId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68" fillId="16" borderId="1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68" fillId="16" borderId="1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" fillId="0" borderId="0"/>
    <xf numFmtId="0" fontId="3" fillId="0" borderId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0" fontId="3" fillId="63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60" borderId="0" applyNumberFormat="0" applyBorder="0" applyAlignment="0" applyProtection="0"/>
    <xf numFmtId="0" fontId="3" fillId="64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4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66" fillId="5" borderId="46" applyNumberFormat="0" applyBorder="0" applyAlignment="0">
      <alignment horizontal="center"/>
    </xf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30" fillId="34" borderId="25" applyNumberFormat="0" applyFon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9" fontId="3" fillId="0" borderId="0" applyFont="0" applyFill="0" applyBorder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66" fillId="5" borderId="46" applyNumberFormat="0" applyBorder="0" applyAlignment="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3" fillId="0" borderId="0"/>
    <xf numFmtId="0" fontId="3" fillId="0" borderId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30" fillId="34" borderId="25" applyNumberFormat="0" applyFon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9" fontId="3" fillId="0" borderId="0" applyFont="0" applyFill="0" applyBorder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3" fillId="0" borderId="0"/>
    <xf numFmtId="0" fontId="3" fillId="0" borderId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0" fontId="3" fillId="63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60" borderId="0" applyNumberFormat="0" applyBorder="0" applyAlignment="0" applyProtection="0"/>
    <xf numFmtId="0" fontId="3" fillId="64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4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68" fillId="16" borderId="18" applyNumberFormat="0" applyAlignment="0" applyProtection="0"/>
    <xf numFmtId="0" fontId="59" fillId="25" borderId="18" applyNumberFormat="0" applyAlignment="0" applyProtection="0"/>
    <xf numFmtId="0" fontId="3" fillId="0" borderId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0" fillId="34" borderId="25" applyNumberFormat="0" applyFont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52" fillId="0" borderId="47">
      <alignment horizontal="left"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0" fillId="34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3" fillId="0" borderId="0"/>
    <xf numFmtId="0" fontId="3" fillId="0" borderId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30" fillId="34" borderId="25" applyNumberFormat="0" applyFon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9" fontId="3" fillId="0" borderId="0" applyFont="0" applyFill="0" applyBorder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3" fillId="0" borderId="0"/>
    <xf numFmtId="0" fontId="3" fillId="0" borderId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0" fontId="3" fillId="63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60" borderId="0" applyNumberFormat="0" applyBorder="0" applyAlignment="0" applyProtection="0"/>
    <xf numFmtId="0" fontId="3" fillId="64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4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93" fillId="0" borderId="30" applyNumberFormat="0" applyFill="0" applyAlignment="0" applyProtection="0"/>
    <xf numFmtId="0" fontId="3" fillId="55" borderId="0" applyNumberFormat="0" applyBorder="0" applyAlignment="0" applyProtection="0"/>
    <xf numFmtId="0" fontId="93" fillId="0" borderId="30" applyNumberFormat="0" applyFill="0" applyAlignment="0" applyProtection="0"/>
    <xf numFmtId="0" fontId="3" fillId="59" borderId="0" applyNumberFormat="0" applyBorder="0" applyAlignment="0" applyProtection="0"/>
    <xf numFmtId="0" fontId="93" fillId="0" borderId="30" applyNumberFormat="0" applyFill="0" applyAlignment="0" applyProtection="0"/>
    <xf numFmtId="0" fontId="3" fillId="63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59" fillId="25" borderId="18" applyNumberFormat="0" applyAlignment="0" applyProtection="0"/>
    <xf numFmtId="0" fontId="3" fillId="60" borderId="0" applyNumberFormat="0" applyBorder="0" applyAlignment="0" applyProtection="0"/>
    <xf numFmtId="0" fontId="3" fillId="64" borderId="0" applyNumberFormat="0" applyBorder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30" fillId="34" borderId="25" applyNumberFormat="0" applyFont="0" applyAlignment="0" applyProtection="0"/>
    <xf numFmtId="0" fontId="59" fillId="25" borderId="18" applyNumberForma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44" fontId="3" fillId="0" borderId="0" applyFont="0" applyFill="0" applyBorder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3" fillId="0" borderId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44" fontId="3" fillId="0" borderId="0" applyFont="0" applyFill="0" applyBorder="0" applyAlignment="0" applyProtection="0"/>
    <xf numFmtId="0" fontId="84" fillId="25" borderId="26" applyNumberFormat="0" applyAlignment="0" applyProtection="0"/>
    <xf numFmtId="0" fontId="3" fillId="0" borderId="0"/>
    <xf numFmtId="0" fontId="59" fillId="25" borderId="18" applyNumberFormat="0" applyAlignment="0" applyProtection="0"/>
    <xf numFmtId="44" fontId="3" fillId="0" borderId="0" applyFont="0" applyFill="0" applyBorder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44" fontId="3" fillId="0" borderId="0" applyFont="0" applyFill="0" applyBorder="0" applyAlignment="0" applyProtection="0"/>
    <xf numFmtId="0" fontId="30" fillId="34" borderId="25" applyNumberFormat="0" applyFon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65" fillId="34" borderId="25" applyNumberFormat="0" applyFon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44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" fillId="0" borderId="0"/>
    <xf numFmtId="0" fontId="68" fillId="16" borderId="18" applyNumberFormat="0" applyAlignment="0" applyProtection="0"/>
    <xf numFmtId="0" fontId="59" fillId="25" borderId="18" applyNumberFormat="0" applyAlignment="0" applyProtection="0"/>
    <xf numFmtId="44" fontId="3" fillId="0" borderId="0" applyFont="0" applyFill="0" applyBorder="0" applyAlignment="0" applyProtection="0"/>
    <xf numFmtId="0" fontId="68" fillId="16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3" fillId="0" borderId="0"/>
    <xf numFmtId="0" fontId="84" fillId="25" borderId="26" applyNumberFormat="0" applyAlignment="0" applyProtection="0"/>
    <xf numFmtId="0" fontId="3" fillId="0" borderId="0"/>
    <xf numFmtId="0" fontId="65" fillId="34" borderId="25" applyNumberFormat="0" applyFont="0" applyAlignment="0" applyProtection="0"/>
    <xf numFmtId="0" fontId="59" fillId="25" borderId="1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41" borderId="43" applyNumberFormat="0" applyFon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4" fillId="25" borderId="26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84" fillId="25" borderId="26" applyNumberFormat="0" applyAlignment="0" applyProtection="0"/>
    <xf numFmtId="44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168" fontId="3" fillId="0" borderId="0" applyFont="0" applyFill="0" applyBorder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3" fillId="0" borderId="0"/>
    <xf numFmtId="0" fontId="59" fillId="25" borderId="1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16" borderId="18" applyNumberFormat="0" applyAlignment="0" applyProtection="0"/>
    <xf numFmtId="168" fontId="3" fillId="0" borderId="0" applyFont="0" applyFill="0" applyBorder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" fillId="0" borderId="0"/>
    <xf numFmtId="0" fontId="84" fillId="25" borderId="26" applyNumberFormat="0" applyAlignment="0" applyProtection="0"/>
    <xf numFmtId="0" fontId="68" fillId="16" borderId="18" applyNumberFormat="0" applyAlignment="0" applyProtection="0"/>
    <xf numFmtId="0" fontId="18" fillId="0" borderId="0"/>
    <xf numFmtId="0" fontId="18" fillId="0" borderId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65" fillId="11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65" fillId="12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65" fillId="13" borderId="0" applyNumberFormat="0" applyBorder="0" applyAlignment="0" applyProtection="0"/>
    <xf numFmtId="0" fontId="3" fillId="51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65" fillId="14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65" fillId="15" borderId="0" applyNumberFormat="0" applyBorder="0" applyAlignment="0" applyProtection="0"/>
    <xf numFmtId="0" fontId="3" fillId="59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65" fillId="16" borderId="0" applyNumberFormat="0" applyBorder="0" applyAlignment="0" applyProtection="0"/>
    <xf numFmtId="0" fontId="3" fillId="63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14" borderId="0" applyNumberFormat="0" applyBorder="0" applyAlignment="0" applyProtection="0"/>
    <xf numFmtId="0" fontId="30" fillId="17" borderId="0" applyNumberFormat="0" applyBorder="0" applyAlignment="0" applyProtection="0"/>
    <xf numFmtId="0" fontId="30" fillId="20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65" fillId="17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65" fillId="18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65" fillId="19" borderId="0" applyNumberFormat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65" fillId="14" borderId="0" applyNumberFormat="0" applyBorder="0" applyAlignment="0" applyProtection="0"/>
    <xf numFmtId="0" fontId="3" fillId="56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65" fillId="17" borderId="0" applyNumberFormat="0" applyBorder="0" applyAlignment="0" applyProtection="0"/>
    <xf numFmtId="0" fontId="3" fillId="60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65" fillId="20" borderId="0" applyNumberFormat="0" applyBorder="0" applyAlignment="0" applyProtection="0"/>
    <xf numFmtId="0" fontId="3" fillId="64" borderId="0" applyNumberFormat="0" applyBorder="0" applyAlignment="0" applyProtection="0"/>
    <xf numFmtId="0" fontId="53" fillId="21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4" borderId="0" applyNumberFormat="0" applyBorder="0" applyAlignment="0" applyProtection="0"/>
    <xf numFmtId="0" fontId="112" fillId="21" borderId="0" applyNumberFormat="0" applyBorder="0" applyAlignment="0" applyProtection="0"/>
    <xf numFmtId="0" fontId="112" fillId="18" borderId="0" applyNumberFormat="0" applyBorder="0" applyAlignment="0" applyProtection="0"/>
    <xf numFmtId="0" fontId="112" fillId="19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24" borderId="0" applyNumberFormat="0" applyBorder="0" applyAlignment="0" applyProtection="0"/>
    <xf numFmtId="0" fontId="53" fillId="28" borderId="0" applyNumberFormat="0" applyBorder="0" applyAlignment="0" applyProtection="0"/>
    <xf numFmtId="0" fontId="53" fillId="29" borderId="0" applyNumberFormat="0" applyBorder="0" applyAlignment="0" applyProtection="0"/>
    <xf numFmtId="0" fontId="53" fillId="30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31" borderId="0" applyNumberFormat="0" applyBorder="0" applyAlignment="0" applyProtection="0"/>
    <xf numFmtId="0" fontId="73" fillId="12" borderId="0" applyNumberFormat="0" applyBorder="0" applyAlignment="0" applyProtection="0"/>
    <xf numFmtId="0" fontId="113" fillId="13" borderId="0" applyNumberFormat="0" applyBorder="0" applyAlignment="0" applyProtection="0"/>
    <xf numFmtId="0" fontId="59" fillId="25" borderId="18" applyNumberFormat="0" applyAlignment="0" applyProtection="0"/>
    <xf numFmtId="0" fontId="39" fillId="26" borderId="19" applyNumberFormat="0" applyAlignment="0" applyProtection="0"/>
    <xf numFmtId="0" fontId="114" fillId="0" borderId="20" applyNumberFormat="0" applyFill="0" applyAlignment="0" applyProtection="0"/>
    <xf numFmtId="0" fontId="60" fillId="26" borderId="19" applyNumberFormat="0" applyAlignment="0" applyProtection="0"/>
    <xf numFmtId="0" fontId="115" fillId="0" borderId="0" applyNumberFormat="0" applyFill="0" applyBorder="0" applyAlignment="0" applyProtection="0"/>
    <xf numFmtId="0" fontId="112" fillId="28" borderId="0" applyNumberFormat="0" applyBorder="0" applyAlignment="0" applyProtection="0"/>
    <xf numFmtId="0" fontId="112" fillId="29" borderId="0" applyNumberFormat="0" applyBorder="0" applyAlignment="0" applyProtection="0"/>
    <xf numFmtId="0" fontId="112" fillId="30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31" borderId="0" applyNumberFormat="0" applyBorder="0" applyAlignment="0" applyProtection="0"/>
    <xf numFmtId="0" fontId="87" fillId="0" borderId="0" applyNumberFormat="0" applyFill="0" applyBorder="0" applyAlignment="0" applyProtection="0"/>
    <xf numFmtId="0" fontId="56" fillId="13" borderId="0" applyNumberFormat="0" applyBorder="0" applyAlignment="0" applyProtection="0"/>
    <xf numFmtId="0" fontId="88" fillId="0" borderId="27" applyNumberFormat="0" applyFill="0" applyAlignment="0" applyProtection="0"/>
    <xf numFmtId="0" fontId="89" fillId="0" borderId="28" applyNumberFormat="0" applyFill="0" applyAlignment="0" applyProtection="0"/>
    <xf numFmtId="0" fontId="90" fillId="0" borderId="29" applyNumberFormat="0" applyFill="0" applyAlignment="0" applyProtection="0"/>
    <xf numFmtId="0" fontId="90" fillId="0" borderId="0" applyNumberFormat="0" applyFill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116" fillId="12" borderId="0" applyNumberFormat="0" applyBorder="0" applyAlignment="0" applyProtection="0"/>
    <xf numFmtId="0" fontId="68" fillId="16" borderId="18" applyNumberFormat="0" applyAlignment="0" applyProtection="0"/>
    <xf numFmtId="0" fontId="61" fillId="0" borderId="20" applyNumberFormat="0" applyFill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98" fontId="49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18" fillId="0" borderId="0" applyFont="0" applyFill="0" applyBorder="0" applyAlignment="0" applyProtection="0"/>
    <xf numFmtId="198" fontId="18" fillId="0" borderId="0" applyFont="0" applyFill="0" applyBorder="0" applyAlignment="0" applyProtection="0"/>
    <xf numFmtId="198" fontId="65" fillId="0" borderId="0" applyFont="0" applyFill="0" applyBorder="0" applyAlignment="0" applyProtection="0"/>
    <xf numFmtId="198" fontId="18" fillId="0" borderId="0" applyFont="0" applyFill="0" applyBorder="0" applyAlignment="0" applyProtection="0"/>
    <xf numFmtId="19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200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0" fontId="117" fillId="33" borderId="0" applyNumberFormat="0" applyBorder="0" applyAlignment="0" applyProtection="0"/>
    <xf numFmtId="0" fontId="18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65" fillId="34" borderId="25" applyNumberFormat="0" applyFon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18" fillId="25" borderId="26" applyNumberFormat="0" applyAlignment="0" applyProtection="0"/>
    <xf numFmtId="0" fontId="119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3" fillId="0" borderId="0"/>
    <xf numFmtId="0" fontId="3" fillId="0" borderId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44" fontId="3" fillId="0" borderId="0" applyFont="0" applyFill="0" applyBorder="0" applyAlignment="0" applyProtection="0"/>
    <xf numFmtId="0" fontId="65" fillId="34" borderId="25" applyNumberFormat="0" applyFont="0" applyAlignment="0" applyProtection="0"/>
    <xf numFmtId="0" fontId="30" fillId="34" borderId="25" applyNumberFormat="0" applyFont="0" applyAlignment="0" applyProtection="0"/>
    <xf numFmtId="0" fontId="3" fillId="0" borderId="0"/>
    <xf numFmtId="0" fontId="3" fillId="0" borderId="0"/>
    <xf numFmtId="0" fontId="59" fillId="25" borderId="18" applyNumberFormat="0" applyAlignment="0" applyProtection="0"/>
    <xf numFmtId="0" fontId="84" fillId="25" borderId="26" applyNumberFormat="0" applyAlignment="0" applyProtection="0"/>
    <xf numFmtId="0" fontId="3" fillId="0" borderId="0"/>
    <xf numFmtId="0" fontId="68" fillId="16" borderId="18" applyNumberFormat="0" applyAlignment="0" applyProtection="0"/>
    <xf numFmtId="44" fontId="3" fillId="0" borderId="0" applyFont="0" applyFill="0" applyBorder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93" fillId="0" borderId="30" applyNumberFormat="0" applyFill="0" applyAlignment="0" applyProtection="0"/>
    <xf numFmtId="0" fontId="68" fillId="16" borderId="18" applyNumberFormat="0" applyAlignment="0" applyProtection="0"/>
    <xf numFmtId="0" fontId="84" fillId="25" borderId="26" applyNumberForma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84" fillId="25" borderId="26" applyNumberFormat="0" applyAlignment="0" applyProtection="0"/>
    <xf numFmtId="0" fontId="93" fillId="0" borderId="30" applyNumberFormat="0" applyFill="0" applyAlignment="0" applyProtection="0"/>
    <xf numFmtId="0" fontId="84" fillId="25" borderId="26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3" fillId="0" borderId="0"/>
    <xf numFmtId="0" fontId="93" fillId="0" borderId="30" applyNumberFormat="0" applyFill="0" applyAlignment="0" applyProtection="0"/>
    <xf numFmtId="0" fontId="84" fillId="25" borderId="26" applyNumberFormat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52" fillId="0" borderId="47">
      <alignment horizontal="left" vertical="center"/>
    </xf>
    <xf numFmtId="0" fontId="68" fillId="16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65" fillId="34" borderId="25" applyNumberFormat="0" applyFont="0" applyAlignment="0" applyProtection="0"/>
    <xf numFmtId="0" fontId="84" fillId="25" borderId="26" applyNumberFormat="0" applyAlignment="0" applyProtection="0"/>
    <xf numFmtId="0" fontId="3" fillId="0" borderId="0"/>
    <xf numFmtId="0" fontId="66" fillId="5" borderId="46" applyNumberFormat="0" applyBorder="0" applyAlignment="0">
      <alignment horizontal="center"/>
    </xf>
    <xf numFmtId="0" fontId="59" fillId="25" borderId="18" applyNumberFormat="0" applyAlignment="0" applyProtection="0"/>
    <xf numFmtId="0" fontId="30" fillId="34" borderId="25" applyNumberFormat="0" applyFont="0" applyAlignment="0" applyProtection="0"/>
    <xf numFmtId="0" fontId="65" fillId="34" borderId="25" applyNumberFormat="0" applyFont="0" applyAlignment="0" applyProtection="0"/>
    <xf numFmtId="0" fontId="65" fillId="34" borderId="25" applyNumberFormat="0" applyFon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0" fontId="30" fillId="34" borderId="25" applyNumberFormat="0" applyFont="0" applyAlignment="0" applyProtection="0"/>
    <xf numFmtId="0" fontId="118" fillId="25" borderId="26" applyNumberFormat="0" applyAlignment="0" applyProtection="0"/>
    <xf numFmtId="44" fontId="3" fillId="0" borderId="0" applyFont="0" applyFill="0" applyBorder="0" applyAlignment="0" applyProtection="0"/>
    <xf numFmtId="0" fontId="65" fillId="34" borderId="25" applyNumberFormat="0" applyFon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118" fillId="25" borderId="26" applyNumberFormat="0" applyAlignment="0" applyProtection="0"/>
    <xf numFmtId="0" fontId="118" fillId="25" borderId="26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118" fillId="25" borderId="26" applyNumberFormat="0" applyAlignment="0" applyProtection="0"/>
    <xf numFmtId="0" fontId="84" fillId="25" borderId="26" applyNumberFormat="0" applyAlignment="0" applyProtection="0"/>
    <xf numFmtId="0" fontId="68" fillId="16" borderId="18" applyNumberFormat="0" applyAlignment="0" applyProtection="0"/>
    <xf numFmtId="0" fontId="118" fillId="25" borderId="26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59" fillId="25" borderId="18" applyNumberFormat="0" applyAlignment="0" applyProtection="0"/>
    <xf numFmtId="0" fontId="84" fillId="25" borderId="26" applyNumberFormat="0" applyAlignment="0" applyProtection="0"/>
    <xf numFmtId="0" fontId="118" fillId="25" borderId="26" applyNumberFormat="0" applyAlignment="0" applyProtection="0"/>
    <xf numFmtId="0" fontId="118" fillId="25" borderId="26" applyNumberFormat="0" applyAlignment="0" applyProtection="0"/>
    <xf numFmtId="0" fontId="65" fillId="34" borderId="25" applyNumberFormat="0" applyFon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0" fontId="118" fillId="25" borderId="26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65" fillId="34" borderId="25" applyNumberFormat="0" applyFon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0" fontId="118" fillId="25" borderId="26" applyNumberForma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0" fontId="3" fillId="63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60" borderId="0" applyNumberFormat="0" applyBorder="0" applyAlignment="0" applyProtection="0"/>
    <xf numFmtId="0" fontId="3" fillId="64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4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19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65" fillId="34" borderId="25" applyNumberFormat="0" applyFon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9" fontId="3" fillId="0" borderId="0" applyFont="0" applyFill="0" applyBorder="0" applyAlignment="0" applyProtection="0"/>
    <xf numFmtId="0" fontId="118" fillId="25" borderId="26" applyNumberFormat="0" applyAlignment="0" applyProtection="0"/>
    <xf numFmtId="0" fontId="3" fillId="0" borderId="0"/>
    <xf numFmtId="0" fontId="3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198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6" fillId="5" borderId="46" applyNumberFormat="0" applyBorder="0" applyAlignment="0">
      <alignment horizontal="center"/>
    </xf>
    <xf numFmtId="0" fontId="68" fillId="16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52" fillId="0" borderId="47">
      <alignment horizontal="left" vertical="center"/>
    </xf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9" fontId="120" fillId="0" borderId="0" applyFont="0" applyFill="0" applyBorder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3" fillId="0" borderId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0" fontId="3" fillId="63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60" borderId="0" applyNumberFormat="0" applyBorder="0" applyAlignment="0" applyProtection="0"/>
    <xf numFmtId="0" fontId="3" fillId="64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4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68" fillId="16" borderId="18" applyNumberFormat="0" applyAlignment="0" applyProtection="0"/>
    <xf numFmtId="19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98" fontId="3" fillId="0" borderId="0" applyFont="0" applyFill="0" applyBorder="0" applyAlignment="0" applyProtection="0"/>
    <xf numFmtId="0" fontId="66" fillId="5" borderId="21" applyNumberFormat="0" applyBorder="0" applyAlignment="0">
      <alignment horizont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59" fillId="25" borderId="18" applyNumberFormat="0" applyAlignment="0" applyProtection="0"/>
    <xf numFmtId="0" fontId="52" fillId="0" borderId="24">
      <alignment horizontal="left" vertical="center"/>
    </xf>
    <xf numFmtId="0" fontId="68" fillId="16" borderId="18" applyNumberFormat="0" applyAlignment="0" applyProtection="0"/>
    <xf numFmtId="0" fontId="3" fillId="0" borderId="0"/>
    <xf numFmtId="0" fontId="59" fillId="25" borderId="18" applyNumberFormat="0" applyAlignment="0" applyProtection="0"/>
    <xf numFmtId="0" fontId="68" fillId="16" borderId="18" applyNumberFormat="0" applyAlignment="0" applyProtection="0"/>
    <xf numFmtId="10" fontId="70" fillId="32" borderId="45" applyNumberFormat="0" applyBorder="0" applyAlignment="0" applyProtection="0"/>
    <xf numFmtId="9" fontId="3" fillId="0" borderId="0" applyFont="0" applyFill="0" applyBorder="0" applyAlignment="0" applyProtection="0"/>
    <xf numFmtId="0" fontId="59" fillId="25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30" fillId="34" borderId="25" applyNumberFormat="0" applyFont="0" applyAlignment="0" applyProtection="0"/>
    <xf numFmtId="0" fontId="59" fillId="25" borderId="18" applyNumberFormat="0" applyAlignment="0" applyProtection="0"/>
    <xf numFmtId="0" fontId="66" fillId="5" borderId="46" applyNumberFormat="0" applyBorder="0" applyAlignment="0">
      <alignment horizontal="center"/>
    </xf>
    <xf numFmtId="0" fontId="68" fillId="16" borderId="18" applyNumberFormat="0" applyAlignment="0" applyProtection="0"/>
    <xf numFmtId="0" fontId="52" fillId="0" borderId="47">
      <alignment horizontal="left" vertical="center"/>
    </xf>
    <xf numFmtId="10" fontId="70" fillId="32" borderId="45" applyNumberFormat="0" applyBorder="0" applyAlignment="0" applyProtection="0"/>
    <xf numFmtId="0" fontId="3" fillId="0" borderId="0"/>
    <xf numFmtId="0" fontId="59" fillId="25" borderId="18" applyNumberForma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68" fillId="16" borderId="18" applyNumberFormat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9" fontId="3" fillId="0" borderId="0" applyFont="0" applyFill="0" applyBorder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59" fillId="25" borderId="18" applyNumberFormat="0" applyAlignment="0" applyProtection="0"/>
    <xf numFmtId="0" fontId="30" fillId="34" borderId="25" applyNumberFormat="0" applyFont="0" applyAlignment="0" applyProtection="0"/>
    <xf numFmtId="0" fontId="66" fillId="5" borderId="46" applyNumberFormat="0" applyBorder="0" applyAlignment="0">
      <alignment horizontal="center"/>
    </xf>
    <xf numFmtId="0" fontId="30" fillId="34" borderId="25" applyNumberFormat="0" applyFon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3" fillId="0" borderId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0" fontId="3" fillId="6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68" fillId="16" borderId="18" applyNumberFormat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9" fontId="3" fillId="0" borderId="0" applyFont="0" applyFill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44" fontId="3" fillId="0" borderId="0" applyFont="0" applyFill="0" applyBorder="0" applyAlignment="0" applyProtection="0"/>
    <xf numFmtId="0" fontId="3" fillId="56" borderId="0" applyNumberFormat="0" applyBorder="0" applyAlignment="0" applyProtection="0"/>
    <xf numFmtId="0" fontId="3" fillId="60" borderId="0" applyNumberFormat="0" applyBorder="0" applyAlignment="0" applyProtection="0"/>
    <xf numFmtId="0" fontId="3" fillId="6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56" borderId="0" applyNumberFormat="0" applyBorder="0" applyAlignment="0" applyProtection="0"/>
    <xf numFmtId="0" fontId="3" fillId="55" borderId="0" applyNumberFormat="0" applyBorder="0" applyAlignment="0" applyProtection="0"/>
    <xf numFmtId="0" fontId="3" fillId="48" borderId="0" applyNumberFormat="0" applyBorder="0" applyAlignment="0" applyProtection="0"/>
    <xf numFmtId="0" fontId="3" fillId="47" borderId="0" applyNumberFormat="0" applyBorder="0" applyAlignment="0" applyProtection="0"/>
    <xf numFmtId="0" fontId="3" fillId="44" borderId="0" applyNumberFormat="0" applyBorder="0" applyAlignment="0" applyProtection="0"/>
    <xf numFmtId="0" fontId="3" fillId="43" borderId="0" applyNumberFormat="0" applyBorder="0" applyAlignment="0" applyProtection="0"/>
    <xf numFmtId="0" fontId="3" fillId="41" borderId="43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66" fillId="5" borderId="21" applyNumberFormat="0" applyBorder="0" applyAlignment="0">
      <alignment horizontal="center"/>
    </xf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0" fontId="3" fillId="64" borderId="0" applyNumberFormat="0" applyBorder="0" applyAlignment="0" applyProtection="0"/>
    <xf numFmtId="0" fontId="3" fillId="63" borderId="0" applyNumberFormat="0" applyBorder="0" applyAlignment="0" applyProtection="0"/>
    <xf numFmtId="0" fontId="3" fillId="60" borderId="0" applyNumberFormat="0" applyBorder="0" applyAlignment="0" applyProtection="0"/>
    <xf numFmtId="0" fontId="3" fillId="59" borderId="0" applyNumberFormat="0" applyBorder="0" applyAlignment="0" applyProtection="0"/>
    <xf numFmtId="0" fontId="3" fillId="56" borderId="0" applyNumberFormat="0" applyBorder="0" applyAlignment="0" applyProtection="0"/>
    <xf numFmtId="0" fontId="3" fillId="55" borderId="0" applyNumberFormat="0" applyBorder="0" applyAlignment="0" applyProtection="0"/>
    <xf numFmtId="0" fontId="3" fillId="52" borderId="0" applyNumberFormat="0" applyBorder="0" applyAlignment="0" applyProtection="0"/>
    <xf numFmtId="0" fontId="3" fillId="51" borderId="0" applyNumberFormat="0" applyBorder="0" applyAlignment="0" applyProtection="0"/>
    <xf numFmtId="0" fontId="93" fillId="0" borderId="30" applyNumberFormat="0" applyFill="0" applyAlignment="0" applyProtection="0"/>
    <xf numFmtId="0" fontId="3" fillId="48" borderId="0" applyNumberFormat="0" applyBorder="0" applyAlignment="0" applyProtection="0"/>
    <xf numFmtId="0" fontId="59" fillId="25" borderId="18" applyNumberFormat="0" applyAlignment="0" applyProtection="0"/>
    <xf numFmtId="0" fontId="3" fillId="47" borderId="0" applyNumberFormat="0" applyBorder="0" applyAlignment="0" applyProtection="0"/>
    <xf numFmtId="0" fontId="3" fillId="44" borderId="0" applyNumberFormat="0" applyBorder="0" applyAlignment="0" applyProtection="0"/>
    <xf numFmtId="0" fontId="3" fillId="43" borderId="0" applyNumberFormat="0" applyBorder="0" applyAlignment="0" applyProtection="0"/>
    <xf numFmtId="0" fontId="3" fillId="41" borderId="43" applyNumberFormat="0" applyFont="0" applyAlignment="0" applyProtection="0"/>
    <xf numFmtId="0" fontId="3" fillId="0" borderId="0"/>
    <xf numFmtId="0" fontId="3" fillId="64" borderId="0" applyNumberFormat="0" applyBorder="0" applyAlignment="0" applyProtection="0"/>
    <xf numFmtId="0" fontId="3" fillId="63" borderId="0" applyNumberFormat="0" applyBorder="0" applyAlignment="0" applyProtection="0"/>
    <xf numFmtId="0" fontId="3" fillId="60" borderId="0" applyNumberFormat="0" applyBorder="0" applyAlignment="0" applyProtection="0"/>
    <xf numFmtId="0" fontId="3" fillId="59" borderId="0" applyNumberFormat="0" applyBorder="0" applyAlignment="0" applyProtection="0"/>
    <xf numFmtId="0" fontId="3" fillId="56" borderId="0" applyNumberFormat="0" applyBorder="0" applyAlignment="0" applyProtection="0"/>
    <xf numFmtId="0" fontId="3" fillId="55" borderId="0" applyNumberFormat="0" applyBorder="0" applyAlignment="0" applyProtection="0"/>
    <xf numFmtId="0" fontId="68" fillId="16" borderId="18" applyNumberFormat="0" applyAlignment="0" applyProtection="0"/>
    <xf numFmtId="0" fontId="3" fillId="52" borderId="0" applyNumberFormat="0" applyBorder="0" applyAlignment="0" applyProtection="0"/>
    <xf numFmtId="0" fontId="3" fillId="51" borderId="0" applyNumberFormat="0" applyBorder="0" applyAlignment="0" applyProtection="0"/>
    <xf numFmtId="0" fontId="3" fillId="48" borderId="0" applyNumberFormat="0" applyBorder="0" applyAlignment="0" applyProtection="0"/>
    <xf numFmtId="0" fontId="3" fillId="47" borderId="0" applyNumberFormat="0" applyBorder="0" applyAlignment="0" applyProtection="0"/>
    <xf numFmtId="0" fontId="3" fillId="44" borderId="0" applyNumberFormat="0" applyBorder="0" applyAlignment="0" applyProtection="0"/>
    <xf numFmtId="0" fontId="3" fillId="43" borderId="0" applyNumberFormat="0" applyBorder="0" applyAlignment="0" applyProtection="0"/>
    <xf numFmtId="0" fontId="3" fillId="41" borderId="43" applyNumberFormat="0" applyFont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9" fontId="3" fillId="0" borderId="0" applyFont="0" applyFill="0" applyBorder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8" fillId="16" borderId="18" applyNumberFormat="0" applyAlignment="0" applyProtection="0"/>
    <xf numFmtId="0" fontId="3" fillId="0" borderId="0"/>
    <xf numFmtId="0" fontId="3" fillId="0" borderId="0"/>
    <xf numFmtId="0" fontId="68" fillId="16" borderId="18" applyNumberFormat="0" applyAlignment="0" applyProtection="0"/>
    <xf numFmtId="0" fontId="59" fillId="25" borderId="18" applyNumberFormat="0" applyAlignment="0" applyProtection="0"/>
    <xf numFmtId="0" fontId="30" fillId="34" borderId="25" applyNumberFormat="0" applyFont="0" applyAlignment="0" applyProtection="0"/>
    <xf numFmtId="0" fontId="3" fillId="41" borderId="43" applyNumberFormat="0" applyFont="0" applyAlignment="0" applyProtection="0"/>
    <xf numFmtId="0" fontId="3" fillId="0" borderId="0"/>
    <xf numFmtId="0" fontId="3" fillId="64" borderId="0" applyNumberFormat="0" applyBorder="0" applyAlignment="0" applyProtection="0"/>
    <xf numFmtId="0" fontId="3" fillId="63" borderId="0" applyNumberFormat="0" applyBorder="0" applyAlignment="0" applyProtection="0"/>
    <xf numFmtId="0" fontId="3" fillId="60" borderId="0" applyNumberFormat="0" applyBorder="0" applyAlignment="0" applyProtection="0"/>
    <xf numFmtId="0" fontId="3" fillId="59" borderId="0" applyNumberFormat="0" applyBorder="0" applyAlignment="0" applyProtection="0"/>
    <xf numFmtId="0" fontId="3" fillId="56" borderId="0" applyNumberFormat="0" applyBorder="0" applyAlignment="0" applyProtection="0"/>
    <xf numFmtId="0" fontId="3" fillId="55" borderId="0" applyNumberFormat="0" applyBorder="0" applyAlignment="0" applyProtection="0"/>
    <xf numFmtId="0" fontId="3" fillId="52" borderId="0" applyNumberFormat="0" applyBorder="0" applyAlignment="0" applyProtection="0"/>
    <xf numFmtId="0" fontId="3" fillId="51" borderId="0" applyNumberFormat="0" applyBorder="0" applyAlignment="0" applyProtection="0"/>
    <xf numFmtId="0" fontId="3" fillId="48" borderId="0" applyNumberFormat="0" applyBorder="0" applyAlignment="0" applyProtection="0"/>
    <xf numFmtId="0" fontId="3" fillId="47" borderId="0" applyNumberFormat="0" applyBorder="0" applyAlignment="0" applyProtection="0"/>
    <xf numFmtId="0" fontId="66" fillId="5" borderId="21" applyNumberFormat="0" applyBorder="0" applyAlignment="0">
      <alignment horizontal="center"/>
    </xf>
    <xf numFmtId="0" fontId="66" fillId="5" borderId="21" applyNumberFormat="0" applyBorder="0" applyAlignment="0">
      <alignment horizontal="center"/>
    </xf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16" borderId="18" applyNumberFormat="0" applyAlignment="0" applyProtection="0"/>
    <xf numFmtId="0" fontId="66" fillId="5" borderId="21" applyNumberFormat="0" applyBorder="0" applyAlignment="0">
      <alignment horizontal="center"/>
    </xf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0" fontId="93" fillId="0" borderId="30" applyNumberFormat="0" applyFill="0" applyAlignment="0" applyProtection="0"/>
    <xf numFmtId="0" fontId="3" fillId="64" borderId="0" applyNumberFormat="0" applyBorder="0" applyAlignment="0" applyProtection="0"/>
    <xf numFmtId="0" fontId="3" fillId="63" borderId="0" applyNumberFormat="0" applyBorder="0" applyAlignment="0" applyProtection="0"/>
    <xf numFmtId="0" fontId="3" fillId="60" borderId="0" applyNumberFormat="0" applyBorder="0" applyAlignment="0" applyProtection="0"/>
    <xf numFmtId="0" fontId="3" fillId="59" borderId="0" applyNumberFormat="0" applyBorder="0" applyAlignment="0" applyProtection="0"/>
    <xf numFmtId="0" fontId="3" fillId="56" borderId="0" applyNumberFormat="0" applyBorder="0" applyAlignment="0" applyProtection="0"/>
    <xf numFmtId="0" fontId="3" fillId="55" borderId="0" applyNumberFormat="0" applyBorder="0" applyAlignment="0" applyProtection="0"/>
    <xf numFmtId="0" fontId="3" fillId="52" borderId="0" applyNumberFormat="0" applyBorder="0" applyAlignment="0" applyProtection="0"/>
    <xf numFmtId="0" fontId="3" fillId="51" borderId="0" applyNumberFormat="0" applyBorder="0" applyAlignment="0" applyProtection="0"/>
    <xf numFmtId="0" fontId="3" fillId="48" borderId="0" applyNumberFormat="0" applyBorder="0" applyAlignment="0" applyProtection="0"/>
    <xf numFmtId="0" fontId="3" fillId="47" borderId="0" applyNumberFormat="0" applyBorder="0" applyAlignment="0" applyProtection="0"/>
    <xf numFmtId="0" fontId="3" fillId="44" borderId="0" applyNumberFormat="0" applyBorder="0" applyAlignment="0" applyProtection="0"/>
    <xf numFmtId="0" fontId="3" fillId="43" borderId="0" applyNumberFormat="0" applyBorder="0" applyAlignment="0" applyProtection="0"/>
    <xf numFmtId="0" fontId="3" fillId="41" borderId="43" applyNumberFormat="0" applyFont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66" fillId="5" borderId="46" applyNumberFormat="0" applyBorder="0" applyAlignment="0">
      <alignment horizontal="center"/>
    </xf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" fillId="64" borderId="0" applyNumberFormat="0" applyBorder="0" applyAlignment="0" applyProtection="0"/>
    <xf numFmtId="0" fontId="3" fillId="59" borderId="0" applyNumberFormat="0" applyBorder="0" applyAlignment="0" applyProtection="0"/>
    <xf numFmtId="0" fontId="3" fillId="52" borderId="0" applyNumberFormat="0" applyBorder="0" applyAlignment="0" applyProtection="0"/>
    <xf numFmtId="0" fontId="3" fillId="64" borderId="0" applyNumberFormat="0" applyBorder="0" applyAlignment="0" applyProtection="0"/>
    <xf numFmtId="0" fontId="3" fillId="48" borderId="0" applyNumberFormat="0" applyBorder="0" applyAlignment="0" applyProtection="0"/>
    <xf numFmtId="0" fontId="3" fillId="47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98" fontId="3" fillId="0" borderId="0" applyFont="0" applyFill="0" applyBorder="0" applyAlignment="0" applyProtection="0"/>
    <xf numFmtId="0" fontId="68" fillId="16" borderId="18" applyNumberFormat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43" applyNumberFormat="0" applyFont="0" applyAlignment="0" applyProtection="0"/>
    <xf numFmtId="0" fontId="3" fillId="56" borderId="0" applyNumberFormat="0" applyBorder="0" applyAlignment="0" applyProtection="0"/>
    <xf numFmtId="0" fontId="3" fillId="52" borderId="0" applyNumberFormat="0" applyBorder="0" applyAlignment="0" applyProtection="0"/>
    <xf numFmtId="0" fontId="3" fillId="51" borderId="0" applyNumberFormat="0" applyBorder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65" fillId="34" borderId="25" applyNumberFormat="0" applyFon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118" fillId="25" borderId="26" applyNumberFormat="0" applyAlignment="0" applyProtection="0"/>
    <xf numFmtId="168" fontId="3" fillId="0" borderId="0" applyFont="0" applyFill="0" applyBorder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43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0" fontId="51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30" fillId="34" borderId="25" applyNumberFormat="0" applyFon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9" fontId="3" fillId="0" borderId="0" applyFont="0" applyFill="0" applyBorder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3" fillId="0" borderId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0" fontId="3" fillId="63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60" borderId="0" applyNumberFormat="0" applyBorder="0" applyAlignment="0" applyProtection="0"/>
    <xf numFmtId="0" fontId="3" fillId="64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4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0" fontId="3" fillId="6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60" borderId="0" applyNumberFormat="0" applyBorder="0" applyAlignment="0" applyProtection="0"/>
    <xf numFmtId="0" fontId="3" fillId="6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44" fontId="3" fillId="0" borderId="0" applyFont="0" applyFill="0" applyBorder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44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65" fillId="34" borderId="25" applyNumberFormat="0" applyFont="0" applyAlignment="0" applyProtection="0"/>
    <xf numFmtId="0" fontId="30" fillId="34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34" borderId="25" applyNumberFormat="0" applyFon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52" fillId="0" borderId="24">
      <alignment horizontal="left" vertical="center"/>
    </xf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3" fillId="0" borderId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0" fontId="3" fillId="6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60" borderId="0" applyNumberFormat="0" applyBorder="0" applyAlignment="0" applyProtection="0"/>
    <xf numFmtId="0" fontId="3" fillId="6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198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3" fillId="41" borderId="43" applyNumberFormat="0" applyFont="0" applyAlignment="0" applyProtection="0"/>
    <xf numFmtId="0" fontId="65" fillId="34" borderId="25" applyNumberFormat="0" applyFont="0" applyAlignment="0" applyProtection="0"/>
    <xf numFmtId="0" fontId="30" fillId="34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66" fillId="5" borderId="46" applyNumberFormat="0" applyBorder="0" applyAlignment="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84" fillId="25" borderId="26" applyNumberFormat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3" fillId="0" borderId="0"/>
    <xf numFmtId="0" fontId="3" fillId="0" borderId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93" fillId="0" borderId="30" applyNumberFormat="0" applyFill="0" applyAlignment="0" applyProtection="0"/>
    <xf numFmtId="0" fontId="84" fillId="25" borderId="26" applyNumberFormat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30" fillId="34" borderId="25" applyNumberFormat="0" applyFon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9" fontId="3" fillId="0" borderId="0" applyFont="0" applyFill="0" applyBorder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93" fillId="0" borderId="30" applyNumberFormat="0" applyFill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84" fillId="25" borderId="26" applyNumberFormat="0" applyAlignment="0" applyProtection="0"/>
    <xf numFmtId="0" fontId="30" fillId="34" borderId="25" applyNumberFormat="0" applyFont="0" applyAlignment="0" applyProtection="0"/>
    <xf numFmtId="0" fontId="68" fillId="16" borderId="1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59" fillId="25" borderId="18" applyNumberFormat="0" applyAlignment="0" applyProtection="0"/>
    <xf numFmtId="0" fontId="68" fillId="16" borderId="18" applyNumberFormat="0" applyAlignment="0" applyProtection="0"/>
    <xf numFmtId="0" fontId="68" fillId="16" borderId="18" applyNumberFormat="0" applyAlignment="0" applyProtection="0"/>
    <xf numFmtId="0" fontId="30" fillId="34" borderId="25" applyNumberFormat="0" applyFont="0" applyAlignment="0" applyProtection="0"/>
    <xf numFmtId="0" fontId="30" fillId="34" borderId="25" applyNumberFormat="0" applyFont="0" applyAlignment="0" applyProtection="0"/>
    <xf numFmtId="0" fontId="84" fillId="25" borderId="26" applyNumberFormat="0" applyAlignment="0" applyProtection="0"/>
    <xf numFmtId="0" fontId="84" fillId="25" borderId="26" applyNumberFormat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3" fillId="0" borderId="0"/>
    <xf numFmtId="0" fontId="3" fillId="0" borderId="0"/>
    <xf numFmtId="0" fontId="3" fillId="41" borderId="43" applyNumberFormat="0" applyFont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3" borderId="0" applyNumberFormat="0" applyBorder="0" applyAlignment="0" applyProtection="0"/>
    <xf numFmtId="0" fontId="3" fillId="6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0" fontId="3" fillId="63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60" borderId="0" applyNumberFormat="0" applyBorder="0" applyAlignment="0" applyProtection="0"/>
    <xf numFmtId="0" fontId="3" fillId="64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4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478">
    <xf numFmtId="0" fontId="0" fillId="0" borderId="0" xfId="0">
      <alignment vertical="center"/>
    </xf>
    <xf numFmtId="166" fontId="0" fillId="0" borderId="0" xfId="9" applyNumberFormat="1" applyFont="1"/>
    <xf numFmtId="0" fontId="18" fillId="0" borderId="0" xfId="6"/>
    <xf numFmtId="0" fontId="22" fillId="0" borderId="0" xfId="6" applyFont="1"/>
    <xf numFmtId="166" fontId="0" fillId="0" borderId="0" xfId="9" applyNumberFormat="1" applyFont="1" applyFill="1"/>
    <xf numFmtId="43" fontId="0" fillId="0" borderId="0" xfId="9" applyFont="1"/>
    <xf numFmtId="9" fontId="0" fillId="0" borderId="0" xfId="10" applyFont="1"/>
    <xf numFmtId="43" fontId="18" fillId="0" borderId="0" xfId="9" applyFont="1"/>
    <xf numFmtId="43" fontId="18" fillId="0" borderId="0" xfId="6" applyNumberFormat="1"/>
    <xf numFmtId="167" fontId="0" fillId="5" borderId="0" xfId="9" applyNumberFormat="1" applyFont="1" applyFill="1"/>
    <xf numFmtId="167" fontId="0" fillId="0" borderId="0" xfId="9" applyNumberFormat="1" applyFont="1"/>
    <xf numFmtId="167" fontId="22" fillId="0" borderId="0" xfId="9" applyNumberFormat="1" applyFont="1"/>
    <xf numFmtId="0" fontId="23" fillId="4" borderId="0" xfId="11" applyFont="1" applyFill="1" applyAlignment="1">
      <alignment vertical="center"/>
    </xf>
    <xf numFmtId="0" fontId="23" fillId="4" borderId="0" xfId="11" applyFont="1" applyFill="1" applyAlignment="1">
      <alignment horizontal="right" vertical="center"/>
    </xf>
    <xf numFmtId="0" fontId="10" fillId="0" borderId="0" xfId="12"/>
    <xf numFmtId="0" fontId="19" fillId="0" borderId="0" xfId="12" applyFont="1" applyAlignment="1">
      <alignment horizontal="left" vertical="center" indent="1"/>
    </xf>
    <xf numFmtId="3" fontId="19" fillId="0" borderId="0" xfId="12" applyNumberFormat="1" applyFont="1" applyAlignment="1">
      <alignment horizontal="right" vertical="center"/>
    </xf>
    <xf numFmtId="0" fontId="23" fillId="4" borderId="0" xfId="11" applyFont="1" applyFill="1" applyAlignment="1">
      <alignment horizontal="center" vertical="center" wrapText="1"/>
    </xf>
    <xf numFmtId="9" fontId="19" fillId="0" borderId="0" xfId="1" applyFont="1" applyBorder="1" applyAlignment="1">
      <alignment horizontal="center" vertical="center"/>
    </xf>
    <xf numFmtId="0" fontId="25" fillId="0" borderId="2" xfId="12" applyFont="1" applyBorder="1" applyAlignment="1">
      <alignment vertical="center"/>
    </xf>
    <xf numFmtId="0" fontId="21" fillId="0" borderId="0" xfId="12" applyFont="1"/>
    <xf numFmtId="0" fontId="20" fillId="0" borderId="1" xfId="12" applyFont="1" applyBorder="1" applyAlignment="1">
      <alignment vertical="center"/>
    </xf>
    <xf numFmtId="0" fontId="26" fillId="0" borderId="1" xfId="11" applyFont="1" applyBorder="1" applyAlignment="1">
      <alignment horizontal="right" vertical="center"/>
    </xf>
    <xf numFmtId="0" fontId="19" fillId="0" borderId="1" xfId="12" applyFont="1" applyBorder="1" applyAlignment="1">
      <alignment vertical="center"/>
    </xf>
    <xf numFmtId="3" fontId="19" fillId="0" borderId="1" xfId="12" applyNumberFormat="1" applyFont="1" applyBorder="1" applyAlignment="1">
      <alignment vertical="center"/>
    </xf>
    <xf numFmtId="9" fontId="19" fillId="0" borderId="1" xfId="1" applyFont="1" applyBorder="1" applyAlignment="1">
      <alignment horizontal="center" vertical="center"/>
    </xf>
    <xf numFmtId="3" fontId="0" fillId="0" borderId="0" xfId="0" applyNumberFormat="1">
      <alignment vertical="center"/>
    </xf>
    <xf numFmtId="166" fontId="0" fillId="0" borderId="0" xfId="5" applyNumberFormat="1" applyFont="1" applyAlignment="1">
      <alignment vertical="center"/>
    </xf>
    <xf numFmtId="166" fontId="0" fillId="0" borderId="0" xfId="0" applyNumberFormat="1">
      <alignment vertical="center"/>
    </xf>
    <xf numFmtId="0" fontId="19" fillId="0" borderId="0" xfId="12" applyFont="1" applyAlignment="1">
      <alignment horizontal="left" vertical="center" wrapText="1" indent="1"/>
    </xf>
    <xf numFmtId="3" fontId="25" fillId="0" borderId="2" xfId="12" applyNumberFormat="1" applyFont="1" applyBorder="1" applyAlignment="1">
      <alignment vertical="center"/>
    </xf>
    <xf numFmtId="9" fontId="25" fillId="0" borderId="2" xfId="1" applyFont="1" applyBorder="1" applyAlignment="1">
      <alignment horizontal="center" vertical="center"/>
    </xf>
    <xf numFmtId="0" fontId="23" fillId="4" borderId="0" xfId="11" applyFont="1" applyFill="1" applyAlignment="1">
      <alignment horizontal="right" vertical="center" wrapText="1"/>
    </xf>
    <xf numFmtId="3" fontId="10" fillId="0" borderId="0" xfId="12" applyNumberFormat="1"/>
    <xf numFmtId="9" fontId="10" fillId="0" borderId="0" xfId="1" applyFont="1"/>
    <xf numFmtId="166" fontId="25" fillId="0" borderId="2" xfId="5" applyNumberFormat="1" applyFont="1" applyBorder="1" applyAlignment="1">
      <alignment horizontal="center" vertical="center"/>
    </xf>
    <xf numFmtId="0" fontId="9" fillId="0" borderId="0" xfId="12" applyFont="1"/>
    <xf numFmtId="3" fontId="27" fillId="0" borderId="0" xfId="0" applyNumberFormat="1" applyFont="1" applyAlignment="1">
      <alignment horizontal="right" vertical="center"/>
    </xf>
    <xf numFmtId="3" fontId="27" fillId="0" borderId="0" xfId="0" applyNumberFormat="1" applyFont="1" applyAlignment="1">
      <alignment horizontal="right" vertical="center" wrapText="1"/>
    </xf>
    <xf numFmtId="0" fontId="27" fillId="0" borderId="0" xfId="0" applyFont="1" applyAlignment="1">
      <alignment horizontal="right" vertical="center"/>
    </xf>
    <xf numFmtId="166" fontId="10" fillId="0" borderId="0" xfId="5" applyNumberFormat="1" applyFont="1"/>
    <xf numFmtId="170" fontId="19" fillId="0" borderId="0" xfId="5" applyNumberFormat="1" applyFont="1" applyBorder="1" applyAlignment="1">
      <alignment horizontal="center" vertical="center"/>
    </xf>
    <xf numFmtId="170" fontId="29" fillId="0" borderId="0" xfId="5" applyNumberFormat="1" applyFont="1" applyBorder="1"/>
    <xf numFmtId="0" fontId="29" fillId="0" borderId="0" xfId="6" applyFont="1"/>
    <xf numFmtId="0" fontId="24" fillId="0" borderId="0" xfId="6" applyFont="1"/>
    <xf numFmtId="0" fontId="25" fillId="0" borderId="0" xfId="12" applyFont="1"/>
    <xf numFmtId="170" fontId="19" fillId="0" borderId="1" xfId="5" applyNumberFormat="1" applyFont="1" applyBorder="1" applyAlignment="1">
      <alignment horizontal="center" vertical="center"/>
    </xf>
    <xf numFmtId="2" fontId="10" fillId="0" borderId="0" xfId="12" applyNumberFormat="1"/>
    <xf numFmtId="166" fontId="10" fillId="0" borderId="0" xfId="12" applyNumberFormat="1"/>
    <xf numFmtId="172" fontId="18" fillId="0" borderId="0" xfId="6" applyNumberFormat="1"/>
    <xf numFmtId="0" fontId="19" fillId="0" borderId="0" xfId="12" applyFont="1" applyAlignment="1">
      <alignment horizontal="left" vertical="center" indent="2"/>
    </xf>
    <xf numFmtId="0" fontId="28" fillId="0" borderId="0" xfId="0" applyFont="1">
      <alignment vertical="center"/>
    </xf>
    <xf numFmtId="0" fontId="31" fillId="0" borderId="0" xfId="0" applyFont="1" applyAlignment="1"/>
    <xf numFmtId="0" fontId="32" fillId="0" borderId="5" xfId="0" applyFont="1" applyBorder="1">
      <alignment vertical="center"/>
    </xf>
    <xf numFmtId="0" fontId="32" fillId="0" borderId="6" xfId="0" applyFont="1" applyBorder="1">
      <alignment vertical="center"/>
    </xf>
    <xf numFmtId="0" fontId="32" fillId="0" borderId="7" xfId="0" applyFont="1" applyBorder="1">
      <alignment vertical="center"/>
    </xf>
    <xf numFmtId="0" fontId="33" fillId="0" borderId="8" xfId="0" applyFont="1" applyBorder="1">
      <alignment vertical="center"/>
    </xf>
    <xf numFmtId="0" fontId="33" fillId="0" borderId="9" xfId="0" applyFont="1" applyBorder="1">
      <alignment vertical="center"/>
    </xf>
    <xf numFmtId="0" fontId="33" fillId="0" borderId="10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0" borderId="11" xfId="0" applyFont="1" applyBorder="1">
      <alignment vertical="center"/>
    </xf>
    <xf numFmtId="0" fontId="32" fillId="0" borderId="12" xfId="0" applyFont="1" applyBorder="1">
      <alignment vertical="center"/>
    </xf>
    <xf numFmtId="0" fontId="32" fillId="0" borderId="12" xfId="0" applyFont="1" applyBorder="1" applyAlignment="1">
      <alignment horizontal="center" vertical="center"/>
    </xf>
    <xf numFmtId="0" fontId="28" fillId="6" borderId="0" xfId="0" applyFont="1" applyFill="1">
      <alignment vertical="center"/>
    </xf>
    <xf numFmtId="43" fontId="0" fillId="0" borderId="0" xfId="5" applyFont="1" applyAlignment="1">
      <alignment vertical="center"/>
    </xf>
    <xf numFmtId="43" fontId="0" fillId="0" borderId="0" xfId="0" applyNumberFormat="1">
      <alignment vertical="center"/>
    </xf>
    <xf numFmtId="175" fontId="8" fillId="0" borderId="0" xfId="50" applyNumberFormat="1"/>
    <xf numFmtId="43" fontId="0" fillId="0" borderId="0" xfId="51" applyFont="1"/>
    <xf numFmtId="0" fontId="8" fillId="0" borderId="0" xfId="50"/>
    <xf numFmtId="43" fontId="8" fillId="0" borderId="0" xfId="50" applyNumberFormat="1"/>
    <xf numFmtId="0" fontId="34" fillId="0" borderId="13" xfId="50" applyFont="1" applyBorder="1" applyAlignment="1">
      <alignment horizontal="center" vertical="center"/>
    </xf>
    <xf numFmtId="43" fontId="0" fillId="7" borderId="0" xfId="51" applyFont="1" applyFill="1"/>
    <xf numFmtId="175" fontId="8" fillId="7" borderId="0" xfId="50" applyNumberFormat="1" applyFill="1"/>
    <xf numFmtId="176" fontId="0" fillId="0" borderId="0" xfId="52" applyNumberFormat="1" applyFont="1"/>
    <xf numFmtId="0" fontId="34" fillId="0" borderId="14" xfId="50" applyFont="1" applyBorder="1" applyAlignment="1">
      <alignment horizontal="center" vertical="center"/>
    </xf>
    <xf numFmtId="0" fontId="36" fillId="8" borderId="1" xfId="0" applyFont="1" applyFill="1" applyBorder="1" applyAlignment="1">
      <alignment horizontal="right" vertical="center"/>
    </xf>
    <xf numFmtId="0" fontId="35" fillId="9" borderId="0" xfId="0" applyFont="1" applyFill="1" applyBorder="1" applyAlignment="1">
      <alignment horizontal="center"/>
    </xf>
    <xf numFmtId="0" fontId="35" fillId="9" borderId="16" xfId="0" applyFont="1" applyFill="1" applyBorder="1" applyAlignment="1">
      <alignment horizontal="center"/>
    </xf>
    <xf numFmtId="43" fontId="18" fillId="0" borderId="0" xfId="5" applyFont="1"/>
    <xf numFmtId="2" fontId="8" fillId="0" borderId="0" xfId="50" applyNumberFormat="1"/>
    <xf numFmtId="2" fontId="34" fillId="0" borderId="14" xfId="50" applyNumberFormat="1" applyFont="1" applyBorder="1" applyAlignment="1">
      <alignment horizontal="center" vertical="center"/>
    </xf>
    <xf numFmtId="1" fontId="34" fillId="0" borderId="13" xfId="50" applyNumberFormat="1" applyFont="1" applyBorder="1" applyAlignment="1">
      <alignment horizontal="center" vertical="center"/>
    </xf>
    <xf numFmtId="9" fontId="8" fillId="0" borderId="0" xfId="50" applyNumberFormat="1"/>
    <xf numFmtId="173" fontId="34" fillId="0" borderId="13" xfId="50" applyNumberFormat="1" applyFont="1" applyBorder="1" applyAlignment="1">
      <alignment horizontal="center" vertical="center"/>
    </xf>
    <xf numFmtId="9" fontId="0" fillId="0" borderId="0" xfId="52" applyFont="1"/>
    <xf numFmtId="170" fontId="18" fillId="0" borderId="0" xfId="6" applyNumberFormat="1"/>
    <xf numFmtId="0" fontId="36" fillId="8" borderId="0" xfId="0" applyFont="1" applyFill="1" applyBorder="1" applyAlignment="1"/>
    <xf numFmtId="0" fontId="36" fillId="8" borderId="15" xfId="0" applyFont="1" applyFill="1" applyBorder="1">
      <alignment vertical="center"/>
    </xf>
    <xf numFmtId="0" fontId="36" fillId="8" borderId="1" xfId="0" applyFont="1" applyFill="1" applyBorder="1">
      <alignment vertical="center"/>
    </xf>
    <xf numFmtId="2" fontId="36" fillId="8" borderId="1" xfId="0" applyNumberFormat="1" applyFont="1" applyFill="1" applyBorder="1">
      <alignment vertical="center"/>
    </xf>
    <xf numFmtId="3" fontId="36" fillId="8" borderId="1" xfId="51" applyNumberFormat="1" applyFont="1" applyFill="1" applyBorder="1" applyAlignment="1">
      <alignment horizontal="right" vertical="center"/>
    </xf>
    <xf numFmtId="3" fontId="36" fillId="8" borderId="1" xfId="0" applyNumberFormat="1" applyFont="1" applyFill="1" applyBorder="1" applyAlignment="1">
      <alignment horizontal="right" vertical="center"/>
    </xf>
    <xf numFmtId="0" fontId="37" fillId="8" borderId="1" xfId="0" applyFont="1" applyFill="1" applyBorder="1">
      <alignment vertical="center"/>
    </xf>
    <xf numFmtId="9" fontId="37" fillId="8" borderId="1" xfId="52" applyFont="1" applyFill="1" applyBorder="1" applyAlignment="1">
      <alignment horizontal="right" vertical="center"/>
    </xf>
    <xf numFmtId="0" fontId="38" fillId="0" borderId="0" xfId="0" applyFont="1">
      <alignment vertical="center"/>
    </xf>
    <xf numFmtId="0" fontId="37" fillId="8" borderId="0" xfId="0" applyFont="1" applyFill="1" applyBorder="1">
      <alignment vertical="center"/>
    </xf>
    <xf numFmtId="9" fontId="18" fillId="0" borderId="0" xfId="1" applyFont="1"/>
    <xf numFmtId="165" fontId="18" fillId="0" borderId="0" xfId="1" applyNumberFormat="1" applyFont="1"/>
    <xf numFmtId="167" fontId="18" fillId="0" borderId="0" xfId="5" applyNumberFormat="1" applyFont="1"/>
    <xf numFmtId="43" fontId="36" fillId="8" borderId="15" xfId="0" applyNumberFormat="1" applyFont="1" applyFill="1" applyBorder="1">
      <alignment vertical="center"/>
    </xf>
    <xf numFmtId="43" fontId="36" fillId="8" borderId="15" xfId="0" applyNumberFormat="1" applyFont="1" applyFill="1" applyBorder="1" applyAlignment="1">
      <alignment horizontal="right" vertical="center"/>
    </xf>
    <xf numFmtId="43" fontId="36" fillId="8" borderId="1" xfId="0" applyNumberFormat="1" applyFont="1" applyFill="1" applyBorder="1">
      <alignment vertical="center"/>
    </xf>
    <xf numFmtId="43" fontId="36" fillId="8" borderId="1" xfId="0" applyNumberFormat="1" applyFont="1" applyFill="1" applyBorder="1" applyAlignment="1">
      <alignment horizontal="right" vertical="center"/>
    </xf>
    <xf numFmtId="43" fontId="10" fillId="0" borderId="0" xfId="5" applyFont="1"/>
    <xf numFmtId="170" fontId="24" fillId="0" borderId="4" xfId="5" applyNumberFormat="1" applyFont="1" applyBorder="1" applyAlignment="1">
      <alignment vertical="center"/>
    </xf>
    <xf numFmtId="169" fontId="24" fillId="0" borderId="0" xfId="13" applyNumberFormat="1" applyFont="1" applyBorder="1" applyAlignment="1">
      <alignment horizontal="right" wrapText="1"/>
    </xf>
    <xf numFmtId="0" fontId="39" fillId="4" borderId="0" xfId="11" applyFont="1" applyFill="1" applyAlignment="1">
      <alignment vertical="center"/>
    </xf>
    <xf numFmtId="0" fontId="39" fillId="4" borderId="0" xfId="11" applyFont="1" applyFill="1" applyAlignment="1">
      <alignment horizontal="right" vertical="center"/>
    </xf>
    <xf numFmtId="0" fontId="39" fillId="4" borderId="0" xfId="11" applyFont="1" applyFill="1" applyAlignment="1">
      <alignment horizontal="right" vertical="center" wrapText="1"/>
    </xf>
    <xf numFmtId="0" fontId="39" fillId="0" borderId="0" xfId="11" applyFont="1" applyAlignment="1">
      <alignment horizontal="right" vertical="center" wrapText="1"/>
    </xf>
    <xf numFmtId="0" fontId="41" fillId="0" borderId="4" xfId="6" applyFont="1" applyBorder="1" applyAlignment="1">
      <alignment vertical="center"/>
    </xf>
    <xf numFmtId="170" fontId="41" fillId="0" borderId="4" xfId="5" applyNumberFormat="1" applyFont="1" applyBorder="1" applyAlignment="1">
      <alignment vertical="center"/>
    </xf>
    <xf numFmtId="170" fontId="41" fillId="0" borderId="4" xfId="5" applyNumberFormat="1" applyFont="1" applyFill="1" applyBorder="1" applyAlignment="1">
      <alignment vertical="center"/>
    </xf>
    <xf numFmtId="9" fontId="41" fillId="0" borderId="4" xfId="1" applyFont="1" applyBorder="1" applyAlignment="1">
      <alignment vertical="center"/>
    </xf>
    <xf numFmtId="174" fontId="41" fillId="0" borderId="4" xfId="1" applyNumberFormat="1" applyFont="1" applyBorder="1" applyAlignment="1">
      <alignment vertical="center"/>
    </xf>
    <xf numFmtId="170" fontId="41" fillId="0" borderId="0" xfId="5" applyNumberFormat="1" applyFont="1" applyFill="1" applyBorder="1" applyAlignment="1">
      <alignment vertical="center"/>
    </xf>
    <xf numFmtId="0" fontId="18" fillId="0" borderId="0" xfId="6" applyAlignment="1">
      <alignment horizontal="left" wrapText="1" indent="2"/>
    </xf>
    <xf numFmtId="170" fontId="18" fillId="0" borderId="0" xfId="5" applyNumberFormat="1" applyFont="1" applyBorder="1"/>
    <xf numFmtId="170" fontId="18" fillId="0" borderId="0" xfId="5" applyNumberFormat="1" applyFont="1" applyFill="1" applyBorder="1"/>
    <xf numFmtId="9" fontId="18" fillId="0" borderId="0" xfId="1" applyFont="1" applyBorder="1"/>
    <xf numFmtId="174" fontId="18" fillId="0" borderId="0" xfId="1" applyNumberFormat="1" applyFont="1" applyBorder="1"/>
    <xf numFmtId="0" fontId="18" fillId="0" borderId="0" xfId="6" applyAlignment="1">
      <alignment horizontal="left" wrapText="1" indent="3"/>
    </xf>
    <xf numFmtId="0" fontId="18" fillId="0" borderId="0" xfId="6" applyAlignment="1">
      <alignment wrapText="1"/>
    </xf>
    <xf numFmtId="0" fontId="41" fillId="0" borderId="0" xfId="6" quotePrefix="1" applyFont="1" applyAlignment="1">
      <alignment horizontal="left" wrapText="1"/>
    </xf>
    <xf numFmtId="169" fontId="41" fillId="0" borderId="0" xfId="13" applyNumberFormat="1" applyFont="1" applyBorder="1" applyAlignment="1">
      <alignment horizontal="right" wrapText="1"/>
    </xf>
    <xf numFmtId="169" fontId="41" fillId="0" borderId="0" xfId="13" applyNumberFormat="1" applyFont="1" applyFill="1" applyBorder="1" applyAlignment="1">
      <alignment horizontal="right" wrapText="1"/>
    </xf>
    <xf numFmtId="43" fontId="18" fillId="0" borderId="0" xfId="1" applyNumberFormat="1" applyFont="1"/>
    <xf numFmtId="168" fontId="41" fillId="0" borderId="4" xfId="5" applyNumberFormat="1" applyFont="1" applyBorder="1" applyAlignment="1">
      <alignment vertical="center"/>
    </xf>
    <xf numFmtId="0" fontId="18" fillId="0" borderId="4" xfId="6" applyBorder="1" applyAlignment="1">
      <alignment vertical="center"/>
    </xf>
    <xf numFmtId="170" fontId="18" fillId="0" borderId="4" xfId="5" applyNumberFormat="1" applyFont="1" applyBorder="1" applyAlignment="1">
      <alignment vertical="center"/>
    </xf>
    <xf numFmtId="170" fontId="18" fillId="0" borderId="4" xfId="5" applyNumberFormat="1" applyFont="1" applyFill="1" applyBorder="1" applyAlignment="1">
      <alignment vertical="center"/>
    </xf>
    <xf numFmtId="9" fontId="18" fillId="0" borderId="4" xfId="1" applyFont="1" applyBorder="1" applyAlignment="1">
      <alignment vertical="center"/>
    </xf>
    <xf numFmtId="174" fontId="18" fillId="0" borderId="4" xfId="1" applyNumberFormat="1" applyFont="1" applyBorder="1" applyAlignment="1">
      <alignment vertical="center"/>
    </xf>
    <xf numFmtId="170" fontId="18" fillId="0" borderId="0" xfId="5" applyNumberFormat="1" applyFont="1" applyFill="1" applyBorder="1" applyAlignment="1">
      <alignment vertical="center"/>
    </xf>
    <xf numFmtId="170" fontId="29" fillId="0" borderId="4" xfId="5" applyNumberFormat="1" applyFont="1" applyBorder="1" applyAlignment="1">
      <alignment vertical="center"/>
    </xf>
    <xf numFmtId="0" fontId="20" fillId="0" borderId="0" xfId="12" applyFont="1"/>
    <xf numFmtId="0" fontId="7" fillId="0" borderId="0" xfId="12" applyFont="1"/>
    <xf numFmtId="0" fontId="39" fillId="4" borderId="0" xfId="11" applyFont="1" applyFill="1" applyAlignment="1">
      <alignment horizontal="center" vertical="center" wrapText="1"/>
    </xf>
    <xf numFmtId="0" fontId="43" fillId="0" borderId="1" xfId="12" applyFont="1" applyBorder="1" applyAlignment="1">
      <alignment vertical="center"/>
    </xf>
    <xf numFmtId="3" fontId="43" fillId="0" borderId="1" xfId="12" applyNumberFormat="1" applyFont="1" applyBorder="1" applyAlignment="1">
      <alignment vertical="center"/>
    </xf>
    <xf numFmtId="0" fontId="44" fillId="0" borderId="0" xfId="12" applyFont="1" applyAlignment="1">
      <alignment vertical="center"/>
    </xf>
    <xf numFmtId="177" fontId="44" fillId="0" borderId="0" xfId="12" applyNumberFormat="1" applyFont="1" applyAlignment="1">
      <alignment horizontal="right" vertical="center"/>
    </xf>
    <xf numFmtId="177" fontId="45" fillId="0" borderId="0" xfId="12" applyNumberFormat="1" applyFont="1" applyAlignment="1">
      <alignment horizontal="right" vertical="center"/>
    </xf>
    <xf numFmtId="14" fontId="39" fillId="4" borderId="0" xfId="11" applyNumberFormat="1" applyFont="1" applyFill="1" applyAlignment="1">
      <alignment horizontal="center" vertical="center" wrapText="1"/>
    </xf>
    <xf numFmtId="14" fontId="18" fillId="0" borderId="0" xfId="6" applyNumberFormat="1"/>
    <xf numFmtId="0" fontId="46" fillId="0" borderId="0" xfId="53"/>
    <xf numFmtId="0" fontId="46" fillId="0" borderId="0" xfId="53" applyAlignment="1">
      <alignment horizontal="center" vertical="center"/>
    </xf>
    <xf numFmtId="0" fontId="47" fillId="9" borderId="0" xfId="53" applyFont="1" applyFill="1" applyAlignment="1">
      <alignment horizontal="center" vertical="center" wrapText="1"/>
    </xf>
    <xf numFmtId="0" fontId="47" fillId="9" borderId="0" xfId="53" applyFont="1" applyFill="1" applyAlignment="1">
      <alignment horizontal="center" wrapText="1"/>
    </xf>
    <xf numFmtId="0" fontId="47" fillId="9" borderId="0" xfId="53" quotePrefix="1" applyFont="1" applyFill="1" applyAlignment="1">
      <alignment horizontal="center" wrapText="1"/>
    </xf>
    <xf numFmtId="170" fontId="49" fillId="0" borderId="0" xfId="54" applyNumberFormat="1" applyFont="1" applyBorder="1" applyAlignment="1">
      <alignment horizontal="right" wrapText="1"/>
    </xf>
    <xf numFmtId="3" fontId="18" fillId="0" borderId="0" xfId="54" applyNumberFormat="1" applyFont="1" applyAlignment="1">
      <alignment horizontal="center" vertical="center"/>
    </xf>
    <xf numFmtId="170" fontId="49" fillId="0" borderId="0" xfId="54" applyNumberFormat="1" applyFont="1" applyAlignment="1">
      <alignment horizontal="right" wrapText="1"/>
    </xf>
    <xf numFmtId="0" fontId="48" fillId="0" borderId="0" xfId="53" quotePrefix="1" applyFont="1" applyAlignment="1">
      <alignment horizontal="left" wrapText="1"/>
    </xf>
    <xf numFmtId="3" fontId="18" fillId="0" borderId="0" xfId="54" applyNumberFormat="1" applyFont="1" applyBorder="1" applyAlignment="1">
      <alignment horizontal="center" vertical="center"/>
    </xf>
    <xf numFmtId="0" fontId="48" fillId="0" borderId="17" xfId="53" quotePrefix="1" applyFont="1" applyBorder="1" applyAlignment="1">
      <alignment horizontal="left" wrapText="1"/>
    </xf>
    <xf numFmtId="170" fontId="49" fillId="0" borderId="17" xfId="54" applyNumberFormat="1" applyFont="1" applyBorder="1" applyAlignment="1">
      <alignment horizontal="right" wrapText="1"/>
    </xf>
    <xf numFmtId="3" fontId="18" fillId="0" borderId="17" xfId="54" applyNumberFormat="1" applyFont="1" applyBorder="1" applyAlignment="1">
      <alignment horizontal="center" vertical="center"/>
    </xf>
    <xf numFmtId="0" fontId="18" fillId="0" borderId="0" xfId="53" applyFont="1"/>
    <xf numFmtId="0" fontId="18" fillId="0" borderId="0" xfId="53" applyFont="1" applyAlignment="1">
      <alignment horizontal="center" vertical="center"/>
    </xf>
    <xf numFmtId="170" fontId="18" fillId="0" borderId="0" xfId="53" applyNumberFormat="1" applyFont="1"/>
    <xf numFmtId="170" fontId="18" fillId="0" borderId="0" xfId="53" applyNumberFormat="1" applyFont="1" applyAlignment="1">
      <alignment horizontal="center" vertical="center"/>
    </xf>
    <xf numFmtId="0" fontId="50" fillId="0" borderId="0" xfId="53" applyFont="1" applyAlignment="1">
      <alignment wrapText="1"/>
    </xf>
    <xf numFmtId="9" fontId="0" fillId="0" borderId="0" xfId="55" applyFont="1"/>
    <xf numFmtId="9" fontId="0" fillId="0" borderId="0" xfId="55" applyFont="1" applyAlignment="1">
      <alignment horizontal="center" vertical="center"/>
    </xf>
    <xf numFmtId="0" fontId="48" fillId="0" borderId="0" xfId="53" quotePrefix="1" applyFont="1" applyAlignment="1">
      <alignment horizontal="left" vertical="top" wrapText="1"/>
    </xf>
    <xf numFmtId="170" fontId="48" fillId="0" borderId="0" xfId="54" applyNumberFormat="1" applyFont="1" applyBorder="1" applyAlignment="1">
      <alignment horizontal="right" wrapText="1"/>
    </xf>
    <xf numFmtId="3" fontId="41" fillId="0" borderId="0" xfId="54" applyNumberFormat="1" applyFont="1" applyAlignment="1">
      <alignment horizontal="center" vertical="center"/>
    </xf>
    <xf numFmtId="170" fontId="48" fillId="0" borderId="0" xfId="54" applyNumberFormat="1" applyFont="1" applyAlignment="1">
      <alignment horizontal="right" wrapText="1"/>
    </xf>
    <xf numFmtId="0" fontId="49" fillId="0" borderId="0" xfId="53" quotePrefix="1" applyFont="1" applyAlignment="1">
      <alignment horizontal="left" vertical="top" wrapText="1" indent="1"/>
    </xf>
    <xf numFmtId="170" fontId="48" fillId="0" borderId="17" xfId="54" applyNumberFormat="1" applyFont="1" applyBorder="1" applyAlignment="1">
      <alignment horizontal="right" wrapText="1"/>
    </xf>
    <xf numFmtId="3" fontId="41" fillId="0" borderId="17" xfId="54" applyNumberFormat="1" applyFont="1" applyBorder="1" applyAlignment="1">
      <alignment horizontal="center" vertical="center"/>
    </xf>
    <xf numFmtId="0" fontId="19" fillId="0" borderId="15" xfId="12" applyFont="1" applyBorder="1" applyAlignment="1">
      <alignment horizontal="left" vertical="center" indent="2"/>
    </xf>
    <xf numFmtId="170" fontId="44" fillId="0" borderId="0" xfId="54" applyNumberFormat="1" applyFont="1" applyBorder="1" applyAlignment="1">
      <alignment horizontal="right" wrapText="1"/>
    </xf>
    <xf numFmtId="3" fontId="44" fillId="0" borderId="0" xfId="54" applyNumberFormat="1" applyFont="1" applyAlignment="1">
      <alignment horizontal="center" vertical="center"/>
    </xf>
    <xf numFmtId="170" fontId="44" fillId="0" borderId="0" xfId="54" applyNumberFormat="1" applyFont="1" applyAlignment="1">
      <alignment horizontal="right" wrapText="1"/>
    </xf>
    <xf numFmtId="3" fontId="44" fillId="0" borderId="0" xfId="54" applyNumberFormat="1" applyFont="1" applyBorder="1" applyAlignment="1">
      <alignment horizontal="center" vertical="center"/>
    </xf>
    <xf numFmtId="170" fontId="44" fillId="0" borderId="15" xfId="54" applyNumberFormat="1" applyFont="1" applyBorder="1" applyAlignment="1">
      <alignment horizontal="right" wrapText="1"/>
    </xf>
    <xf numFmtId="3" fontId="44" fillId="0" borderId="15" xfId="54" applyNumberFormat="1" applyFont="1" applyBorder="1" applyAlignment="1">
      <alignment horizontal="center" vertical="center"/>
    </xf>
    <xf numFmtId="170" fontId="18" fillId="0" borderId="0" xfId="16" applyNumberFormat="1" applyFont="1" applyFill="1" applyBorder="1" applyAlignment="1">
      <alignment horizontal="right" vertical="center"/>
    </xf>
    <xf numFmtId="0" fontId="0" fillId="66" borderId="0" xfId="0" applyFill="1">
      <alignment vertical="center"/>
    </xf>
    <xf numFmtId="0" fontId="122" fillId="3" borderId="0" xfId="324" applyFont="1" applyFill="1" applyAlignment="1">
      <alignment vertical="center"/>
    </xf>
    <xf numFmtId="0" fontId="123" fillId="3" borderId="0" xfId="324" applyFont="1" applyFill="1" applyAlignment="1">
      <alignment horizontal="right" vertical="center"/>
    </xf>
    <xf numFmtId="0" fontId="122" fillId="3" borderId="0" xfId="324" applyFont="1" applyFill="1" applyAlignment="1">
      <alignment horizontal="right" vertical="center"/>
    </xf>
    <xf numFmtId="0" fontId="45" fillId="3" borderId="0" xfId="0" applyFont="1" applyFill="1">
      <alignment vertical="center"/>
    </xf>
    <xf numFmtId="9" fontId="122" fillId="3" borderId="0" xfId="1" applyFont="1" applyFill="1" applyAlignment="1">
      <alignment horizontal="right" vertical="center"/>
    </xf>
    <xf numFmtId="170" fontId="123" fillId="3" borderId="0" xfId="324" applyNumberFormat="1" applyFont="1" applyFill="1" applyAlignment="1">
      <alignment horizontal="right" vertical="center"/>
    </xf>
    <xf numFmtId="170" fontId="122" fillId="3" borderId="0" xfId="324" applyNumberFormat="1" applyFont="1" applyFill="1" applyAlignment="1">
      <alignment horizontal="right" vertical="center"/>
    </xf>
    <xf numFmtId="0" fontId="124" fillId="3" borderId="0" xfId="324" quotePrefix="1" applyFont="1" applyFill="1" applyAlignment="1">
      <alignment horizontal="left" vertical="center"/>
    </xf>
    <xf numFmtId="0" fontId="125" fillId="67" borderId="0" xfId="324" quotePrefix="1" applyFont="1" applyFill="1" applyAlignment="1">
      <alignment horizontal="left" vertical="center"/>
    </xf>
    <xf numFmtId="0" fontId="125" fillId="67" borderId="0" xfId="324" quotePrefix="1" applyFont="1" applyFill="1" applyAlignment="1">
      <alignment horizontal="right" vertical="center"/>
    </xf>
    <xf numFmtId="0" fontId="126" fillId="3" borderId="0" xfId="324" applyFont="1" applyFill="1" applyAlignment="1">
      <alignment vertical="center"/>
    </xf>
    <xf numFmtId="0" fontId="123" fillId="3" borderId="0" xfId="6" applyFont="1" applyFill="1" applyAlignment="1">
      <alignment horizontal="left" vertical="center"/>
    </xf>
    <xf numFmtId="170" fontId="123" fillId="3" borderId="0" xfId="16" applyNumberFormat="1" applyFont="1" applyFill="1" applyBorder="1" applyAlignment="1">
      <alignment horizontal="right" vertical="center"/>
    </xf>
    <xf numFmtId="170" fontId="123" fillId="3" borderId="58" xfId="16" applyNumberFormat="1" applyFont="1" applyFill="1" applyBorder="1" applyAlignment="1">
      <alignment horizontal="right" vertical="center"/>
    </xf>
    <xf numFmtId="170" fontId="123" fillId="3" borderId="49" xfId="16" applyNumberFormat="1" applyFont="1" applyFill="1" applyBorder="1" applyAlignment="1">
      <alignment horizontal="right" vertical="center"/>
    </xf>
    <xf numFmtId="0" fontId="129" fillId="3" borderId="0" xfId="324" applyFont="1" applyFill="1" applyAlignment="1">
      <alignment vertical="center"/>
    </xf>
    <xf numFmtId="0" fontId="130" fillId="3" borderId="31" xfId="6" applyFont="1" applyFill="1" applyBorder="1" applyAlignment="1">
      <alignment horizontal="left" vertical="center"/>
    </xf>
    <xf numFmtId="170" fontId="130" fillId="3" borderId="31" xfId="16" applyNumberFormat="1" applyFont="1" applyFill="1" applyBorder="1" applyAlignment="1">
      <alignment horizontal="right" vertical="center"/>
    </xf>
    <xf numFmtId="170" fontId="130" fillId="3" borderId="72" xfId="16" applyNumberFormat="1" applyFont="1" applyFill="1" applyBorder="1" applyAlignment="1">
      <alignment horizontal="right" vertical="center"/>
    </xf>
    <xf numFmtId="170" fontId="130" fillId="3" borderId="50" xfId="16" applyNumberFormat="1" applyFont="1" applyFill="1" applyBorder="1" applyAlignment="1">
      <alignment horizontal="right" vertical="center"/>
    </xf>
    <xf numFmtId="0" fontId="123" fillId="3" borderId="0" xfId="6" applyFont="1" applyFill="1" applyAlignment="1">
      <alignment horizontal="left" vertical="center" indent="1"/>
    </xf>
    <xf numFmtId="0" fontId="123" fillId="3" borderId="0" xfId="6" quotePrefix="1" applyFont="1" applyFill="1" applyAlignment="1">
      <alignment horizontal="left" vertical="center" indent="1"/>
    </xf>
    <xf numFmtId="170" fontId="123" fillId="3" borderId="0" xfId="16" applyNumberFormat="1" applyFont="1" applyFill="1" applyBorder="1" applyAlignment="1">
      <alignment horizontal="center" vertical="center"/>
    </xf>
    <xf numFmtId="170" fontId="123" fillId="3" borderId="58" xfId="16" applyNumberFormat="1" applyFont="1" applyFill="1" applyBorder="1" applyAlignment="1">
      <alignment horizontal="center" vertical="center"/>
    </xf>
    <xf numFmtId="170" fontId="123" fillId="3" borderId="49" xfId="16" applyNumberFormat="1" applyFont="1" applyFill="1" applyBorder="1" applyAlignment="1">
      <alignment horizontal="center" vertical="center"/>
    </xf>
    <xf numFmtId="0" fontId="123" fillId="3" borderId="0" xfId="6" quotePrefix="1" applyFont="1" applyFill="1" applyAlignment="1">
      <alignment horizontal="left" vertical="center"/>
    </xf>
    <xf numFmtId="0" fontId="130" fillId="3" borderId="31" xfId="6" quotePrefix="1" applyFont="1" applyFill="1" applyBorder="1" applyAlignment="1">
      <alignment horizontal="left" vertical="center"/>
    </xf>
    <xf numFmtId="0" fontId="131" fillId="3" borderId="0" xfId="0" applyFont="1" applyFill="1">
      <alignment vertical="center"/>
    </xf>
    <xf numFmtId="170" fontId="123" fillId="0" borderId="49" xfId="16" applyNumberFormat="1" applyFont="1" applyFill="1" applyBorder="1" applyAlignment="1">
      <alignment horizontal="center" vertical="center"/>
    </xf>
    <xf numFmtId="0" fontId="130" fillId="3" borderId="0" xfId="6" applyFont="1" applyFill="1" applyAlignment="1">
      <alignment horizontal="left" vertical="center"/>
    </xf>
    <xf numFmtId="170" fontId="130" fillId="3" borderId="0" xfId="16" applyNumberFormat="1" applyFont="1" applyFill="1" applyBorder="1" applyAlignment="1">
      <alignment horizontal="right" vertical="center"/>
    </xf>
    <xf numFmtId="170" fontId="130" fillId="3" borderId="58" xfId="16" applyNumberFormat="1" applyFont="1" applyFill="1" applyBorder="1" applyAlignment="1">
      <alignment horizontal="right" vertical="center"/>
    </xf>
    <xf numFmtId="170" fontId="130" fillId="3" borderId="49" xfId="16" applyNumberFormat="1" applyFont="1" applyFill="1" applyBorder="1" applyAlignment="1">
      <alignment horizontal="right" vertical="center"/>
    </xf>
    <xf numFmtId="10" fontId="122" fillId="3" borderId="0" xfId="1" applyNumberFormat="1" applyFont="1" applyFill="1" applyAlignment="1">
      <alignment horizontal="right" vertical="center"/>
    </xf>
    <xf numFmtId="0" fontId="122" fillId="3" borderId="0" xfId="324" applyFont="1" applyFill="1" applyAlignment="1">
      <alignment vertical="center" wrapText="1"/>
    </xf>
    <xf numFmtId="0" fontId="122" fillId="3" borderId="0" xfId="324" applyFont="1" applyFill="1" applyAlignment="1">
      <alignment horizontal="right" vertical="center" wrapText="1"/>
    </xf>
    <xf numFmtId="165" fontId="122" fillId="3" borderId="0" xfId="281" applyNumberFormat="1" applyFont="1" applyFill="1" applyAlignment="1">
      <alignment horizontal="right" vertical="center"/>
    </xf>
    <xf numFmtId="0" fontId="130" fillId="3" borderId="0" xfId="6" applyFont="1" applyFill="1" applyAlignment="1">
      <alignment horizontal="left" vertical="center" indent="1"/>
    </xf>
    <xf numFmtId="0" fontId="130" fillId="3" borderId="31" xfId="6" applyFont="1" applyFill="1" applyBorder="1" applyAlignment="1">
      <alignment horizontal="left" vertical="center" indent="2"/>
    </xf>
    <xf numFmtId="0" fontId="123" fillId="3" borderId="0" xfId="6" quotePrefix="1" applyFont="1" applyFill="1" applyAlignment="1">
      <alignment horizontal="left" vertical="center" indent="4"/>
    </xf>
    <xf numFmtId="0" fontId="123" fillId="3" borderId="0" xfId="6" applyFont="1" applyFill="1" applyAlignment="1">
      <alignment horizontal="left" vertical="center" indent="4"/>
    </xf>
    <xf numFmtId="0" fontId="130" fillId="3" borderId="17" xfId="6" applyFont="1" applyFill="1" applyBorder="1" applyAlignment="1">
      <alignment horizontal="left" vertical="center" indent="2"/>
    </xf>
    <xf numFmtId="170" fontId="130" fillId="3" borderId="17" xfId="16" applyNumberFormat="1" applyFont="1" applyFill="1" applyBorder="1" applyAlignment="1">
      <alignment horizontal="right" vertical="center"/>
    </xf>
    <xf numFmtId="170" fontId="130" fillId="3" borderId="80" xfId="16" applyNumberFormat="1" applyFont="1" applyFill="1" applyBorder="1" applyAlignment="1">
      <alignment horizontal="right" vertical="center"/>
    </xf>
    <xf numFmtId="0" fontId="130" fillId="3" borderId="31" xfId="6" applyFont="1" applyFill="1" applyBorder="1" applyAlignment="1">
      <alignment horizontal="left" vertical="center" indent="3"/>
    </xf>
    <xf numFmtId="0" fontId="130" fillId="3" borderId="31" xfId="6" quotePrefix="1" applyFont="1" applyFill="1" applyBorder="1" applyAlignment="1">
      <alignment horizontal="left" vertical="center" indent="3"/>
    </xf>
    <xf numFmtId="0" fontId="130" fillId="3" borderId="0" xfId="6" quotePrefix="1" applyFont="1" applyFill="1" applyAlignment="1">
      <alignment horizontal="left" vertical="center" indent="3"/>
    </xf>
    <xf numFmtId="0" fontId="130" fillId="3" borderId="31" xfId="6" applyFont="1" applyFill="1" applyBorder="1" applyAlignment="1">
      <alignment horizontal="left" vertical="center" indent="1"/>
    </xf>
    <xf numFmtId="0" fontId="123" fillId="3" borderId="0" xfId="6" quotePrefix="1" applyFont="1" applyFill="1" applyAlignment="1">
      <alignment horizontal="left" vertical="center" indent="3"/>
    </xf>
    <xf numFmtId="170" fontId="122" fillId="3" borderId="49" xfId="324" applyNumberFormat="1" applyFont="1" applyFill="1" applyBorder="1" applyAlignment="1">
      <alignment horizontal="right" vertical="center"/>
    </xf>
    <xf numFmtId="3" fontId="122" fillId="3" borderId="0" xfId="324" applyNumberFormat="1" applyFont="1" applyFill="1" applyAlignment="1">
      <alignment horizontal="right" vertical="center"/>
    </xf>
    <xf numFmtId="0" fontId="122" fillId="67" borderId="0" xfId="324" applyFont="1" applyFill="1" applyAlignment="1">
      <alignment horizontal="right" vertical="center"/>
    </xf>
    <xf numFmtId="0" fontId="125" fillId="67" borderId="0" xfId="324" quotePrefix="1" applyFont="1" applyFill="1" applyAlignment="1">
      <alignment vertical="center"/>
    </xf>
    <xf numFmtId="0" fontId="45" fillId="3" borderId="0" xfId="0" applyFont="1" applyFill="1" applyAlignment="1">
      <alignment horizontal="center" vertical="center"/>
    </xf>
    <xf numFmtId="0" fontId="130" fillId="3" borderId="72" xfId="6" applyFont="1" applyFill="1" applyBorder="1" applyAlignment="1">
      <alignment horizontal="left" vertical="center"/>
    </xf>
    <xf numFmtId="0" fontId="130" fillId="3" borderId="50" xfId="6" applyFont="1" applyFill="1" applyBorder="1" applyAlignment="1">
      <alignment horizontal="left" vertical="center"/>
    </xf>
    <xf numFmtId="0" fontId="123" fillId="0" borderId="0" xfId="6" applyFont="1" applyAlignment="1">
      <alignment horizontal="left" vertical="center"/>
    </xf>
    <xf numFmtId="170" fontId="123" fillId="0" borderId="0" xfId="16" applyNumberFormat="1" applyFont="1" applyFill="1" applyBorder="1" applyAlignment="1">
      <alignment horizontal="right" vertical="center"/>
    </xf>
    <xf numFmtId="0" fontId="123" fillId="0" borderId="0" xfId="6" applyFont="1" applyAlignment="1">
      <alignment horizontal="left" vertical="center" indent="1"/>
    </xf>
    <xf numFmtId="170" fontId="123" fillId="3" borderId="47" xfId="16" applyNumberFormat="1" applyFont="1" applyFill="1" applyBorder="1" applyAlignment="1">
      <alignment horizontal="right" vertical="center"/>
    </xf>
    <xf numFmtId="170" fontId="123" fillId="3" borderId="73" xfId="16" applyNumberFormat="1" applyFont="1" applyFill="1" applyBorder="1" applyAlignment="1">
      <alignment horizontal="right" vertical="center"/>
    </xf>
    <xf numFmtId="170" fontId="123" fillId="3" borderId="70" xfId="16" applyNumberFormat="1" applyFont="1" applyFill="1" applyBorder="1" applyAlignment="1">
      <alignment horizontal="right" vertical="center"/>
    </xf>
    <xf numFmtId="170" fontId="123" fillId="3" borderId="56" xfId="16" applyNumberFormat="1" applyFont="1" applyFill="1" applyBorder="1" applyAlignment="1">
      <alignment horizontal="right" vertical="center"/>
    </xf>
    <xf numFmtId="170" fontId="123" fillId="3" borderId="24" xfId="16" applyNumberFormat="1" applyFont="1" applyFill="1" applyBorder="1" applyAlignment="1">
      <alignment horizontal="right" vertical="center"/>
    </xf>
    <xf numFmtId="170" fontId="130" fillId="3" borderId="31" xfId="6" quotePrefix="1" applyNumberFormat="1" applyFont="1" applyFill="1" applyBorder="1" applyAlignment="1">
      <alignment horizontal="left" vertical="center"/>
    </xf>
    <xf numFmtId="170" fontId="45" fillId="3" borderId="0" xfId="0" applyNumberFormat="1" applyFont="1" applyFill="1">
      <alignment vertical="center"/>
    </xf>
    <xf numFmtId="170" fontId="123" fillId="3" borderId="33" xfId="16" applyNumberFormat="1" applyFont="1" applyFill="1" applyBorder="1" applyAlignment="1">
      <alignment horizontal="right" vertical="center"/>
    </xf>
    <xf numFmtId="170" fontId="123" fillId="3" borderId="74" xfId="16" applyNumberFormat="1" applyFont="1" applyFill="1" applyBorder="1" applyAlignment="1">
      <alignment horizontal="right" vertical="center"/>
    </xf>
    <xf numFmtId="170" fontId="123" fillId="3" borderId="71" xfId="16" applyNumberFormat="1" applyFont="1" applyFill="1" applyBorder="1" applyAlignment="1">
      <alignment horizontal="right" vertical="center"/>
    </xf>
    <xf numFmtId="170" fontId="123" fillId="3" borderId="57" xfId="16" applyNumberFormat="1" applyFont="1" applyFill="1" applyBorder="1" applyAlignment="1">
      <alignment horizontal="right" vertical="center"/>
    </xf>
    <xf numFmtId="0" fontId="130" fillId="3" borderId="0" xfId="6" quotePrefix="1" applyFont="1" applyFill="1" applyAlignment="1">
      <alignment horizontal="left" vertical="center"/>
    </xf>
    <xf numFmtId="0" fontId="65" fillId="3" borderId="0" xfId="324" applyFont="1" applyFill="1" applyAlignment="1">
      <alignment vertical="center"/>
    </xf>
    <xf numFmtId="170" fontId="65" fillId="3" borderId="0" xfId="324" applyNumberFormat="1" applyFont="1" applyFill="1" applyAlignment="1">
      <alignment horizontal="right" vertical="center"/>
    </xf>
    <xf numFmtId="170" fontId="132" fillId="3" borderId="0" xfId="324" applyNumberFormat="1" applyFont="1" applyFill="1" applyAlignment="1">
      <alignment horizontal="right" vertical="center"/>
    </xf>
    <xf numFmtId="0" fontId="122" fillId="0" borderId="0" xfId="324" applyFont="1" applyAlignment="1">
      <alignment vertical="center"/>
    </xf>
    <xf numFmtId="0" fontId="124" fillId="0" borderId="0" xfId="324" quotePrefix="1" applyFont="1" applyAlignment="1">
      <alignment horizontal="left" vertical="center"/>
    </xf>
    <xf numFmtId="0" fontId="122" fillId="0" borderId="0" xfId="324" applyFont="1" applyAlignment="1">
      <alignment horizontal="right" vertical="center"/>
    </xf>
    <xf numFmtId="0" fontId="128" fillId="0" borderId="0" xfId="11" applyFont="1" applyAlignment="1">
      <alignment horizontal="right" vertical="center"/>
    </xf>
    <xf numFmtId="0" fontId="51" fillId="0" borderId="0" xfId="6" applyFont="1"/>
    <xf numFmtId="0" fontId="130" fillId="0" borderId="4" xfId="6" applyFont="1" applyBorder="1" applyAlignment="1">
      <alignment vertical="center"/>
    </xf>
    <xf numFmtId="170" fontId="130" fillId="0" borderId="4" xfId="5" applyNumberFormat="1" applyFont="1" applyBorder="1" applyAlignment="1">
      <alignment horizontal="right" vertical="center"/>
    </xf>
    <xf numFmtId="170" fontId="130" fillId="0" borderId="77" xfId="5" applyNumberFormat="1" applyFont="1" applyBorder="1" applyAlignment="1">
      <alignment horizontal="right" vertical="center"/>
    </xf>
    <xf numFmtId="170" fontId="130" fillId="0" borderId="55" xfId="5" applyNumberFormat="1" applyFont="1" applyBorder="1" applyAlignment="1">
      <alignment horizontal="right" vertical="center"/>
    </xf>
    <xf numFmtId="170" fontId="130" fillId="0" borderId="0" xfId="5" applyNumberFormat="1" applyFont="1" applyFill="1" applyBorder="1" applyAlignment="1">
      <alignment vertical="center"/>
    </xf>
    <xf numFmtId="0" fontId="123" fillId="0" borderId="0" xfId="6" applyFont="1"/>
    <xf numFmtId="0" fontId="123" fillId="0" borderId="0" xfId="6" applyFont="1" applyAlignment="1">
      <alignment horizontal="left" indent="2"/>
    </xf>
    <xf numFmtId="170" fontId="123" fillId="0" borderId="0" xfId="5" applyNumberFormat="1" applyFont="1" applyBorder="1" applyAlignment="1">
      <alignment horizontal="right"/>
    </xf>
    <xf numFmtId="170" fontId="123" fillId="0" borderId="75" xfId="5" applyNumberFormat="1" applyFont="1" applyBorder="1" applyAlignment="1">
      <alignment horizontal="right"/>
    </xf>
    <xf numFmtId="170" fontId="123" fillId="0" borderId="54" xfId="5" applyNumberFormat="1" applyFont="1" applyBorder="1" applyAlignment="1">
      <alignment horizontal="right"/>
    </xf>
    <xf numFmtId="170" fontId="123" fillId="0" borderId="0" xfId="5" applyNumberFormat="1" applyFont="1" applyFill="1" applyBorder="1"/>
    <xf numFmtId="0" fontId="123" fillId="0" borderId="0" xfId="6" applyFont="1" applyAlignment="1">
      <alignment horizontal="left" wrapText="1" indent="2"/>
    </xf>
    <xf numFmtId="170" fontId="123" fillId="0" borderId="0" xfId="5" applyNumberFormat="1" applyFont="1" applyFill="1" applyBorder="1" applyAlignment="1">
      <alignment horizontal="right"/>
    </xf>
    <xf numFmtId="0" fontId="123" fillId="0" borderId="0" xfId="6" applyFont="1" applyAlignment="1">
      <alignment wrapText="1"/>
    </xf>
    <xf numFmtId="0" fontId="130" fillId="0" borderId="0" xfId="6" applyFont="1"/>
    <xf numFmtId="0" fontId="130" fillId="0" borderId="0" xfId="6" quotePrefix="1" applyFont="1" applyAlignment="1">
      <alignment horizontal="left" wrapText="1"/>
    </xf>
    <xf numFmtId="169" fontId="130" fillId="0" borderId="0" xfId="13" applyNumberFormat="1" applyFont="1" applyBorder="1" applyAlignment="1">
      <alignment horizontal="right" wrapText="1"/>
    </xf>
    <xf numFmtId="169" fontId="130" fillId="0" borderId="0" xfId="13" applyNumberFormat="1" applyFont="1" applyFill="1" applyBorder="1" applyAlignment="1">
      <alignment horizontal="right" wrapText="1"/>
    </xf>
    <xf numFmtId="0" fontId="123" fillId="0" borderId="0" xfId="6" applyFont="1" applyAlignment="1">
      <alignment vertical="top"/>
    </xf>
    <xf numFmtId="0" fontId="123" fillId="0" borderId="0" xfId="6" applyFont="1" applyAlignment="1">
      <alignment horizontal="right"/>
    </xf>
    <xf numFmtId="170" fontId="123" fillId="0" borderId="0" xfId="6" applyNumberFormat="1" applyFont="1"/>
    <xf numFmtId="170" fontId="18" fillId="0" borderId="0" xfId="6" applyNumberFormat="1" applyAlignment="1">
      <alignment horizontal="right"/>
    </xf>
    <xf numFmtId="10" fontId="18" fillId="0" borderId="0" xfId="1" applyNumberFormat="1" applyFont="1" applyAlignment="1">
      <alignment horizontal="right"/>
    </xf>
    <xf numFmtId="9" fontId="18" fillId="0" borderId="0" xfId="1" applyFont="1" applyAlignment="1">
      <alignment horizontal="right"/>
    </xf>
    <xf numFmtId="0" fontId="18" fillId="0" borderId="0" xfId="6" applyAlignment="1">
      <alignment horizontal="right"/>
    </xf>
    <xf numFmtId="0" fontId="127" fillId="67" borderId="0" xfId="11" applyFont="1" applyFill="1" applyAlignment="1">
      <alignment horizontal="left" vertical="center" wrapText="1"/>
    </xf>
    <xf numFmtId="0" fontId="128" fillId="67" borderId="0" xfId="11" applyFont="1" applyFill="1" applyAlignment="1">
      <alignment horizontal="center" vertical="center" wrapText="1"/>
    </xf>
    <xf numFmtId="202" fontId="128" fillId="67" borderId="0" xfId="11" applyNumberFormat="1" applyFont="1" applyFill="1" applyAlignment="1">
      <alignment horizontal="right" vertical="center" wrapText="1"/>
    </xf>
    <xf numFmtId="202" fontId="128" fillId="67" borderId="81" xfId="11" applyNumberFormat="1" applyFont="1" applyFill="1" applyBorder="1" applyAlignment="1">
      <alignment horizontal="right" vertical="center" wrapText="1"/>
    </xf>
    <xf numFmtId="0" fontId="133" fillId="0" borderId="0" xfId="12" applyFont="1"/>
    <xf numFmtId="0" fontId="130" fillId="0" borderId="34" xfId="6" applyFont="1" applyBorder="1" applyAlignment="1">
      <alignment vertical="center"/>
    </xf>
    <xf numFmtId="3" fontId="130" fillId="0" borderId="34" xfId="12" applyNumberFormat="1" applyFont="1" applyBorder="1" applyAlignment="1">
      <alignment horizontal="right" vertical="center"/>
    </xf>
    <xf numFmtId="3" fontId="130" fillId="0" borderId="82" xfId="12" applyNumberFormat="1" applyFont="1" applyBorder="1" applyAlignment="1">
      <alignment horizontal="right" vertical="center"/>
    </xf>
    <xf numFmtId="9" fontId="134" fillId="0" borderId="0" xfId="1" applyFont="1" applyAlignment="1"/>
    <xf numFmtId="0" fontId="134" fillId="0" borderId="0" xfId="12" applyFont="1"/>
    <xf numFmtId="0" fontId="123" fillId="0" borderId="0" xfId="12" applyFont="1" applyAlignment="1">
      <alignment horizontal="left" vertical="center" indent="2"/>
    </xf>
    <xf numFmtId="41" fontId="123" fillId="0" borderId="0" xfId="12" applyNumberFormat="1" applyFont="1" applyAlignment="1">
      <alignment horizontal="center" vertical="center"/>
    </xf>
    <xf numFmtId="41" fontId="123" fillId="0" borderId="81" xfId="12" applyNumberFormat="1" applyFont="1" applyBorder="1" applyAlignment="1">
      <alignment horizontal="center" vertical="center"/>
    </xf>
    <xf numFmtId="41" fontId="123" fillId="0" borderId="0" xfId="12" applyNumberFormat="1" applyFont="1" applyAlignment="1">
      <alignment horizontal="right" vertical="center"/>
    </xf>
    <xf numFmtId="43" fontId="134" fillId="0" borderId="0" xfId="5" applyFont="1" applyAlignment="1"/>
    <xf numFmtId="3" fontId="123" fillId="0" borderId="0" xfId="12" applyNumberFormat="1" applyFont="1" applyAlignment="1">
      <alignment horizontal="center" vertical="center"/>
    </xf>
    <xf numFmtId="41" fontId="134" fillId="0" borderId="0" xfId="1" applyNumberFormat="1" applyFont="1" applyAlignment="1"/>
    <xf numFmtId="3" fontId="123" fillId="0" borderId="0" xfId="12" applyNumberFormat="1" applyFont="1" applyAlignment="1">
      <alignment horizontal="right" vertical="center"/>
    </xf>
    <xf numFmtId="43" fontId="134" fillId="0" borderId="0" xfId="1" applyNumberFormat="1" applyFont="1" applyAlignment="1"/>
    <xf numFmtId="0" fontId="123" fillId="3" borderId="2" xfId="12" applyFont="1" applyFill="1" applyBorder="1" applyAlignment="1">
      <alignment horizontal="left" vertical="center" indent="2"/>
    </xf>
    <xf numFmtId="3" fontId="123" fillId="3" borderId="2" xfId="12" applyNumberFormat="1" applyFont="1" applyFill="1" applyBorder="1" applyAlignment="1">
      <alignment horizontal="right" vertical="center"/>
    </xf>
    <xf numFmtId="3" fontId="123" fillId="3" borderId="83" xfId="12" applyNumberFormat="1" applyFont="1" applyFill="1" applyBorder="1" applyAlignment="1">
      <alignment horizontal="right" vertical="center"/>
    </xf>
    <xf numFmtId="0" fontId="123" fillId="3" borderId="15" xfId="12" applyFont="1" applyFill="1" applyBorder="1" applyAlignment="1">
      <alignment horizontal="left" vertical="center" indent="2"/>
    </xf>
    <xf numFmtId="3" fontId="123" fillId="3" borderId="15" xfId="12" applyNumberFormat="1" applyFont="1" applyFill="1" applyBorder="1" applyAlignment="1">
      <alignment horizontal="right" vertical="center"/>
    </xf>
    <xf numFmtId="3" fontId="123" fillId="3" borderId="84" xfId="12" applyNumberFormat="1" applyFont="1" applyFill="1" applyBorder="1" applyAlignment="1">
      <alignment horizontal="right" vertical="center"/>
    </xf>
    <xf numFmtId="196" fontId="130" fillId="0" borderId="34" xfId="12" applyNumberFormat="1" applyFont="1" applyBorder="1" applyAlignment="1">
      <alignment horizontal="right" vertical="center"/>
    </xf>
    <xf numFmtId="196" fontId="130" fillId="0" borderId="82" xfId="12" applyNumberFormat="1" applyFont="1" applyBorder="1" applyAlignment="1">
      <alignment horizontal="right" vertical="center"/>
    </xf>
    <xf numFmtId="0" fontId="134" fillId="0" borderId="2" xfId="12" applyFont="1" applyBorder="1" applyAlignment="1">
      <alignment horizontal="right" vertical="center"/>
    </xf>
    <xf numFmtId="0" fontId="133" fillId="0" borderId="0" xfId="12" applyFont="1" applyAlignment="1">
      <alignment horizontal="right"/>
    </xf>
    <xf numFmtId="9" fontId="133" fillId="0" borderId="0" xfId="1" applyFont="1" applyAlignment="1">
      <alignment horizontal="right"/>
    </xf>
    <xf numFmtId="43" fontId="133" fillId="0" borderId="0" xfId="5" applyFont="1" applyAlignment="1">
      <alignment horizontal="right"/>
    </xf>
    <xf numFmtId="3" fontId="133" fillId="0" borderId="0" xfId="12" applyNumberFormat="1" applyFont="1" applyAlignment="1">
      <alignment horizontal="right"/>
    </xf>
    <xf numFmtId="41" fontId="133" fillId="0" borderId="0" xfId="12" applyNumberFormat="1" applyFont="1" applyAlignment="1">
      <alignment horizontal="right"/>
    </xf>
    <xf numFmtId="0" fontId="45" fillId="0" borderId="0" xfId="0" applyFont="1">
      <alignment vertical="center"/>
    </xf>
    <xf numFmtId="0" fontId="130" fillId="8" borderId="65" xfId="0" applyFont="1" applyFill="1" applyBorder="1">
      <alignment vertical="center"/>
    </xf>
    <xf numFmtId="3" fontId="130" fillId="8" borderId="34" xfId="51" applyNumberFormat="1" applyFont="1" applyFill="1" applyBorder="1" applyAlignment="1">
      <alignment vertical="center"/>
    </xf>
    <xf numFmtId="3" fontId="130" fillId="8" borderId="66" xfId="51" applyNumberFormat="1" applyFont="1" applyFill="1" applyBorder="1" applyAlignment="1">
      <alignment vertical="center"/>
    </xf>
    <xf numFmtId="3" fontId="130" fillId="0" borderId="59" xfId="51" applyNumberFormat="1" applyFont="1" applyFill="1" applyBorder="1" applyAlignment="1">
      <alignment horizontal="right" vertical="center"/>
    </xf>
    <xf numFmtId="0" fontId="130" fillId="0" borderId="0" xfId="0" applyFont="1">
      <alignment vertical="center"/>
    </xf>
    <xf numFmtId="0" fontId="123" fillId="8" borderId="64" xfId="0" applyFont="1" applyFill="1" applyBorder="1" applyAlignment="1">
      <alignment horizontal="left" vertical="center"/>
    </xf>
    <xf numFmtId="0" fontId="123" fillId="0" borderId="0" xfId="0" applyFont="1">
      <alignment vertical="center"/>
    </xf>
    <xf numFmtId="0" fontId="123" fillId="8" borderId="68" xfId="0" applyFont="1" applyFill="1" applyBorder="1" applyAlignment="1">
      <alignment horizontal="left" vertical="center"/>
    </xf>
    <xf numFmtId="0" fontId="130" fillId="8" borderId="34" xfId="0" applyFont="1" applyFill="1" applyBorder="1">
      <alignment vertical="center"/>
    </xf>
    <xf numFmtId="0" fontId="130" fillId="8" borderId="66" xfId="0" applyFont="1" applyFill="1" applyBorder="1">
      <alignment vertical="center"/>
    </xf>
    <xf numFmtId="43" fontId="123" fillId="8" borderId="2" xfId="0" applyNumberFormat="1" applyFont="1" applyFill="1" applyBorder="1" applyAlignment="1">
      <alignment horizontal="right" vertical="center"/>
    </xf>
    <xf numFmtId="43" fontId="123" fillId="8" borderId="67" xfId="0" applyNumberFormat="1" applyFont="1" applyFill="1" applyBorder="1" applyAlignment="1">
      <alignment horizontal="right" vertical="center"/>
    </xf>
    <xf numFmtId="43" fontId="123" fillId="0" borderId="49" xfId="0" applyNumberFormat="1" applyFont="1" applyFill="1" applyBorder="1" applyAlignment="1">
      <alignment horizontal="right" vertical="center"/>
    </xf>
    <xf numFmtId="43" fontId="123" fillId="8" borderId="0" xfId="0" applyNumberFormat="1" applyFont="1" applyFill="1" applyBorder="1" applyAlignment="1">
      <alignment horizontal="right" vertical="center"/>
    </xf>
    <xf numFmtId="43" fontId="123" fillId="8" borderId="58" xfId="0" applyNumberFormat="1" applyFont="1" applyFill="1" applyBorder="1" applyAlignment="1">
      <alignment horizontal="right" vertical="center"/>
    </xf>
    <xf numFmtId="43" fontId="123" fillId="8" borderId="15" xfId="0" applyNumberFormat="1" applyFont="1" applyFill="1" applyBorder="1" applyAlignment="1">
      <alignment horizontal="right" vertical="center"/>
    </xf>
    <xf numFmtId="43" fontId="123" fillId="8" borderId="69" xfId="0" applyNumberFormat="1" applyFont="1" applyFill="1" applyBorder="1" applyAlignment="1">
      <alignment horizontal="right" vertical="center"/>
    </xf>
    <xf numFmtId="43" fontId="123" fillId="0" borderId="61" xfId="0" applyNumberFormat="1" applyFont="1" applyFill="1" applyBorder="1" applyAlignment="1">
      <alignment horizontal="right" vertical="center"/>
    </xf>
    <xf numFmtId="3" fontId="130" fillId="3" borderId="34" xfId="51" applyNumberFormat="1" applyFont="1" applyFill="1" applyBorder="1" applyAlignment="1">
      <alignment vertical="center"/>
    </xf>
    <xf numFmtId="3" fontId="130" fillId="3" borderId="66" xfId="51" applyNumberFormat="1" applyFont="1" applyFill="1" applyBorder="1" applyAlignment="1">
      <alignment vertical="center"/>
    </xf>
    <xf numFmtId="3" fontId="130" fillId="0" borderId="59" xfId="51" applyNumberFormat="1" applyFont="1" applyFill="1" applyBorder="1" applyAlignment="1">
      <alignment vertical="center"/>
    </xf>
    <xf numFmtId="3" fontId="123" fillId="8" borderId="2" xfId="51" applyNumberFormat="1" applyFont="1" applyFill="1" applyBorder="1" applyAlignment="1">
      <alignment horizontal="right" vertical="center"/>
    </xf>
    <xf numFmtId="3" fontId="123" fillId="8" borderId="67" xfId="51" applyNumberFormat="1" applyFont="1" applyFill="1" applyBorder="1" applyAlignment="1">
      <alignment horizontal="right" vertical="center"/>
    </xf>
    <xf numFmtId="3" fontId="123" fillId="0" borderId="60" xfId="51" applyNumberFormat="1" applyFont="1" applyFill="1" applyBorder="1" applyAlignment="1">
      <alignment horizontal="right" vertical="center"/>
    </xf>
    <xf numFmtId="3" fontId="123" fillId="8" borderId="0" xfId="51" applyNumberFormat="1" applyFont="1" applyFill="1" applyBorder="1" applyAlignment="1">
      <alignment horizontal="right" vertical="center"/>
    </xf>
    <xf numFmtId="3" fontId="123" fillId="8" borderId="58" xfId="51" applyNumberFormat="1" applyFont="1" applyFill="1" applyBorder="1" applyAlignment="1">
      <alignment horizontal="right" vertical="center"/>
    </xf>
    <xf numFmtId="3" fontId="123" fillId="0" borderId="49" xfId="51" applyNumberFormat="1" applyFont="1" applyFill="1" applyBorder="1" applyAlignment="1">
      <alignment horizontal="right" vertical="center"/>
    </xf>
    <xf numFmtId="0" fontId="123" fillId="0" borderId="0" xfId="0" applyFont="1" applyAlignment="1">
      <alignment horizontal="right" vertical="center"/>
    </xf>
    <xf numFmtId="0" fontId="123" fillId="8" borderId="0" xfId="0" applyFont="1" applyFill="1" applyBorder="1" applyAlignment="1">
      <alignment horizontal="left"/>
    </xf>
    <xf numFmtId="0" fontId="45" fillId="0" borderId="0" xfId="0" applyFont="1" applyAlignment="1">
      <alignment horizontal="right" vertical="center"/>
    </xf>
    <xf numFmtId="14" fontId="45" fillId="3" borderId="0" xfId="0" applyNumberFormat="1" applyFont="1" applyFill="1">
      <alignment vertical="center"/>
    </xf>
    <xf numFmtId="0" fontId="45" fillId="3" borderId="0" xfId="0" applyFont="1" applyFill="1" applyAlignment="1">
      <alignment horizontal="right" vertical="center"/>
    </xf>
    <xf numFmtId="0" fontId="44" fillId="3" borderId="0" xfId="0" applyFont="1" applyFill="1" applyBorder="1" applyAlignment="1">
      <alignment horizontal="left" vertical="center"/>
    </xf>
    <xf numFmtId="0" fontId="45" fillId="3" borderId="0" xfId="0" applyFont="1" applyFill="1" applyBorder="1" applyAlignment="1">
      <alignment horizontal="right" vertical="center"/>
    </xf>
    <xf numFmtId="0" fontId="45" fillId="3" borderId="0" xfId="0" applyFont="1" applyFill="1" applyBorder="1">
      <alignment vertical="center"/>
    </xf>
    <xf numFmtId="0" fontId="43" fillId="3" borderId="0" xfId="0" applyFont="1" applyFill="1" applyBorder="1">
      <alignment vertical="center"/>
    </xf>
    <xf numFmtId="3" fontId="44" fillId="3" borderId="0" xfId="51" applyNumberFormat="1" applyFont="1" applyFill="1" applyBorder="1" applyAlignment="1">
      <alignment horizontal="right" vertical="center"/>
    </xf>
    <xf numFmtId="0" fontId="43" fillId="3" borderId="0" xfId="0" applyFont="1" applyFill="1" applyBorder="1" applyAlignment="1">
      <alignment horizontal="left" vertical="center"/>
    </xf>
    <xf numFmtId="3" fontId="43" fillId="3" borderId="0" xfId="51" applyNumberFormat="1" applyFont="1" applyFill="1" applyBorder="1" applyAlignment="1">
      <alignment horizontal="right" vertical="center"/>
    </xf>
    <xf numFmtId="173" fontId="45" fillId="3" borderId="0" xfId="0" applyNumberFormat="1" applyFont="1" applyFill="1" applyBorder="1" applyAlignment="1">
      <alignment horizontal="right" vertical="center"/>
    </xf>
    <xf numFmtId="170" fontId="130" fillId="3" borderId="0" xfId="16" applyNumberFormat="1" applyFont="1" applyFill="1" applyBorder="1" applyAlignment="1">
      <alignment horizontal="center" vertical="center"/>
    </xf>
    <xf numFmtId="170" fontId="18" fillId="0" borderId="58" xfId="16" applyNumberFormat="1" applyFont="1" applyFill="1" applyBorder="1" applyAlignment="1">
      <alignment horizontal="center" vertical="center"/>
    </xf>
    <xf numFmtId="170" fontId="18" fillId="3" borderId="0" xfId="16" applyNumberFormat="1" applyFont="1" applyFill="1" applyBorder="1" applyAlignment="1">
      <alignment horizontal="center" vertical="center"/>
    </xf>
    <xf numFmtId="170" fontId="18" fillId="3" borderId="58" xfId="16" applyNumberFormat="1" applyFont="1" applyFill="1" applyBorder="1" applyAlignment="1">
      <alignment horizontal="center" vertical="center"/>
    </xf>
    <xf numFmtId="170" fontId="18" fillId="0" borderId="0" xfId="16" applyNumberFormat="1" applyFont="1" applyFill="1" applyBorder="1" applyAlignment="1">
      <alignment horizontal="center" vertical="center"/>
    </xf>
    <xf numFmtId="170" fontId="18" fillId="0" borderId="49" xfId="16" applyNumberFormat="1" applyFont="1" applyFill="1" applyBorder="1" applyAlignment="1">
      <alignment horizontal="center" vertical="center"/>
    </xf>
    <xf numFmtId="170" fontId="122" fillId="3" borderId="0" xfId="1" applyNumberFormat="1" applyFont="1" applyFill="1" applyAlignment="1">
      <alignment horizontal="right" vertical="center"/>
    </xf>
    <xf numFmtId="0" fontId="129" fillId="3" borderId="0" xfId="324" applyFont="1" applyFill="1" applyAlignment="1">
      <alignment vertical="center" wrapText="1"/>
    </xf>
    <xf numFmtId="43" fontId="122" fillId="3" borderId="0" xfId="5" applyFont="1" applyFill="1" applyAlignment="1">
      <alignment vertical="center"/>
    </xf>
    <xf numFmtId="167" fontId="122" fillId="3" borderId="0" xfId="324" applyNumberFormat="1" applyFont="1" applyFill="1" applyAlignment="1">
      <alignment vertical="center"/>
    </xf>
    <xf numFmtId="170" fontId="123" fillId="3" borderId="0" xfId="16" applyNumberFormat="1" applyFont="1" applyFill="1" applyBorder="1" applyAlignment="1">
      <alignment vertical="center"/>
    </xf>
    <xf numFmtId="170" fontId="123" fillId="3" borderId="49" xfId="16" applyNumberFormat="1" applyFont="1" applyFill="1" applyBorder="1" applyAlignment="1">
      <alignment vertical="center"/>
    </xf>
    <xf numFmtId="0" fontId="125" fillId="67" borderId="0" xfId="324" quotePrefix="1" applyFont="1" applyFill="1" applyAlignment="1">
      <alignment horizontal="center" vertical="center"/>
    </xf>
    <xf numFmtId="170" fontId="123" fillId="3" borderId="32" xfId="16" applyNumberFormat="1" applyFont="1" applyFill="1" applyBorder="1" applyAlignment="1">
      <alignment horizontal="right" vertical="center"/>
    </xf>
    <xf numFmtId="170" fontId="123" fillId="3" borderId="51" xfId="16" applyNumberFormat="1" applyFont="1" applyFill="1" applyBorder="1" applyAlignment="1">
      <alignment horizontal="right" vertical="center"/>
    </xf>
    <xf numFmtId="170" fontId="123" fillId="3" borderId="17" xfId="16" applyNumberFormat="1" applyFont="1" applyFill="1" applyBorder="1" applyAlignment="1">
      <alignment horizontal="right" vertical="center"/>
    </xf>
    <xf numFmtId="170" fontId="123" fillId="3" borderId="52" xfId="16" applyNumberFormat="1" applyFont="1" applyFill="1" applyBorder="1" applyAlignment="1">
      <alignment horizontal="right" vertical="center"/>
    </xf>
    <xf numFmtId="0" fontId="128" fillId="0" borderId="0" xfId="11" applyFont="1" applyAlignment="1">
      <alignment horizontal="center" vertical="center"/>
    </xf>
    <xf numFmtId="170" fontId="130" fillId="0" borderId="4" xfId="6" applyNumberFormat="1" applyFont="1" applyBorder="1" applyAlignment="1">
      <alignment vertical="center"/>
    </xf>
    <xf numFmtId="170" fontId="130" fillId="0" borderId="77" xfId="6" applyNumberFormat="1" applyFont="1" applyBorder="1" applyAlignment="1">
      <alignment vertical="center"/>
    </xf>
    <xf numFmtId="170" fontId="130" fillId="0" borderId="55" xfId="6" applyNumberFormat="1" applyFont="1" applyBorder="1" applyAlignment="1">
      <alignment vertical="center"/>
    </xf>
    <xf numFmtId="170" fontId="123" fillId="0" borderId="75" xfId="5" applyNumberFormat="1" applyFont="1" applyFill="1" applyBorder="1" applyAlignment="1">
      <alignment horizontal="right"/>
    </xf>
    <xf numFmtId="170" fontId="123" fillId="0" borderId="54" xfId="5" applyNumberFormat="1" applyFont="1" applyFill="1" applyBorder="1" applyAlignment="1">
      <alignment horizontal="right"/>
    </xf>
    <xf numFmtId="170" fontId="123" fillId="0" borderId="0" xfId="6" applyNumberFormat="1" applyFont="1" applyAlignment="1">
      <alignment horizontal="right"/>
    </xf>
    <xf numFmtId="170" fontId="18" fillId="0" borderId="0" xfId="1" applyNumberFormat="1" applyFont="1" applyAlignment="1">
      <alignment horizontal="right"/>
    </xf>
    <xf numFmtId="0" fontId="130" fillId="0" borderId="34" xfId="6" applyFont="1" applyBorder="1" applyAlignment="1">
      <alignment horizontal="center" vertical="center"/>
    </xf>
    <xf numFmtId="0" fontId="123" fillId="0" borderId="0" xfId="12" applyFont="1" applyAlignment="1">
      <alignment horizontal="center" vertical="center"/>
    </xf>
    <xf numFmtId="41" fontId="123" fillId="0" borderId="81" xfId="12" applyNumberFormat="1" applyFont="1" applyBorder="1" applyAlignment="1">
      <alignment horizontal="right" vertical="center"/>
    </xf>
    <xf numFmtId="0" fontId="130" fillId="0" borderId="4" xfId="6" applyFont="1" applyBorder="1" applyAlignment="1">
      <alignment horizontal="center" vertical="center"/>
    </xf>
    <xf numFmtId="3" fontId="123" fillId="0" borderId="81" xfId="12" applyNumberFormat="1" applyFont="1" applyBorder="1" applyAlignment="1">
      <alignment horizontal="right" vertical="center"/>
    </xf>
    <xf numFmtId="0" fontId="123" fillId="3" borderId="2" xfId="12" applyFont="1" applyFill="1" applyBorder="1" applyAlignment="1">
      <alignment horizontal="center" vertical="center"/>
    </xf>
    <xf numFmtId="0" fontId="123" fillId="3" borderId="15" xfId="12" applyFont="1" applyFill="1" applyBorder="1" applyAlignment="1">
      <alignment horizontal="center" vertical="center"/>
    </xf>
    <xf numFmtId="3" fontId="134" fillId="0" borderId="2" xfId="12" applyNumberFormat="1" applyFont="1" applyBorder="1" applyAlignment="1">
      <alignment horizontal="right" vertical="center"/>
    </xf>
    <xf numFmtId="0" fontId="133" fillId="0" borderId="2" xfId="12" applyFont="1" applyBorder="1" applyAlignment="1">
      <alignment horizontal="right"/>
    </xf>
    <xf numFmtId="0" fontId="123" fillId="0" borderId="0" xfId="12" applyFont="1" applyAlignment="1">
      <alignment vertical="center"/>
    </xf>
    <xf numFmtId="3" fontId="123" fillId="3" borderId="0" xfId="12" applyNumberFormat="1" applyFont="1" applyFill="1" applyAlignment="1">
      <alignment horizontal="right" vertical="center"/>
    </xf>
    <xf numFmtId="170" fontId="130" fillId="3" borderId="86" xfId="16" applyNumberFormat="1" applyFont="1" applyFill="1" applyBorder="1" applyAlignment="1">
      <alignment horizontal="right" vertical="center"/>
    </xf>
    <xf numFmtId="9" fontId="123" fillId="0" borderId="0" xfId="4174" applyFont="1" applyBorder="1" applyAlignment="1">
      <alignment horizontal="right"/>
    </xf>
    <xf numFmtId="0" fontId="128" fillId="67" borderId="81" xfId="11" applyFont="1" applyFill="1" applyBorder="1" applyAlignment="1">
      <alignment horizontal="right" vertical="center" wrapText="1"/>
    </xf>
    <xf numFmtId="3" fontId="123" fillId="3" borderId="81" xfId="12" applyNumberFormat="1" applyFont="1" applyFill="1" applyBorder="1" applyAlignment="1">
      <alignment horizontal="right" vertical="center"/>
    </xf>
    <xf numFmtId="170" fontId="130" fillId="3" borderId="82" xfId="16" applyNumberFormat="1" applyFont="1" applyFill="1" applyBorder="1" applyAlignment="1">
      <alignment horizontal="right" vertical="center"/>
    </xf>
    <xf numFmtId="0" fontId="122" fillId="3" borderId="0" xfId="4175" applyFont="1" applyFill="1" applyAlignment="1">
      <alignment vertical="center"/>
    </xf>
    <xf numFmtId="0" fontId="124" fillId="0" borderId="0" xfId="4175" quotePrefix="1" applyFont="1" applyAlignment="1">
      <alignment horizontal="left" vertical="center"/>
    </xf>
    <xf numFmtId="0" fontId="125" fillId="67" borderId="0" xfId="4175" quotePrefix="1" applyFont="1" applyFill="1" applyAlignment="1">
      <alignment horizontal="left" vertical="center"/>
    </xf>
    <xf numFmtId="9" fontId="130" fillId="0" borderId="55" xfId="4174" applyFont="1" applyBorder="1" applyAlignment="1">
      <alignment horizontal="right" vertical="center"/>
    </xf>
    <xf numFmtId="9" fontId="130" fillId="0" borderId="4" xfId="4174" applyFont="1" applyBorder="1" applyAlignment="1">
      <alignment horizontal="right" vertical="center"/>
    </xf>
    <xf numFmtId="9" fontId="123" fillId="0" borderId="54" xfId="4174" applyFont="1" applyBorder="1" applyAlignment="1">
      <alignment horizontal="right"/>
    </xf>
    <xf numFmtId="3" fontId="130" fillId="8" borderId="59" xfId="51" applyNumberFormat="1" applyFont="1" applyFill="1" applyBorder="1" applyAlignment="1">
      <alignment vertical="center"/>
    </xf>
    <xf numFmtId="0" fontId="130" fillId="8" borderId="59" xfId="0" applyFont="1" applyFill="1" applyBorder="1">
      <alignment vertical="center"/>
    </xf>
    <xf numFmtId="43" fontId="123" fillId="8" borderId="60" xfId="0" applyNumberFormat="1" applyFont="1" applyFill="1" applyBorder="1" applyAlignment="1">
      <alignment horizontal="right" vertical="center"/>
    </xf>
    <xf numFmtId="43" fontId="123" fillId="8" borderId="49" xfId="0" applyNumberFormat="1" applyFont="1" applyFill="1" applyBorder="1" applyAlignment="1">
      <alignment horizontal="right" vertical="center"/>
    </xf>
    <xf numFmtId="43" fontId="123" fillId="8" borderId="61" xfId="0" applyNumberFormat="1" applyFont="1" applyFill="1" applyBorder="1" applyAlignment="1">
      <alignment horizontal="right" vertical="center"/>
    </xf>
    <xf numFmtId="3" fontId="130" fillId="3" borderId="59" xfId="51" applyNumberFormat="1" applyFont="1" applyFill="1" applyBorder="1" applyAlignment="1">
      <alignment vertical="center"/>
    </xf>
    <xf numFmtId="3" fontId="123" fillId="8" borderId="60" xfId="51" applyNumberFormat="1" applyFont="1" applyFill="1" applyBorder="1" applyAlignment="1">
      <alignment horizontal="right" vertical="center"/>
    </xf>
    <xf numFmtId="3" fontId="123" fillId="8" borderId="49" xfId="51" applyNumberFormat="1" applyFont="1" applyFill="1" applyBorder="1" applyAlignment="1">
      <alignment horizontal="right" vertical="center"/>
    </xf>
    <xf numFmtId="0" fontId="124" fillId="3" borderId="0" xfId="4175" quotePrefix="1" applyFont="1" applyFill="1" applyAlignment="1">
      <alignment horizontal="left" vertical="center"/>
    </xf>
    <xf numFmtId="0" fontId="122" fillId="3" borderId="0" xfId="4175" applyFont="1" applyFill="1" applyAlignment="1">
      <alignment vertical="center" wrapText="1"/>
    </xf>
    <xf numFmtId="170" fontId="123" fillId="0" borderId="58" xfId="16" applyNumberFormat="1" applyFont="1" applyFill="1" applyBorder="1" applyAlignment="1">
      <alignment horizontal="center" vertical="center"/>
    </xf>
    <xf numFmtId="0" fontId="128" fillId="67" borderId="0" xfId="11" applyFont="1" applyFill="1" applyAlignment="1">
      <alignment horizontal="right" vertical="center" wrapText="1"/>
    </xf>
    <xf numFmtId="9" fontId="130" fillId="0" borderId="77" xfId="4174" applyFont="1" applyBorder="1" applyAlignment="1">
      <alignment horizontal="right" vertical="center"/>
    </xf>
    <xf numFmtId="9" fontId="123" fillId="0" borderId="75" xfId="4174" applyFont="1" applyBorder="1" applyAlignment="1">
      <alignment horizontal="right"/>
    </xf>
    <xf numFmtId="170" fontId="123" fillId="3" borderId="89" xfId="16" applyNumberFormat="1" applyFont="1" applyFill="1" applyBorder="1" applyAlignment="1">
      <alignment horizontal="right" vertical="center"/>
    </xf>
    <xf numFmtId="170" fontId="123" fillId="3" borderId="90" xfId="16" applyNumberFormat="1" applyFont="1" applyFill="1" applyBorder="1" applyAlignment="1">
      <alignment horizontal="right" vertical="center"/>
    </xf>
    <xf numFmtId="43" fontId="123" fillId="0" borderId="0" xfId="5" applyFont="1" applyAlignment="1">
      <alignment horizontal="right" vertical="center"/>
    </xf>
    <xf numFmtId="170" fontId="130" fillId="3" borderId="34" xfId="16" applyNumberFormat="1" applyFont="1" applyFill="1" applyBorder="1" applyAlignment="1">
      <alignment horizontal="right" vertical="center"/>
    </xf>
    <xf numFmtId="170" fontId="123" fillId="0" borderId="0" xfId="16" applyNumberFormat="1" applyFont="1" applyFill="1" applyBorder="1" applyAlignment="1">
      <alignment horizontal="center" vertical="center"/>
    </xf>
    <xf numFmtId="166" fontId="123" fillId="0" borderId="0" xfId="5" applyNumberFormat="1" applyFont="1" applyAlignment="1">
      <alignment horizontal="right" vertical="center"/>
    </xf>
    <xf numFmtId="170" fontId="18" fillId="0" borderId="58" xfId="16" applyNumberFormat="1" applyFont="1" applyFill="1" applyBorder="1" applyAlignment="1">
      <alignment horizontal="right" vertical="center"/>
    </xf>
    <xf numFmtId="170" fontId="123" fillId="0" borderId="91" xfId="16" applyNumberFormat="1" applyFont="1" applyFill="1" applyBorder="1" applyAlignment="1">
      <alignment horizontal="center" vertical="center"/>
    </xf>
    <xf numFmtId="170" fontId="130" fillId="0" borderId="50" xfId="16" applyNumberFormat="1" applyFont="1" applyFill="1" applyBorder="1" applyAlignment="1">
      <alignment horizontal="right" vertical="center"/>
    </xf>
    <xf numFmtId="170" fontId="123" fillId="0" borderId="32" xfId="16" applyNumberFormat="1" applyFont="1" applyFill="1" applyBorder="1" applyAlignment="1">
      <alignment horizontal="center" vertical="center"/>
    </xf>
    <xf numFmtId="170" fontId="123" fillId="3" borderId="64" xfId="16" applyNumberFormat="1" applyFont="1" applyFill="1" applyBorder="1" applyAlignment="1">
      <alignment horizontal="right" vertical="center"/>
    </xf>
    <xf numFmtId="170" fontId="18" fillId="0" borderId="64" xfId="16" applyNumberFormat="1" applyFont="1" applyFill="1" applyBorder="1" applyAlignment="1">
      <alignment horizontal="center" vertical="center"/>
    </xf>
    <xf numFmtId="170" fontId="130" fillId="3" borderId="92" xfId="16" applyNumberFormat="1" applyFont="1" applyFill="1" applyBorder="1" applyAlignment="1">
      <alignment horizontal="right" vertical="center"/>
    </xf>
    <xf numFmtId="170" fontId="130" fillId="3" borderId="64" xfId="16" applyNumberFormat="1" applyFont="1" applyFill="1" applyBorder="1" applyAlignment="1">
      <alignment horizontal="right" vertical="center"/>
    </xf>
    <xf numFmtId="0" fontId="125" fillId="67" borderId="0" xfId="324" quotePrefix="1" applyFont="1" applyFill="1" applyAlignment="1">
      <alignment horizontal="left" vertical="center"/>
    </xf>
    <xf numFmtId="0" fontId="35" fillId="9" borderId="0" xfId="0" applyFont="1" applyFill="1" applyBorder="1" applyAlignment="1">
      <alignment horizontal="center" vertical="center" wrapText="1"/>
    </xf>
    <xf numFmtId="0" fontId="35" fillId="9" borderId="16" xfId="0" applyFont="1" applyFill="1" applyBorder="1" applyAlignment="1">
      <alignment horizontal="center" vertical="center" wrapText="1"/>
    </xf>
    <xf numFmtId="0" fontId="18" fillId="0" borderId="0" xfId="6" applyAlignment="1">
      <alignment vertical="top" wrapText="1"/>
    </xf>
    <xf numFmtId="49" fontId="128" fillId="67" borderId="0" xfId="6" quotePrefix="1" applyNumberFormat="1" applyFont="1" applyFill="1" applyAlignment="1">
      <alignment horizontal="center" vertical="center"/>
    </xf>
    <xf numFmtId="49" fontId="128" fillId="67" borderId="49" xfId="6" quotePrefix="1" applyNumberFormat="1" applyFont="1" applyFill="1" applyBorder="1" applyAlignment="1">
      <alignment horizontal="center" vertical="center"/>
    </xf>
    <xf numFmtId="49" fontId="128" fillId="67" borderId="58" xfId="6" quotePrefix="1" applyNumberFormat="1" applyFont="1" applyFill="1" applyBorder="1" applyAlignment="1">
      <alignment horizontal="center" vertical="center"/>
    </xf>
    <xf numFmtId="0" fontId="125" fillId="67" borderId="0" xfId="324" quotePrefix="1" applyFont="1" applyFill="1" applyAlignment="1">
      <alignment horizontal="right" vertical="center"/>
    </xf>
    <xf numFmtId="49" fontId="127" fillId="67" borderId="0" xfId="6" quotePrefix="1" applyNumberFormat="1" applyFont="1" applyFill="1" applyAlignment="1">
      <alignment horizontal="left" vertical="center"/>
    </xf>
    <xf numFmtId="49" fontId="128" fillId="67" borderId="0" xfId="6" quotePrefix="1" applyNumberFormat="1" applyFont="1" applyFill="1" applyAlignment="1">
      <alignment horizontal="right" vertical="center" wrapText="1"/>
    </xf>
    <xf numFmtId="201" fontId="128" fillId="67" borderId="0" xfId="6" quotePrefix="1" applyNumberFormat="1" applyFont="1" applyFill="1" applyAlignment="1">
      <alignment horizontal="right" vertical="center" wrapText="1"/>
    </xf>
    <xf numFmtId="49" fontId="128" fillId="67" borderId="49" xfId="6" quotePrefix="1" applyNumberFormat="1" applyFont="1" applyFill="1" applyBorder="1" applyAlignment="1">
      <alignment horizontal="right" vertical="center" wrapText="1"/>
    </xf>
    <xf numFmtId="201" fontId="128" fillId="67" borderId="49" xfId="6" quotePrefix="1" applyNumberFormat="1" applyFont="1" applyFill="1" applyBorder="1" applyAlignment="1">
      <alignment horizontal="right" vertical="center" wrapText="1"/>
    </xf>
    <xf numFmtId="0" fontId="128" fillId="67" borderId="0" xfId="6" applyFont="1" applyFill="1" applyAlignment="1">
      <alignment horizontal="left" vertical="center"/>
    </xf>
    <xf numFmtId="49" fontId="128" fillId="67" borderId="0" xfId="6" quotePrefix="1" applyNumberFormat="1" applyFont="1" applyFill="1" applyAlignment="1">
      <alignment horizontal="center" vertical="center" wrapText="1"/>
    </xf>
    <xf numFmtId="49" fontId="128" fillId="67" borderId="58" xfId="6" quotePrefix="1" applyNumberFormat="1" applyFont="1" applyFill="1" applyBorder="1" applyAlignment="1">
      <alignment horizontal="center" vertical="center" wrapText="1"/>
    </xf>
    <xf numFmtId="49" fontId="128" fillId="67" borderId="49" xfId="6" quotePrefix="1" applyNumberFormat="1" applyFont="1" applyFill="1" applyBorder="1" applyAlignment="1">
      <alignment horizontal="center" vertical="center" wrapText="1"/>
    </xf>
    <xf numFmtId="0" fontId="127" fillId="67" borderId="0" xfId="6" quotePrefix="1" applyFont="1" applyFill="1" applyAlignment="1">
      <alignment horizontal="left" vertical="center"/>
    </xf>
    <xf numFmtId="0" fontId="128" fillId="67" borderId="54" xfId="11" applyFont="1" applyFill="1" applyBorder="1" applyAlignment="1">
      <alignment horizontal="center" vertical="center"/>
    </xf>
    <xf numFmtId="0" fontId="128" fillId="67" borderId="53" xfId="11" applyFont="1" applyFill="1" applyBorder="1" applyAlignment="1">
      <alignment horizontal="center" vertical="center"/>
    </xf>
    <xf numFmtId="0" fontId="128" fillId="67" borderId="75" xfId="11" applyFont="1" applyFill="1" applyBorder="1" applyAlignment="1">
      <alignment horizontal="center" vertical="center"/>
    </xf>
    <xf numFmtId="0" fontId="128" fillId="67" borderId="76" xfId="11" applyFont="1" applyFill="1" applyBorder="1" applyAlignment="1">
      <alignment horizontal="center" vertical="center"/>
    </xf>
    <xf numFmtId="0" fontId="128" fillId="67" borderId="0" xfId="11" applyFont="1" applyFill="1" applyAlignment="1">
      <alignment horizontal="center" vertical="center"/>
    </xf>
    <xf numFmtId="0" fontId="128" fillId="67" borderId="35" xfId="11" applyFont="1" applyFill="1" applyBorder="1" applyAlignment="1">
      <alignment horizontal="center" vertical="center"/>
    </xf>
    <xf numFmtId="0" fontId="127" fillId="67" borderId="0" xfId="11" applyFont="1" applyFill="1" applyAlignment="1">
      <alignment horizontal="left" vertical="center" wrapText="1"/>
    </xf>
    <xf numFmtId="0" fontId="127" fillId="67" borderId="35" xfId="11" applyFont="1" applyFill="1" applyBorder="1" applyAlignment="1">
      <alignment horizontal="left" vertical="center" wrapText="1"/>
    </xf>
    <xf numFmtId="0" fontId="125" fillId="67" borderId="0" xfId="324" quotePrefix="1" applyFont="1" applyFill="1" applyAlignment="1">
      <alignment horizontal="left" vertical="center" wrapText="1"/>
    </xf>
    <xf numFmtId="0" fontId="135" fillId="67" borderId="0" xfId="0" applyFont="1" applyFill="1" applyBorder="1" applyAlignment="1">
      <alignment horizontal="center" vertical="center"/>
    </xf>
    <xf numFmtId="0" fontId="135" fillId="67" borderId="48" xfId="0" applyFont="1" applyFill="1" applyBorder="1" applyAlignment="1">
      <alignment horizontal="center" vertical="center"/>
    </xf>
    <xf numFmtId="0" fontId="135" fillId="67" borderId="58" xfId="0" applyFont="1" applyFill="1" applyBorder="1" applyAlignment="1">
      <alignment horizontal="center" vertical="center"/>
    </xf>
    <xf numFmtId="0" fontId="135" fillId="67" borderId="88" xfId="0" applyFont="1" applyFill="1" applyBorder="1" applyAlignment="1">
      <alignment horizontal="center" vertical="center"/>
    </xf>
    <xf numFmtId="0" fontId="135" fillId="67" borderId="49" xfId="0" applyFont="1" applyFill="1" applyBorder="1" applyAlignment="1">
      <alignment horizontal="center" vertical="center"/>
    </xf>
    <xf numFmtId="0" fontId="135" fillId="67" borderId="87" xfId="0" applyFont="1" applyFill="1" applyBorder="1" applyAlignment="1">
      <alignment horizontal="center" vertical="center"/>
    </xf>
    <xf numFmtId="0" fontId="135" fillId="67" borderId="85" xfId="0" applyFont="1" applyFill="1" applyBorder="1" applyAlignment="1">
      <alignment horizontal="center" vertical="center"/>
    </xf>
    <xf numFmtId="0" fontId="135" fillId="67" borderId="63" xfId="0" applyFont="1" applyFill="1" applyBorder="1" applyAlignment="1">
      <alignment horizontal="right" vertical="center"/>
    </xf>
    <xf numFmtId="0" fontId="135" fillId="67" borderId="48" xfId="0" applyFont="1" applyFill="1" applyBorder="1" applyAlignment="1">
      <alignment horizontal="right" vertical="center"/>
    </xf>
    <xf numFmtId="0" fontId="135" fillId="67" borderId="62" xfId="0" applyFont="1" applyFill="1" applyBorder="1" applyAlignment="1">
      <alignment horizontal="center" vertical="center"/>
    </xf>
    <xf numFmtId="0" fontId="135" fillId="67" borderId="64" xfId="0" applyFont="1" applyFill="1" applyBorder="1" applyAlignment="1">
      <alignment horizontal="center" vertical="center"/>
    </xf>
    <xf numFmtId="49" fontId="128" fillId="67" borderId="63" xfId="6" quotePrefix="1" applyNumberFormat="1" applyFont="1" applyFill="1" applyBorder="1" applyAlignment="1">
      <alignment horizontal="center" vertical="center"/>
    </xf>
    <xf numFmtId="0" fontId="135" fillId="67" borderId="78" xfId="0" applyFont="1" applyFill="1" applyBorder="1" applyAlignment="1">
      <alignment horizontal="center" vertical="center"/>
    </xf>
    <xf numFmtId="0" fontId="135" fillId="67" borderId="79" xfId="0" applyFont="1" applyFill="1" applyBorder="1" applyAlignment="1">
      <alignment horizontal="center" vertical="center"/>
    </xf>
    <xf numFmtId="0" fontId="135" fillId="67" borderId="63" xfId="0" applyFont="1" applyFill="1" applyBorder="1" applyAlignment="1">
      <alignment horizontal="center" vertical="center"/>
    </xf>
    <xf numFmtId="49" fontId="128" fillId="3" borderId="0" xfId="6" quotePrefix="1" applyNumberFormat="1" applyFont="1" applyFill="1" applyAlignment="1">
      <alignment horizontal="center" vertical="center"/>
    </xf>
    <xf numFmtId="0" fontId="128" fillId="67" borderId="32" xfId="6" applyFont="1" applyFill="1" applyBorder="1" applyAlignment="1">
      <alignment horizontal="left" vertical="center"/>
    </xf>
  </cellXfs>
  <cellStyles count="4176">
    <cellStyle name="%" xfId="1959" xr:uid="{00000000-0005-0000-0000-000000000000}"/>
    <cellStyle name="% 2" xfId="1960" xr:uid="{00000000-0005-0000-0000-000001000000}"/>
    <cellStyle name="=C:\WINDOWS\SYSTEM32\COMMAND.COM" xfId="60" xr:uid="{00000000-0005-0000-0000-000002000000}"/>
    <cellStyle name="•W_laroux" xfId="61" xr:uid="{00000000-0005-0000-0000-000003000000}"/>
    <cellStyle name="20% - Accent1" xfId="1961" xr:uid="{00000000-0005-0000-0000-000004000000}"/>
    <cellStyle name="20% - Accent2" xfId="1962" xr:uid="{00000000-0005-0000-0000-000005000000}"/>
    <cellStyle name="20% - Accent3" xfId="1963" xr:uid="{00000000-0005-0000-0000-000006000000}"/>
    <cellStyle name="20% - Accent4" xfId="1964" xr:uid="{00000000-0005-0000-0000-000007000000}"/>
    <cellStyle name="20% - Accent5" xfId="1965" xr:uid="{00000000-0005-0000-0000-000008000000}"/>
    <cellStyle name="20% - Accent6" xfId="1966" xr:uid="{00000000-0005-0000-0000-000009000000}"/>
    <cellStyle name="20% - Ênfase1" xfId="341" builtinId="30" customBuiltin="1"/>
    <cellStyle name="20% - Ênfase1 10" xfId="1550" xr:uid="{00000000-0005-0000-0000-00000B000000}"/>
    <cellStyle name="20% - Ênfase1 11" xfId="1844" xr:uid="{00000000-0005-0000-0000-00000C000000}"/>
    <cellStyle name="20% - Ênfase1 12" xfId="2345" xr:uid="{00000000-0005-0000-0000-00000D000000}"/>
    <cellStyle name="20% - Ênfase1 13" xfId="2575" xr:uid="{00000000-0005-0000-0000-00000E000000}"/>
    <cellStyle name="20% - Ênfase1 14" xfId="2806" xr:uid="{00000000-0005-0000-0000-00000F000000}"/>
    <cellStyle name="20% - Ênfase1 15" xfId="2856" xr:uid="{00000000-0005-0000-0000-000010000000}"/>
    <cellStyle name="20% - Ênfase1 16" xfId="3382" xr:uid="{00000000-0005-0000-0000-000011000000}"/>
    <cellStyle name="20% - Ênfase1 17" xfId="3612" xr:uid="{00000000-0005-0000-0000-000012000000}"/>
    <cellStyle name="20% - Ênfase1 18" xfId="3648" xr:uid="{00000000-0005-0000-0000-000013000000}"/>
    <cellStyle name="20% - Ênfase1 19" xfId="3874" xr:uid="{00000000-0005-0000-0000-000014000000}"/>
    <cellStyle name="20% - Ênfase1 2" xfId="62" xr:uid="{00000000-0005-0000-0000-000015000000}"/>
    <cellStyle name="20% - Ênfase1 3" xfId="462" xr:uid="{00000000-0005-0000-0000-000016000000}"/>
    <cellStyle name="20% - Ênfase1 3 2" xfId="638" xr:uid="{00000000-0005-0000-0000-000017000000}"/>
    <cellStyle name="20% - Ênfase1 3 2 2" xfId="1109" xr:uid="{00000000-0005-0000-0000-000018000000}"/>
    <cellStyle name="20% - Ênfase1 3 2 3" xfId="1431" xr:uid="{00000000-0005-0000-0000-000019000000}"/>
    <cellStyle name="20% - Ênfase1 3 2 4" xfId="1733" xr:uid="{00000000-0005-0000-0000-00001A000000}"/>
    <cellStyle name="20% - Ênfase1 3 2 5" xfId="3054" xr:uid="{00000000-0005-0000-0000-00001B000000}"/>
    <cellStyle name="20% - Ênfase1 3 2 6" xfId="4071" xr:uid="{00000000-0005-0000-0000-00001C000000}"/>
    <cellStyle name="20% - Ênfase1 3 3" xfId="960" xr:uid="{00000000-0005-0000-0000-00001D000000}"/>
    <cellStyle name="20% - Ênfase1 3 4" xfId="1272" xr:uid="{00000000-0005-0000-0000-00001E000000}"/>
    <cellStyle name="20% - Ênfase1 3 5" xfId="1581" xr:uid="{00000000-0005-0000-0000-00001F000000}"/>
    <cellStyle name="20% - Ênfase1 3 6" xfId="3287" xr:uid="{00000000-0005-0000-0000-000020000000}"/>
    <cellStyle name="20% - Ênfase1 3 7" xfId="3904" xr:uid="{00000000-0005-0000-0000-000021000000}"/>
    <cellStyle name="20% - Ênfase1 4" xfId="476" xr:uid="{00000000-0005-0000-0000-000022000000}"/>
    <cellStyle name="20% - Ênfase1 4 2" xfId="652" xr:uid="{00000000-0005-0000-0000-000023000000}"/>
    <cellStyle name="20% - Ênfase1 4 2 2" xfId="1123" xr:uid="{00000000-0005-0000-0000-000024000000}"/>
    <cellStyle name="20% - Ênfase1 4 2 3" xfId="1445" xr:uid="{00000000-0005-0000-0000-000025000000}"/>
    <cellStyle name="20% - Ênfase1 4 2 4" xfId="1747" xr:uid="{00000000-0005-0000-0000-000026000000}"/>
    <cellStyle name="20% - Ênfase1 4 2 5" xfId="3039" xr:uid="{00000000-0005-0000-0000-000027000000}"/>
    <cellStyle name="20% - Ênfase1 4 2 6" xfId="4085" xr:uid="{00000000-0005-0000-0000-000028000000}"/>
    <cellStyle name="20% - Ênfase1 4 3" xfId="974" xr:uid="{00000000-0005-0000-0000-000029000000}"/>
    <cellStyle name="20% - Ênfase1 4 4" xfId="1286" xr:uid="{00000000-0005-0000-0000-00002A000000}"/>
    <cellStyle name="20% - Ênfase1 4 5" xfId="1595" xr:uid="{00000000-0005-0000-0000-00002B000000}"/>
    <cellStyle name="20% - Ênfase1 4 6" xfId="3295" xr:uid="{00000000-0005-0000-0000-00002C000000}"/>
    <cellStyle name="20% - Ênfase1 4 7" xfId="3918" xr:uid="{00000000-0005-0000-0000-00002D000000}"/>
    <cellStyle name="20% - Ênfase1 5" xfId="519" xr:uid="{00000000-0005-0000-0000-00002E000000}"/>
    <cellStyle name="20% - Ênfase1 5 2" xfId="694" xr:uid="{00000000-0005-0000-0000-00002F000000}"/>
    <cellStyle name="20% - Ênfase1 5 2 2" xfId="1155" xr:uid="{00000000-0005-0000-0000-000030000000}"/>
    <cellStyle name="20% - Ênfase1 5 2 3" xfId="1480" xr:uid="{00000000-0005-0000-0000-000031000000}"/>
    <cellStyle name="20% - Ênfase1 5 2 4" xfId="1782" xr:uid="{00000000-0005-0000-0000-000032000000}"/>
    <cellStyle name="20% - Ênfase1 5 2 5" xfId="3008" xr:uid="{00000000-0005-0000-0000-000033000000}"/>
    <cellStyle name="20% - Ênfase1 5 2 6" xfId="4126" xr:uid="{00000000-0005-0000-0000-000034000000}"/>
    <cellStyle name="20% - Ênfase1 5 3" xfId="1006" xr:uid="{00000000-0005-0000-0000-000035000000}"/>
    <cellStyle name="20% - Ênfase1 5 4" xfId="1322" xr:uid="{00000000-0005-0000-0000-000036000000}"/>
    <cellStyle name="20% - Ênfase1 5 5" xfId="1624" xr:uid="{00000000-0005-0000-0000-000037000000}"/>
    <cellStyle name="20% - Ênfase1 5 6" xfId="3158" xr:uid="{00000000-0005-0000-0000-000038000000}"/>
    <cellStyle name="20% - Ênfase1 5 7" xfId="3956" xr:uid="{00000000-0005-0000-0000-000039000000}"/>
    <cellStyle name="20% - Ênfase1 6" xfId="600" xr:uid="{00000000-0005-0000-0000-00003A000000}"/>
    <cellStyle name="20% - Ênfase1 6 2" xfId="1074" xr:uid="{00000000-0005-0000-0000-00003B000000}"/>
    <cellStyle name="20% - Ênfase1 6 3" xfId="1393" xr:uid="{00000000-0005-0000-0000-00003C000000}"/>
    <cellStyle name="20% - Ênfase1 6 4" xfId="1695" xr:uid="{00000000-0005-0000-0000-00003D000000}"/>
    <cellStyle name="20% - Ênfase1 6 5" xfId="3324" xr:uid="{00000000-0005-0000-0000-00003E000000}"/>
    <cellStyle name="20% - Ênfase1 6 6" xfId="4033" xr:uid="{00000000-0005-0000-0000-00003F000000}"/>
    <cellStyle name="20% - Ênfase1 7" xfId="718" xr:uid="{00000000-0005-0000-0000-000040000000}"/>
    <cellStyle name="20% - Ênfase1 7 2" xfId="1179" xr:uid="{00000000-0005-0000-0000-000041000000}"/>
    <cellStyle name="20% - Ênfase1 7 3" xfId="1504" xr:uid="{00000000-0005-0000-0000-000042000000}"/>
    <cellStyle name="20% - Ênfase1 7 4" xfId="1806" xr:uid="{00000000-0005-0000-0000-000043000000}"/>
    <cellStyle name="20% - Ênfase1 7 5" xfId="3357" xr:uid="{00000000-0005-0000-0000-000044000000}"/>
    <cellStyle name="20% - Ênfase1 7 6" xfId="4150" xr:uid="{00000000-0005-0000-0000-000045000000}"/>
    <cellStyle name="20% - Ênfase1 8" xfId="923" xr:uid="{00000000-0005-0000-0000-000046000000}"/>
    <cellStyle name="20% - Ênfase1 9" xfId="1234" xr:uid="{00000000-0005-0000-0000-000047000000}"/>
    <cellStyle name="20% - Ênfase2" xfId="345" builtinId="34" customBuiltin="1"/>
    <cellStyle name="20% - Ênfase2 10" xfId="1552" xr:uid="{00000000-0005-0000-0000-000049000000}"/>
    <cellStyle name="20% - Ênfase2 11" xfId="1845" xr:uid="{00000000-0005-0000-0000-00004A000000}"/>
    <cellStyle name="20% - Ênfase2 12" xfId="2346" xr:uid="{00000000-0005-0000-0000-00004B000000}"/>
    <cellStyle name="20% - Ênfase2 13" xfId="2576" xr:uid="{00000000-0005-0000-0000-00004C000000}"/>
    <cellStyle name="20% - Ênfase2 14" xfId="2808" xr:uid="{00000000-0005-0000-0000-00004D000000}"/>
    <cellStyle name="20% - Ênfase2 15" xfId="2857" xr:uid="{00000000-0005-0000-0000-00004E000000}"/>
    <cellStyle name="20% - Ênfase2 16" xfId="3383" xr:uid="{00000000-0005-0000-0000-00004F000000}"/>
    <cellStyle name="20% - Ênfase2 17" xfId="3614" xr:uid="{00000000-0005-0000-0000-000050000000}"/>
    <cellStyle name="20% - Ênfase2 18" xfId="3649" xr:uid="{00000000-0005-0000-0000-000051000000}"/>
    <cellStyle name="20% - Ênfase2 19" xfId="3876" xr:uid="{00000000-0005-0000-0000-000052000000}"/>
    <cellStyle name="20% - Ênfase2 2" xfId="63" xr:uid="{00000000-0005-0000-0000-000053000000}"/>
    <cellStyle name="20% - Ênfase2 3" xfId="464" xr:uid="{00000000-0005-0000-0000-000054000000}"/>
    <cellStyle name="20% - Ênfase2 3 2" xfId="640" xr:uid="{00000000-0005-0000-0000-000055000000}"/>
    <cellStyle name="20% - Ênfase2 3 2 2" xfId="1111" xr:uid="{00000000-0005-0000-0000-000056000000}"/>
    <cellStyle name="20% - Ênfase2 3 2 3" xfId="1433" xr:uid="{00000000-0005-0000-0000-000057000000}"/>
    <cellStyle name="20% - Ênfase2 3 2 4" xfId="1735" xr:uid="{00000000-0005-0000-0000-000058000000}"/>
    <cellStyle name="20% - Ênfase2 3 2 5" xfId="3052" xr:uid="{00000000-0005-0000-0000-000059000000}"/>
    <cellStyle name="20% - Ênfase2 3 2 6" xfId="4073" xr:uid="{00000000-0005-0000-0000-00005A000000}"/>
    <cellStyle name="20% - Ênfase2 3 3" xfId="962" xr:uid="{00000000-0005-0000-0000-00005B000000}"/>
    <cellStyle name="20% - Ênfase2 3 4" xfId="1274" xr:uid="{00000000-0005-0000-0000-00005C000000}"/>
    <cellStyle name="20% - Ênfase2 3 5" xfId="1583" xr:uid="{00000000-0005-0000-0000-00005D000000}"/>
    <cellStyle name="20% - Ênfase2 3 6" xfId="3175" xr:uid="{00000000-0005-0000-0000-00005E000000}"/>
    <cellStyle name="20% - Ênfase2 3 7" xfId="3906" xr:uid="{00000000-0005-0000-0000-00005F000000}"/>
    <cellStyle name="20% - Ênfase2 4" xfId="478" xr:uid="{00000000-0005-0000-0000-000060000000}"/>
    <cellStyle name="20% - Ênfase2 4 2" xfId="654" xr:uid="{00000000-0005-0000-0000-000061000000}"/>
    <cellStyle name="20% - Ênfase2 4 2 2" xfId="1125" xr:uid="{00000000-0005-0000-0000-000062000000}"/>
    <cellStyle name="20% - Ênfase2 4 2 3" xfId="1447" xr:uid="{00000000-0005-0000-0000-000063000000}"/>
    <cellStyle name="20% - Ênfase2 4 2 4" xfId="1749" xr:uid="{00000000-0005-0000-0000-000064000000}"/>
    <cellStyle name="20% - Ênfase2 4 2 5" xfId="3037" xr:uid="{00000000-0005-0000-0000-000065000000}"/>
    <cellStyle name="20% - Ênfase2 4 2 6" xfId="4087" xr:uid="{00000000-0005-0000-0000-000066000000}"/>
    <cellStyle name="20% - Ênfase2 4 3" xfId="976" xr:uid="{00000000-0005-0000-0000-000067000000}"/>
    <cellStyle name="20% - Ênfase2 4 4" xfId="1288" xr:uid="{00000000-0005-0000-0000-000068000000}"/>
    <cellStyle name="20% - Ênfase2 4 5" xfId="1597" xr:uid="{00000000-0005-0000-0000-000069000000}"/>
    <cellStyle name="20% - Ênfase2 4 6" xfId="3297" xr:uid="{00000000-0005-0000-0000-00006A000000}"/>
    <cellStyle name="20% - Ênfase2 4 7" xfId="3920" xr:uid="{00000000-0005-0000-0000-00006B000000}"/>
    <cellStyle name="20% - Ênfase2 5" xfId="521" xr:uid="{00000000-0005-0000-0000-00006C000000}"/>
    <cellStyle name="20% - Ênfase2 5 2" xfId="696" xr:uid="{00000000-0005-0000-0000-00006D000000}"/>
    <cellStyle name="20% - Ênfase2 5 2 2" xfId="1157" xr:uid="{00000000-0005-0000-0000-00006E000000}"/>
    <cellStyle name="20% - Ênfase2 5 2 3" xfId="1482" xr:uid="{00000000-0005-0000-0000-00006F000000}"/>
    <cellStyle name="20% - Ênfase2 5 2 4" xfId="1784" xr:uid="{00000000-0005-0000-0000-000070000000}"/>
    <cellStyle name="20% - Ênfase2 5 2 5" xfId="3006" xr:uid="{00000000-0005-0000-0000-000071000000}"/>
    <cellStyle name="20% - Ênfase2 5 2 6" xfId="4128" xr:uid="{00000000-0005-0000-0000-000072000000}"/>
    <cellStyle name="20% - Ênfase2 5 3" xfId="1008" xr:uid="{00000000-0005-0000-0000-000073000000}"/>
    <cellStyle name="20% - Ênfase2 5 4" xfId="1324" xr:uid="{00000000-0005-0000-0000-000074000000}"/>
    <cellStyle name="20% - Ênfase2 5 5" xfId="1626" xr:uid="{00000000-0005-0000-0000-000075000000}"/>
    <cellStyle name="20% - Ênfase2 5 6" xfId="3156" xr:uid="{00000000-0005-0000-0000-000076000000}"/>
    <cellStyle name="20% - Ênfase2 5 7" xfId="3958" xr:uid="{00000000-0005-0000-0000-000077000000}"/>
    <cellStyle name="20% - Ênfase2 6" xfId="602" xr:uid="{00000000-0005-0000-0000-000078000000}"/>
    <cellStyle name="20% - Ênfase2 6 2" xfId="1076" xr:uid="{00000000-0005-0000-0000-000079000000}"/>
    <cellStyle name="20% - Ênfase2 6 3" xfId="1395" xr:uid="{00000000-0005-0000-0000-00007A000000}"/>
    <cellStyle name="20% - Ênfase2 6 4" xfId="1697" xr:uid="{00000000-0005-0000-0000-00007B000000}"/>
    <cellStyle name="20% - Ênfase2 6 5" xfId="3089" xr:uid="{00000000-0005-0000-0000-00007C000000}"/>
    <cellStyle name="20% - Ênfase2 6 6" xfId="4035" xr:uid="{00000000-0005-0000-0000-00007D000000}"/>
    <cellStyle name="20% - Ênfase2 7" xfId="719" xr:uid="{00000000-0005-0000-0000-00007E000000}"/>
    <cellStyle name="20% - Ênfase2 7 2" xfId="1180" xr:uid="{00000000-0005-0000-0000-00007F000000}"/>
    <cellStyle name="20% - Ênfase2 7 3" xfId="1505" xr:uid="{00000000-0005-0000-0000-000080000000}"/>
    <cellStyle name="20% - Ênfase2 7 4" xfId="1807" xr:uid="{00000000-0005-0000-0000-000081000000}"/>
    <cellStyle name="20% - Ênfase2 7 5" xfId="3358" xr:uid="{00000000-0005-0000-0000-000082000000}"/>
    <cellStyle name="20% - Ênfase2 7 6" xfId="4151" xr:uid="{00000000-0005-0000-0000-000083000000}"/>
    <cellStyle name="20% - Ênfase2 8" xfId="925" xr:uid="{00000000-0005-0000-0000-000084000000}"/>
    <cellStyle name="20% - Ênfase2 9" xfId="1236" xr:uid="{00000000-0005-0000-0000-000085000000}"/>
    <cellStyle name="20% - Ênfase3" xfId="349" builtinId="38" customBuiltin="1"/>
    <cellStyle name="20% - Ênfase3 10" xfId="1555" xr:uid="{00000000-0005-0000-0000-000087000000}"/>
    <cellStyle name="20% - Ênfase3 11" xfId="1846" xr:uid="{00000000-0005-0000-0000-000088000000}"/>
    <cellStyle name="20% - Ênfase3 12" xfId="2347" xr:uid="{00000000-0005-0000-0000-000089000000}"/>
    <cellStyle name="20% - Ênfase3 13" xfId="2577" xr:uid="{00000000-0005-0000-0000-00008A000000}"/>
    <cellStyle name="20% - Ênfase3 14" xfId="2810" xr:uid="{00000000-0005-0000-0000-00008B000000}"/>
    <cellStyle name="20% - Ênfase3 15" xfId="2858" xr:uid="{00000000-0005-0000-0000-00008C000000}"/>
    <cellStyle name="20% - Ênfase3 16" xfId="3384" xr:uid="{00000000-0005-0000-0000-00008D000000}"/>
    <cellStyle name="20% - Ênfase3 17" xfId="3616" xr:uid="{00000000-0005-0000-0000-00008E000000}"/>
    <cellStyle name="20% - Ênfase3 18" xfId="3650" xr:uid="{00000000-0005-0000-0000-00008F000000}"/>
    <cellStyle name="20% - Ênfase3 19" xfId="3878" xr:uid="{00000000-0005-0000-0000-000090000000}"/>
    <cellStyle name="20% - Ênfase3 2" xfId="64" xr:uid="{00000000-0005-0000-0000-000091000000}"/>
    <cellStyle name="20% - Ênfase3 3" xfId="466" xr:uid="{00000000-0005-0000-0000-000092000000}"/>
    <cellStyle name="20% - Ênfase3 3 2" xfId="642" xr:uid="{00000000-0005-0000-0000-000093000000}"/>
    <cellStyle name="20% - Ênfase3 3 2 2" xfId="1113" xr:uid="{00000000-0005-0000-0000-000094000000}"/>
    <cellStyle name="20% - Ênfase3 3 2 3" xfId="1435" xr:uid="{00000000-0005-0000-0000-000095000000}"/>
    <cellStyle name="20% - Ênfase3 3 2 4" xfId="1737" xr:uid="{00000000-0005-0000-0000-000096000000}"/>
    <cellStyle name="20% - Ênfase3 3 2 5" xfId="3050" xr:uid="{00000000-0005-0000-0000-000097000000}"/>
    <cellStyle name="20% - Ênfase3 3 2 6" xfId="4075" xr:uid="{00000000-0005-0000-0000-000098000000}"/>
    <cellStyle name="20% - Ênfase3 3 3" xfId="964" xr:uid="{00000000-0005-0000-0000-000099000000}"/>
    <cellStyle name="20% - Ênfase3 3 4" xfId="1276" xr:uid="{00000000-0005-0000-0000-00009A000000}"/>
    <cellStyle name="20% - Ênfase3 3 5" xfId="1585" xr:uid="{00000000-0005-0000-0000-00009B000000}"/>
    <cellStyle name="20% - Ênfase3 3 6" xfId="3218" xr:uid="{00000000-0005-0000-0000-00009C000000}"/>
    <cellStyle name="20% - Ênfase3 3 7" xfId="3908" xr:uid="{00000000-0005-0000-0000-00009D000000}"/>
    <cellStyle name="20% - Ênfase3 4" xfId="481" xr:uid="{00000000-0005-0000-0000-00009E000000}"/>
    <cellStyle name="20% - Ênfase3 4 2" xfId="657" xr:uid="{00000000-0005-0000-0000-00009F000000}"/>
    <cellStyle name="20% - Ênfase3 4 2 2" xfId="1127" xr:uid="{00000000-0005-0000-0000-0000A0000000}"/>
    <cellStyle name="20% - Ênfase3 4 2 3" xfId="1449" xr:uid="{00000000-0005-0000-0000-0000A1000000}"/>
    <cellStyle name="20% - Ênfase3 4 2 4" xfId="1751" xr:uid="{00000000-0005-0000-0000-0000A2000000}"/>
    <cellStyle name="20% - Ênfase3 4 2 5" xfId="3033" xr:uid="{00000000-0005-0000-0000-0000A3000000}"/>
    <cellStyle name="20% - Ênfase3 4 2 6" xfId="4090" xr:uid="{00000000-0005-0000-0000-0000A4000000}"/>
    <cellStyle name="20% - Ênfase3 4 3" xfId="978" xr:uid="{00000000-0005-0000-0000-0000A5000000}"/>
    <cellStyle name="20% - Ênfase3 4 4" xfId="1290" xr:uid="{00000000-0005-0000-0000-0000A6000000}"/>
    <cellStyle name="20% - Ênfase3 4 5" xfId="1599" xr:uid="{00000000-0005-0000-0000-0000A7000000}"/>
    <cellStyle name="20% - Ênfase3 4 6" xfId="3299" xr:uid="{00000000-0005-0000-0000-0000A8000000}"/>
    <cellStyle name="20% - Ênfase3 4 7" xfId="3922" xr:uid="{00000000-0005-0000-0000-0000A9000000}"/>
    <cellStyle name="20% - Ênfase3 5" xfId="523" xr:uid="{00000000-0005-0000-0000-0000AA000000}"/>
    <cellStyle name="20% - Ênfase3 5 2" xfId="698" xr:uid="{00000000-0005-0000-0000-0000AB000000}"/>
    <cellStyle name="20% - Ênfase3 5 2 2" xfId="1159" xr:uid="{00000000-0005-0000-0000-0000AC000000}"/>
    <cellStyle name="20% - Ênfase3 5 2 3" xfId="1484" xr:uid="{00000000-0005-0000-0000-0000AD000000}"/>
    <cellStyle name="20% - Ênfase3 5 2 4" xfId="1786" xr:uid="{00000000-0005-0000-0000-0000AE000000}"/>
    <cellStyle name="20% - Ênfase3 5 2 5" xfId="3338" xr:uid="{00000000-0005-0000-0000-0000AF000000}"/>
    <cellStyle name="20% - Ênfase3 5 2 6" xfId="4130" xr:uid="{00000000-0005-0000-0000-0000B0000000}"/>
    <cellStyle name="20% - Ênfase3 5 3" xfId="1010" xr:uid="{00000000-0005-0000-0000-0000B1000000}"/>
    <cellStyle name="20% - Ênfase3 5 4" xfId="1326" xr:uid="{00000000-0005-0000-0000-0000B2000000}"/>
    <cellStyle name="20% - Ênfase3 5 5" xfId="1628" xr:uid="{00000000-0005-0000-0000-0000B3000000}"/>
    <cellStyle name="20% - Ênfase3 5 6" xfId="3154" xr:uid="{00000000-0005-0000-0000-0000B4000000}"/>
    <cellStyle name="20% - Ênfase3 5 7" xfId="3960" xr:uid="{00000000-0005-0000-0000-0000B5000000}"/>
    <cellStyle name="20% - Ênfase3 6" xfId="604" xr:uid="{00000000-0005-0000-0000-0000B6000000}"/>
    <cellStyle name="20% - Ênfase3 6 2" xfId="1078" xr:uid="{00000000-0005-0000-0000-0000B7000000}"/>
    <cellStyle name="20% - Ênfase3 6 3" xfId="1397" xr:uid="{00000000-0005-0000-0000-0000B8000000}"/>
    <cellStyle name="20% - Ênfase3 6 4" xfId="1699" xr:uid="{00000000-0005-0000-0000-0000B9000000}"/>
    <cellStyle name="20% - Ênfase3 6 5" xfId="3087" xr:uid="{00000000-0005-0000-0000-0000BA000000}"/>
    <cellStyle name="20% - Ênfase3 6 6" xfId="4037" xr:uid="{00000000-0005-0000-0000-0000BB000000}"/>
    <cellStyle name="20% - Ênfase3 7" xfId="720" xr:uid="{00000000-0005-0000-0000-0000BC000000}"/>
    <cellStyle name="20% - Ênfase3 7 2" xfId="1181" xr:uid="{00000000-0005-0000-0000-0000BD000000}"/>
    <cellStyle name="20% - Ênfase3 7 3" xfId="1506" xr:uid="{00000000-0005-0000-0000-0000BE000000}"/>
    <cellStyle name="20% - Ênfase3 7 4" xfId="1808" xr:uid="{00000000-0005-0000-0000-0000BF000000}"/>
    <cellStyle name="20% - Ênfase3 7 5" xfId="3359" xr:uid="{00000000-0005-0000-0000-0000C0000000}"/>
    <cellStyle name="20% - Ênfase3 7 6" xfId="4152" xr:uid="{00000000-0005-0000-0000-0000C1000000}"/>
    <cellStyle name="20% - Ênfase3 8" xfId="927" xr:uid="{00000000-0005-0000-0000-0000C2000000}"/>
    <cellStyle name="20% - Ênfase3 9" xfId="1238" xr:uid="{00000000-0005-0000-0000-0000C3000000}"/>
    <cellStyle name="20% - Ênfase4" xfId="353" builtinId="42" customBuiltin="1"/>
    <cellStyle name="20% - Ênfase4 10" xfId="1557" xr:uid="{00000000-0005-0000-0000-0000C5000000}"/>
    <cellStyle name="20% - Ênfase4 11" xfId="1848" xr:uid="{00000000-0005-0000-0000-0000C6000000}"/>
    <cellStyle name="20% - Ênfase4 12" xfId="2348" xr:uid="{00000000-0005-0000-0000-0000C7000000}"/>
    <cellStyle name="20% - Ênfase4 13" xfId="2578" xr:uid="{00000000-0005-0000-0000-0000C8000000}"/>
    <cellStyle name="20% - Ênfase4 14" xfId="2812" xr:uid="{00000000-0005-0000-0000-0000C9000000}"/>
    <cellStyle name="20% - Ênfase4 15" xfId="2859" xr:uid="{00000000-0005-0000-0000-0000CA000000}"/>
    <cellStyle name="20% - Ênfase4 16" xfId="3385" xr:uid="{00000000-0005-0000-0000-0000CB000000}"/>
    <cellStyle name="20% - Ênfase4 17" xfId="3618" xr:uid="{00000000-0005-0000-0000-0000CC000000}"/>
    <cellStyle name="20% - Ênfase4 18" xfId="3651" xr:uid="{00000000-0005-0000-0000-0000CD000000}"/>
    <cellStyle name="20% - Ênfase4 19" xfId="3880" xr:uid="{00000000-0005-0000-0000-0000CE000000}"/>
    <cellStyle name="20% - Ênfase4 2" xfId="65" xr:uid="{00000000-0005-0000-0000-0000CF000000}"/>
    <cellStyle name="20% - Ênfase4 3" xfId="468" xr:uid="{00000000-0005-0000-0000-0000D0000000}"/>
    <cellStyle name="20% - Ênfase4 3 2" xfId="644" xr:uid="{00000000-0005-0000-0000-0000D1000000}"/>
    <cellStyle name="20% - Ênfase4 3 2 2" xfId="1115" xr:uid="{00000000-0005-0000-0000-0000D2000000}"/>
    <cellStyle name="20% - Ênfase4 3 2 3" xfId="1437" xr:uid="{00000000-0005-0000-0000-0000D3000000}"/>
    <cellStyle name="20% - Ênfase4 3 2 4" xfId="1739" xr:uid="{00000000-0005-0000-0000-0000D4000000}"/>
    <cellStyle name="20% - Ênfase4 3 2 5" xfId="3047" xr:uid="{00000000-0005-0000-0000-0000D5000000}"/>
    <cellStyle name="20% - Ênfase4 3 2 6" xfId="4077" xr:uid="{00000000-0005-0000-0000-0000D6000000}"/>
    <cellStyle name="20% - Ênfase4 3 3" xfId="966" xr:uid="{00000000-0005-0000-0000-0000D7000000}"/>
    <cellStyle name="20% - Ênfase4 3 4" xfId="1278" xr:uid="{00000000-0005-0000-0000-0000D8000000}"/>
    <cellStyle name="20% - Ênfase4 3 5" xfId="1587" xr:uid="{00000000-0005-0000-0000-0000D9000000}"/>
    <cellStyle name="20% - Ênfase4 3 6" xfId="3289" xr:uid="{00000000-0005-0000-0000-0000DA000000}"/>
    <cellStyle name="20% - Ênfase4 3 7" xfId="3910" xr:uid="{00000000-0005-0000-0000-0000DB000000}"/>
    <cellStyle name="20% - Ênfase4 4" xfId="483" xr:uid="{00000000-0005-0000-0000-0000DC000000}"/>
    <cellStyle name="20% - Ênfase4 4 2" xfId="659" xr:uid="{00000000-0005-0000-0000-0000DD000000}"/>
    <cellStyle name="20% - Ênfase4 4 2 2" xfId="1129" xr:uid="{00000000-0005-0000-0000-0000DE000000}"/>
    <cellStyle name="20% - Ênfase4 4 2 3" xfId="1451" xr:uid="{00000000-0005-0000-0000-0000DF000000}"/>
    <cellStyle name="20% - Ênfase4 4 2 4" xfId="1753" xr:uid="{00000000-0005-0000-0000-0000E0000000}"/>
    <cellStyle name="20% - Ênfase4 4 2 5" xfId="3031" xr:uid="{00000000-0005-0000-0000-0000E1000000}"/>
    <cellStyle name="20% - Ênfase4 4 2 6" xfId="4092" xr:uid="{00000000-0005-0000-0000-0000E2000000}"/>
    <cellStyle name="20% - Ênfase4 4 3" xfId="980" xr:uid="{00000000-0005-0000-0000-0000E3000000}"/>
    <cellStyle name="20% - Ênfase4 4 4" xfId="1292" xr:uid="{00000000-0005-0000-0000-0000E4000000}"/>
    <cellStyle name="20% - Ênfase4 4 5" xfId="1601" xr:uid="{00000000-0005-0000-0000-0000E5000000}"/>
    <cellStyle name="20% - Ênfase4 4 6" xfId="3300" xr:uid="{00000000-0005-0000-0000-0000E6000000}"/>
    <cellStyle name="20% - Ênfase4 4 7" xfId="3924" xr:uid="{00000000-0005-0000-0000-0000E7000000}"/>
    <cellStyle name="20% - Ênfase4 5" xfId="525" xr:uid="{00000000-0005-0000-0000-0000E8000000}"/>
    <cellStyle name="20% - Ênfase4 5 2" xfId="700" xr:uid="{00000000-0005-0000-0000-0000E9000000}"/>
    <cellStyle name="20% - Ênfase4 5 2 2" xfId="1161" xr:uid="{00000000-0005-0000-0000-0000EA000000}"/>
    <cellStyle name="20% - Ênfase4 5 2 3" xfId="1486" xr:uid="{00000000-0005-0000-0000-0000EB000000}"/>
    <cellStyle name="20% - Ênfase4 5 2 4" xfId="1788" xr:uid="{00000000-0005-0000-0000-0000EC000000}"/>
    <cellStyle name="20% - Ênfase4 5 2 5" xfId="3004" xr:uid="{00000000-0005-0000-0000-0000ED000000}"/>
    <cellStyle name="20% - Ênfase4 5 2 6" xfId="4132" xr:uid="{00000000-0005-0000-0000-0000EE000000}"/>
    <cellStyle name="20% - Ênfase4 5 3" xfId="1012" xr:uid="{00000000-0005-0000-0000-0000EF000000}"/>
    <cellStyle name="20% - Ênfase4 5 4" xfId="1328" xr:uid="{00000000-0005-0000-0000-0000F0000000}"/>
    <cellStyle name="20% - Ênfase4 5 5" xfId="1630" xr:uid="{00000000-0005-0000-0000-0000F1000000}"/>
    <cellStyle name="20% - Ênfase4 5 6" xfId="3152" xr:uid="{00000000-0005-0000-0000-0000F2000000}"/>
    <cellStyle name="20% - Ênfase4 5 7" xfId="3962" xr:uid="{00000000-0005-0000-0000-0000F3000000}"/>
    <cellStyle name="20% - Ênfase4 6" xfId="606" xr:uid="{00000000-0005-0000-0000-0000F4000000}"/>
    <cellStyle name="20% - Ênfase4 6 2" xfId="1080" xr:uid="{00000000-0005-0000-0000-0000F5000000}"/>
    <cellStyle name="20% - Ênfase4 6 3" xfId="1399" xr:uid="{00000000-0005-0000-0000-0000F6000000}"/>
    <cellStyle name="20% - Ênfase4 6 4" xfId="1701" xr:uid="{00000000-0005-0000-0000-0000F7000000}"/>
    <cellStyle name="20% - Ênfase4 6 5" xfId="3085" xr:uid="{00000000-0005-0000-0000-0000F8000000}"/>
    <cellStyle name="20% - Ênfase4 6 6" xfId="4039" xr:uid="{00000000-0005-0000-0000-0000F9000000}"/>
    <cellStyle name="20% - Ênfase4 7" xfId="721" xr:uid="{00000000-0005-0000-0000-0000FA000000}"/>
    <cellStyle name="20% - Ênfase4 7 2" xfId="1182" xr:uid="{00000000-0005-0000-0000-0000FB000000}"/>
    <cellStyle name="20% - Ênfase4 7 3" xfId="1507" xr:uid="{00000000-0005-0000-0000-0000FC000000}"/>
    <cellStyle name="20% - Ênfase4 7 4" xfId="1809" xr:uid="{00000000-0005-0000-0000-0000FD000000}"/>
    <cellStyle name="20% - Ênfase4 7 5" xfId="3360" xr:uid="{00000000-0005-0000-0000-0000FE000000}"/>
    <cellStyle name="20% - Ênfase4 7 6" xfId="4153" xr:uid="{00000000-0005-0000-0000-0000FF000000}"/>
    <cellStyle name="20% - Ênfase4 8" xfId="929" xr:uid="{00000000-0005-0000-0000-000000010000}"/>
    <cellStyle name="20% - Ênfase4 9" xfId="1240" xr:uid="{00000000-0005-0000-0000-000001010000}"/>
    <cellStyle name="20% - Ênfase5" xfId="357" builtinId="46" customBuiltin="1"/>
    <cellStyle name="20% - Ênfase5 10" xfId="1559" xr:uid="{00000000-0005-0000-0000-000003010000}"/>
    <cellStyle name="20% - Ênfase5 11" xfId="1850" xr:uid="{00000000-0005-0000-0000-000004010000}"/>
    <cellStyle name="20% - Ênfase5 12" xfId="2349" xr:uid="{00000000-0005-0000-0000-000005010000}"/>
    <cellStyle name="20% - Ênfase5 13" xfId="2579" xr:uid="{00000000-0005-0000-0000-000006010000}"/>
    <cellStyle name="20% - Ênfase5 14" xfId="2814" xr:uid="{00000000-0005-0000-0000-000007010000}"/>
    <cellStyle name="20% - Ênfase5 15" xfId="2860" xr:uid="{00000000-0005-0000-0000-000008010000}"/>
    <cellStyle name="20% - Ênfase5 16" xfId="3386" xr:uid="{00000000-0005-0000-0000-000009010000}"/>
    <cellStyle name="20% - Ênfase5 17" xfId="3620" xr:uid="{00000000-0005-0000-0000-00000A010000}"/>
    <cellStyle name="20% - Ênfase5 18" xfId="3652" xr:uid="{00000000-0005-0000-0000-00000B010000}"/>
    <cellStyle name="20% - Ênfase5 19" xfId="3882" xr:uid="{00000000-0005-0000-0000-00000C010000}"/>
    <cellStyle name="20% - Ênfase5 2" xfId="66" xr:uid="{00000000-0005-0000-0000-00000D010000}"/>
    <cellStyle name="20% - Ênfase5 3" xfId="470" xr:uid="{00000000-0005-0000-0000-00000E010000}"/>
    <cellStyle name="20% - Ênfase5 3 2" xfId="646" xr:uid="{00000000-0005-0000-0000-00000F010000}"/>
    <cellStyle name="20% - Ênfase5 3 2 2" xfId="1117" xr:uid="{00000000-0005-0000-0000-000010010000}"/>
    <cellStyle name="20% - Ênfase5 3 2 3" xfId="1439" xr:uid="{00000000-0005-0000-0000-000011010000}"/>
    <cellStyle name="20% - Ênfase5 3 2 4" xfId="1741" xr:uid="{00000000-0005-0000-0000-000012010000}"/>
    <cellStyle name="20% - Ênfase5 3 2 5" xfId="3045" xr:uid="{00000000-0005-0000-0000-000013010000}"/>
    <cellStyle name="20% - Ênfase5 3 2 6" xfId="4079" xr:uid="{00000000-0005-0000-0000-000014010000}"/>
    <cellStyle name="20% - Ênfase5 3 3" xfId="968" xr:uid="{00000000-0005-0000-0000-000015010000}"/>
    <cellStyle name="20% - Ênfase5 3 4" xfId="1280" xr:uid="{00000000-0005-0000-0000-000016010000}"/>
    <cellStyle name="20% - Ênfase5 3 5" xfId="1589" xr:uid="{00000000-0005-0000-0000-000017010000}"/>
    <cellStyle name="20% - Ênfase5 3 6" xfId="3290" xr:uid="{00000000-0005-0000-0000-000018010000}"/>
    <cellStyle name="20% - Ênfase5 3 7" xfId="3912" xr:uid="{00000000-0005-0000-0000-000019010000}"/>
    <cellStyle name="20% - Ênfase5 4" xfId="485" xr:uid="{00000000-0005-0000-0000-00001A010000}"/>
    <cellStyle name="20% - Ênfase5 4 2" xfId="661" xr:uid="{00000000-0005-0000-0000-00001B010000}"/>
    <cellStyle name="20% - Ênfase5 4 2 2" xfId="1131" xr:uid="{00000000-0005-0000-0000-00001C010000}"/>
    <cellStyle name="20% - Ênfase5 4 2 3" xfId="1453" xr:uid="{00000000-0005-0000-0000-00001D010000}"/>
    <cellStyle name="20% - Ênfase5 4 2 4" xfId="1755" xr:uid="{00000000-0005-0000-0000-00001E010000}"/>
    <cellStyle name="20% - Ênfase5 4 2 5" xfId="3029" xr:uid="{00000000-0005-0000-0000-00001F010000}"/>
    <cellStyle name="20% - Ênfase5 4 2 6" xfId="4094" xr:uid="{00000000-0005-0000-0000-000020010000}"/>
    <cellStyle name="20% - Ênfase5 4 3" xfId="982" xr:uid="{00000000-0005-0000-0000-000021010000}"/>
    <cellStyle name="20% - Ênfase5 4 4" xfId="1294" xr:uid="{00000000-0005-0000-0000-000022010000}"/>
    <cellStyle name="20% - Ênfase5 4 5" xfId="1603" xr:uid="{00000000-0005-0000-0000-000023010000}"/>
    <cellStyle name="20% - Ênfase5 4 6" xfId="3171" xr:uid="{00000000-0005-0000-0000-000024010000}"/>
    <cellStyle name="20% - Ênfase5 4 7" xfId="3926" xr:uid="{00000000-0005-0000-0000-000025010000}"/>
    <cellStyle name="20% - Ênfase5 5" xfId="527" xr:uid="{00000000-0005-0000-0000-000026010000}"/>
    <cellStyle name="20% - Ênfase5 5 2" xfId="702" xr:uid="{00000000-0005-0000-0000-000027010000}"/>
    <cellStyle name="20% - Ênfase5 5 2 2" xfId="1163" xr:uid="{00000000-0005-0000-0000-000028010000}"/>
    <cellStyle name="20% - Ênfase5 5 2 3" xfId="1488" xr:uid="{00000000-0005-0000-0000-000029010000}"/>
    <cellStyle name="20% - Ênfase5 5 2 4" xfId="1790" xr:uid="{00000000-0005-0000-0000-00002A010000}"/>
    <cellStyle name="20% - Ênfase5 5 2 5" xfId="3341" xr:uid="{00000000-0005-0000-0000-00002B010000}"/>
    <cellStyle name="20% - Ênfase5 5 2 6" xfId="4134" xr:uid="{00000000-0005-0000-0000-00002C010000}"/>
    <cellStyle name="20% - Ênfase5 5 3" xfId="1014" xr:uid="{00000000-0005-0000-0000-00002D010000}"/>
    <cellStyle name="20% - Ênfase5 5 4" xfId="1330" xr:uid="{00000000-0005-0000-0000-00002E010000}"/>
    <cellStyle name="20% - Ênfase5 5 5" xfId="1632" xr:uid="{00000000-0005-0000-0000-00002F010000}"/>
    <cellStyle name="20% - Ênfase5 5 6" xfId="3150" xr:uid="{00000000-0005-0000-0000-000030010000}"/>
    <cellStyle name="20% - Ênfase5 5 7" xfId="3964" xr:uid="{00000000-0005-0000-0000-000031010000}"/>
    <cellStyle name="20% - Ênfase5 6" xfId="608" xr:uid="{00000000-0005-0000-0000-000032010000}"/>
    <cellStyle name="20% - Ênfase5 6 2" xfId="1082" xr:uid="{00000000-0005-0000-0000-000033010000}"/>
    <cellStyle name="20% - Ênfase5 6 3" xfId="1401" xr:uid="{00000000-0005-0000-0000-000034010000}"/>
    <cellStyle name="20% - Ênfase5 6 4" xfId="1703" xr:uid="{00000000-0005-0000-0000-000035010000}"/>
    <cellStyle name="20% - Ênfase5 6 5" xfId="3083" xr:uid="{00000000-0005-0000-0000-000036010000}"/>
    <cellStyle name="20% - Ênfase5 6 6" xfId="4041" xr:uid="{00000000-0005-0000-0000-000037010000}"/>
    <cellStyle name="20% - Ênfase5 7" xfId="722" xr:uid="{00000000-0005-0000-0000-000038010000}"/>
    <cellStyle name="20% - Ênfase5 7 2" xfId="1183" xr:uid="{00000000-0005-0000-0000-000039010000}"/>
    <cellStyle name="20% - Ênfase5 7 3" xfId="1508" xr:uid="{00000000-0005-0000-0000-00003A010000}"/>
    <cellStyle name="20% - Ênfase5 7 4" xfId="1810" xr:uid="{00000000-0005-0000-0000-00003B010000}"/>
    <cellStyle name="20% - Ênfase5 7 5" xfId="3361" xr:uid="{00000000-0005-0000-0000-00003C010000}"/>
    <cellStyle name="20% - Ênfase5 7 6" xfId="4154" xr:uid="{00000000-0005-0000-0000-00003D010000}"/>
    <cellStyle name="20% - Ênfase5 8" xfId="932" xr:uid="{00000000-0005-0000-0000-00003E010000}"/>
    <cellStyle name="20% - Ênfase5 9" xfId="1242" xr:uid="{00000000-0005-0000-0000-00003F010000}"/>
    <cellStyle name="20% - Ênfase6" xfId="361" builtinId="50" customBuiltin="1"/>
    <cellStyle name="20% - Ênfase6 10" xfId="1561" xr:uid="{00000000-0005-0000-0000-000041010000}"/>
    <cellStyle name="20% - Ênfase6 11" xfId="1852" xr:uid="{00000000-0005-0000-0000-000042010000}"/>
    <cellStyle name="20% - Ênfase6 12" xfId="2350" xr:uid="{00000000-0005-0000-0000-000043010000}"/>
    <cellStyle name="20% - Ênfase6 13" xfId="2580" xr:uid="{00000000-0005-0000-0000-000044010000}"/>
    <cellStyle name="20% - Ênfase6 14" xfId="2816" xr:uid="{00000000-0005-0000-0000-000045010000}"/>
    <cellStyle name="20% - Ênfase6 15" xfId="2861" xr:uid="{00000000-0005-0000-0000-000046010000}"/>
    <cellStyle name="20% - Ênfase6 16" xfId="3387" xr:uid="{00000000-0005-0000-0000-000047010000}"/>
    <cellStyle name="20% - Ênfase6 17" xfId="3622" xr:uid="{00000000-0005-0000-0000-000048010000}"/>
    <cellStyle name="20% - Ênfase6 18" xfId="3653" xr:uid="{00000000-0005-0000-0000-000049010000}"/>
    <cellStyle name="20% - Ênfase6 19" xfId="3884" xr:uid="{00000000-0005-0000-0000-00004A010000}"/>
    <cellStyle name="20% - Ênfase6 2" xfId="67" xr:uid="{00000000-0005-0000-0000-00004B010000}"/>
    <cellStyle name="20% - Ênfase6 3" xfId="472" xr:uid="{00000000-0005-0000-0000-00004C010000}"/>
    <cellStyle name="20% - Ênfase6 3 2" xfId="648" xr:uid="{00000000-0005-0000-0000-00004D010000}"/>
    <cellStyle name="20% - Ênfase6 3 2 2" xfId="1119" xr:uid="{00000000-0005-0000-0000-00004E010000}"/>
    <cellStyle name="20% - Ênfase6 3 2 3" xfId="1441" xr:uid="{00000000-0005-0000-0000-00004F010000}"/>
    <cellStyle name="20% - Ênfase6 3 2 4" xfId="1743" xr:uid="{00000000-0005-0000-0000-000050010000}"/>
    <cellStyle name="20% - Ênfase6 3 2 5" xfId="3043" xr:uid="{00000000-0005-0000-0000-000051010000}"/>
    <cellStyle name="20% - Ênfase6 3 2 6" xfId="4081" xr:uid="{00000000-0005-0000-0000-000052010000}"/>
    <cellStyle name="20% - Ênfase6 3 3" xfId="970" xr:uid="{00000000-0005-0000-0000-000053010000}"/>
    <cellStyle name="20% - Ênfase6 3 4" xfId="1282" xr:uid="{00000000-0005-0000-0000-000054010000}"/>
    <cellStyle name="20% - Ênfase6 3 5" xfId="1591" xr:uid="{00000000-0005-0000-0000-000055010000}"/>
    <cellStyle name="20% - Ênfase6 3 6" xfId="3292" xr:uid="{00000000-0005-0000-0000-000056010000}"/>
    <cellStyle name="20% - Ênfase6 3 7" xfId="3914" xr:uid="{00000000-0005-0000-0000-000057010000}"/>
    <cellStyle name="20% - Ênfase6 4" xfId="487" xr:uid="{00000000-0005-0000-0000-000058010000}"/>
    <cellStyle name="20% - Ênfase6 4 2" xfId="663" xr:uid="{00000000-0005-0000-0000-000059010000}"/>
    <cellStyle name="20% - Ênfase6 4 2 2" xfId="1133" xr:uid="{00000000-0005-0000-0000-00005A010000}"/>
    <cellStyle name="20% - Ênfase6 4 2 3" xfId="1455" xr:uid="{00000000-0005-0000-0000-00005B010000}"/>
    <cellStyle name="20% - Ênfase6 4 2 4" xfId="1757" xr:uid="{00000000-0005-0000-0000-00005C010000}"/>
    <cellStyle name="20% - Ênfase6 4 2 5" xfId="3027" xr:uid="{00000000-0005-0000-0000-00005D010000}"/>
    <cellStyle name="20% - Ênfase6 4 2 6" xfId="4096" xr:uid="{00000000-0005-0000-0000-00005E010000}"/>
    <cellStyle name="20% - Ênfase6 4 3" xfId="984" xr:uid="{00000000-0005-0000-0000-00005F010000}"/>
    <cellStyle name="20% - Ênfase6 4 4" xfId="1296" xr:uid="{00000000-0005-0000-0000-000060010000}"/>
    <cellStyle name="20% - Ênfase6 4 5" xfId="1605" xr:uid="{00000000-0005-0000-0000-000061010000}"/>
    <cellStyle name="20% - Ênfase6 4 6" xfId="3303" xr:uid="{00000000-0005-0000-0000-000062010000}"/>
    <cellStyle name="20% - Ênfase6 4 7" xfId="3928" xr:uid="{00000000-0005-0000-0000-000063010000}"/>
    <cellStyle name="20% - Ênfase6 5" xfId="529" xr:uid="{00000000-0005-0000-0000-000064010000}"/>
    <cellStyle name="20% - Ênfase6 5 2" xfId="704" xr:uid="{00000000-0005-0000-0000-000065010000}"/>
    <cellStyle name="20% - Ênfase6 5 2 2" xfId="1165" xr:uid="{00000000-0005-0000-0000-000066010000}"/>
    <cellStyle name="20% - Ênfase6 5 2 3" xfId="1490" xr:uid="{00000000-0005-0000-0000-000067010000}"/>
    <cellStyle name="20% - Ênfase6 5 2 4" xfId="1792" xr:uid="{00000000-0005-0000-0000-000068010000}"/>
    <cellStyle name="20% - Ênfase6 5 2 5" xfId="3343" xr:uid="{00000000-0005-0000-0000-000069010000}"/>
    <cellStyle name="20% - Ênfase6 5 2 6" xfId="4136" xr:uid="{00000000-0005-0000-0000-00006A010000}"/>
    <cellStyle name="20% - Ênfase6 5 3" xfId="1016" xr:uid="{00000000-0005-0000-0000-00006B010000}"/>
    <cellStyle name="20% - Ênfase6 5 4" xfId="1332" xr:uid="{00000000-0005-0000-0000-00006C010000}"/>
    <cellStyle name="20% - Ênfase6 5 5" xfId="1634" xr:uid="{00000000-0005-0000-0000-00006D010000}"/>
    <cellStyle name="20% - Ênfase6 5 6" xfId="3148" xr:uid="{00000000-0005-0000-0000-00006E010000}"/>
    <cellStyle name="20% - Ênfase6 5 7" xfId="3966" xr:uid="{00000000-0005-0000-0000-00006F010000}"/>
    <cellStyle name="20% - Ênfase6 6" xfId="610" xr:uid="{00000000-0005-0000-0000-000070010000}"/>
    <cellStyle name="20% - Ênfase6 6 2" xfId="1084" xr:uid="{00000000-0005-0000-0000-000071010000}"/>
    <cellStyle name="20% - Ênfase6 6 3" xfId="1403" xr:uid="{00000000-0005-0000-0000-000072010000}"/>
    <cellStyle name="20% - Ênfase6 6 4" xfId="1705" xr:uid="{00000000-0005-0000-0000-000073010000}"/>
    <cellStyle name="20% - Ênfase6 6 5" xfId="3081" xr:uid="{00000000-0005-0000-0000-000074010000}"/>
    <cellStyle name="20% - Ênfase6 6 6" xfId="4043" xr:uid="{00000000-0005-0000-0000-000075010000}"/>
    <cellStyle name="20% - Ênfase6 7" xfId="723" xr:uid="{00000000-0005-0000-0000-000076010000}"/>
    <cellStyle name="20% - Ênfase6 7 2" xfId="1184" xr:uid="{00000000-0005-0000-0000-000077010000}"/>
    <cellStyle name="20% - Ênfase6 7 3" xfId="1509" xr:uid="{00000000-0005-0000-0000-000078010000}"/>
    <cellStyle name="20% - Ênfase6 7 4" xfId="1811" xr:uid="{00000000-0005-0000-0000-000079010000}"/>
    <cellStyle name="20% - Ênfase6 7 5" xfId="3362" xr:uid="{00000000-0005-0000-0000-00007A010000}"/>
    <cellStyle name="20% - Ênfase6 7 6" xfId="4155" xr:uid="{00000000-0005-0000-0000-00007B010000}"/>
    <cellStyle name="20% - Ênfase6 8" xfId="935" xr:uid="{00000000-0005-0000-0000-00007C010000}"/>
    <cellStyle name="20% - Ênfase6 9" xfId="1244" xr:uid="{00000000-0005-0000-0000-00007D010000}"/>
    <cellStyle name="20% - Énfasis1 2" xfId="1967" xr:uid="{00000000-0005-0000-0000-00007E010000}"/>
    <cellStyle name="20% - Énfasis1 2 2" xfId="1968" xr:uid="{00000000-0005-0000-0000-00007F010000}"/>
    <cellStyle name="20% - Énfasis1 2 2 2" xfId="1969" xr:uid="{00000000-0005-0000-0000-000080010000}"/>
    <cellStyle name="20% - Énfasis1 2 2 2 2" xfId="2371" xr:uid="{00000000-0005-0000-0000-000081010000}"/>
    <cellStyle name="20% - Énfasis1 2 2 2 3" xfId="2601" xr:uid="{00000000-0005-0000-0000-000082010000}"/>
    <cellStyle name="20% - Énfasis1 2 2 2 4" xfId="2864" xr:uid="{00000000-0005-0000-0000-000083010000}"/>
    <cellStyle name="20% - Énfasis1 2 2 2 5" xfId="3390" xr:uid="{00000000-0005-0000-0000-000084010000}"/>
    <cellStyle name="20% - Énfasis1 2 2 2 6" xfId="3656" xr:uid="{00000000-0005-0000-0000-000085010000}"/>
    <cellStyle name="20% - Énfasis1 2 2 3" xfId="2370" xr:uid="{00000000-0005-0000-0000-000086010000}"/>
    <cellStyle name="20% - Énfasis1 2 2 4" xfId="2600" xr:uid="{00000000-0005-0000-0000-000087010000}"/>
    <cellStyle name="20% - Énfasis1 2 2 5" xfId="2863" xr:uid="{00000000-0005-0000-0000-000088010000}"/>
    <cellStyle name="20% - Énfasis1 2 2 6" xfId="3389" xr:uid="{00000000-0005-0000-0000-000089010000}"/>
    <cellStyle name="20% - Énfasis1 2 2 7" xfId="3655" xr:uid="{00000000-0005-0000-0000-00008A010000}"/>
    <cellStyle name="20% - Énfasis1 2 3" xfId="1970" xr:uid="{00000000-0005-0000-0000-00008B010000}"/>
    <cellStyle name="20% - Énfasis1 2 3 2" xfId="2372" xr:uid="{00000000-0005-0000-0000-00008C010000}"/>
    <cellStyle name="20% - Énfasis1 2 3 3" xfId="2602" xr:uid="{00000000-0005-0000-0000-00008D010000}"/>
    <cellStyle name="20% - Énfasis1 2 3 4" xfId="2865" xr:uid="{00000000-0005-0000-0000-00008E010000}"/>
    <cellStyle name="20% - Énfasis1 2 3 5" xfId="3391" xr:uid="{00000000-0005-0000-0000-00008F010000}"/>
    <cellStyle name="20% - Énfasis1 2 3 6" xfId="3657" xr:uid="{00000000-0005-0000-0000-000090010000}"/>
    <cellStyle name="20% - Énfasis1 2 4" xfId="2369" xr:uid="{00000000-0005-0000-0000-000091010000}"/>
    <cellStyle name="20% - Énfasis1 2 5" xfId="2599" xr:uid="{00000000-0005-0000-0000-000092010000}"/>
    <cellStyle name="20% - Énfasis1 2 6" xfId="2862" xr:uid="{00000000-0005-0000-0000-000093010000}"/>
    <cellStyle name="20% - Énfasis1 2 7" xfId="3388" xr:uid="{00000000-0005-0000-0000-000094010000}"/>
    <cellStyle name="20% - Énfasis1 2 8" xfId="3654" xr:uid="{00000000-0005-0000-0000-000095010000}"/>
    <cellStyle name="20% - Énfasis1 3" xfId="1971" xr:uid="{00000000-0005-0000-0000-000096010000}"/>
    <cellStyle name="20% - Énfasis1 3 2" xfId="1972" xr:uid="{00000000-0005-0000-0000-000097010000}"/>
    <cellStyle name="20% - Énfasis1 3 2 2" xfId="1973" xr:uid="{00000000-0005-0000-0000-000098010000}"/>
    <cellStyle name="20% - Énfasis1 3 2 2 2" xfId="2375" xr:uid="{00000000-0005-0000-0000-000099010000}"/>
    <cellStyle name="20% - Énfasis1 3 2 2 3" xfId="2605" xr:uid="{00000000-0005-0000-0000-00009A010000}"/>
    <cellStyle name="20% - Énfasis1 3 2 2 4" xfId="2868" xr:uid="{00000000-0005-0000-0000-00009B010000}"/>
    <cellStyle name="20% - Énfasis1 3 2 2 5" xfId="3394" xr:uid="{00000000-0005-0000-0000-00009C010000}"/>
    <cellStyle name="20% - Énfasis1 3 2 2 6" xfId="3660" xr:uid="{00000000-0005-0000-0000-00009D010000}"/>
    <cellStyle name="20% - Énfasis1 3 2 3" xfId="2374" xr:uid="{00000000-0005-0000-0000-00009E010000}"/>
    <cellStyle name="20% - Énfasis1 3 2 4" xfId="2604" xr:uid="{00000000-0005-0000-0000-00009F010000}"/>
    <cellStyle name="20% - Énfasis1 3 2 5" xfId="2867" xr:uid="{00000000-0005-0000-0000-0000A0010000}"/>
    <cellStyle name="20% - Énfasis1 3 2 6" xfId="3393" xr:uid="{00000000-0005-0000-0000-0000A1010000}"/>
    <cellStyle name="20% - Énfasis1 3 2 7" xfId="3659" xr:uid="{00000000-0005-0000-0000-0000A2010000}"/>
    <cellStyle name="20% - Énfasis1 3 3" xfId="1974" xr:uid="{00000000-0005-0000-0000-0000A3010000}"/>
    <cellStyle name="20% - Énfasis1 3 3 2" xfId="2376" xr:uid="{00000000-0005-0000-0000-0000A4010000}"/>
    <cellStyle name="20% - Énfasis1 3 3 3" xfId="2606" xr:uid="{00000000-0005-0000-0000-0000A5010000}"/>
    <cellStyle name="20% - Énfasis1 3 3 4" xfId="2869" xr:uid="{00000000-0005-0000-0000-0000A6010000}"/>
    <cellStyle name="20% - Énfasis1 3 3 5" xfId="3395" xr:uid="{00000000-0005-0000-0000-0000A7010000}"/>
    <cellStyle name="20% - Énfasis1 3 3 6" xfId="3661" xr:uid="{00000000-0005-0000-0000-0000A8010000}"/>
    <cellStyle name="20% - Énfasis1 3 4" xfId="2373" xr:uid="{00000000-0005-0000-0000-0000A9010000}"/>
    <cellStyle name="20% - Énfasis1 3 5" xfId="2603" xr:uid="{00000000-0005-0000-0000-0000AA010000}"/>
    <cellStyle name="20% - Énfasis1 3 6" xfId="2866" xr:uid="{00000000-0005-0000-0000-0000AB010000}"/>
    <cellStyle name="20% - Énfasis1 3 7" xfId="3392" xr:uid="{00000000-0005-0000-0000-0000AC010000}"/>
    <cellStyle name="20% - Énfasis1 3 8" xfId="3658" xr:uid="{00000000-0005-0000-0000-0000AD010000}"/>
    <cellStyle name="20% - Énfasis1 4" xfId="1975" xr:uid="{00000000-0005-0000-0000-0000AE010000}"/>
    <cellStyle name="20% - Énfasis1 4 2" xfId="1976" xr:uid="{00000000-0005-0000-0000-0000AF010000}"/>
    <cellStyle name="20% - Énfasis1 4 2 2" xfId="2378" xr:uid="{00000000-0005-0000-0000-0000B0010000}"/>
    <cellStyle name="20% - Énfasis1 4 2 3" xfId="2608" xr:uid="{00000000-0005-0000-0000-0000B1010000}"/>
    <cellStyle name="20% - Énfasis1 4 2 4" xfId="2871" xr:uid="{00000000-0005-0000-0000-0000B2010000}"/>
    <cellStyle name="20% - Énfasis1 4 2 5" xfId="3397" xr:uid="{00000000-0005-0000-0000-0000B3010000}"/>
    <cellStyle name="20% - Énfasis1 4 2 6" xfId="3663" xr:uid="{00000000-0005-0000-0000-0000B4010000}"/>
    <cellStyle name="20% - Énfasis1 4 3" xfId="2377" xr:uid="{00000000-0005-0000-0000-0000B5010000}"/>
    <cellStyle name="20% - Énfasis1 4 4" xfId="2607" xr:uid="{00000000-0005-0000-0000-0000B6010000}"/>
    <cellStyle name="20% - Énfasis1 4 5" xfId="2870" xr:uid="{00000000-0005-0000-0000-0000B7010000}"/>
    <cellStyle name="20% - Énfasis1 4 6" xfId="3396" xr:uid="{00000000-0005-0000-0000-0000B8010000}"/>
    <cellStyle name="20% - Énfasis1 4 7" xfId="3662" xr:uid="{00000000-0005-0000-0000-0000B9010000}"/>
    <cellStyle name="20% - Énfasis1 5" xfId="1977" xr:uid="{00000000-0005-0000-0000-0000BA010000}"/>
    <cellStyle name="20% - Énfasis1 6" xfId="1978" xr:uid="{00000000-0005-0000-0000-0000BB010000}"/>
    <cellStyle name="20% - Énfasis1 6 2" xfId="2379" xr:uid="{00000000-0005-0000-0000-0000BC010000}"/>
    <cellStyle name="20% - Énfasis1 6 3" xfId="2609" xr:uid="{00000000-0005-0000-0000-0000BD010000}"/>
    <cellStyle name="20% - Énfasis1 6 4" xfId="2872" xr:uid="{00000000-0005-0000-0000-0000BE010000}"/>
    <cellStyle name="20% - Énfasis1 6 5" xfId="3398" xr:uid="{00000000-0005-0000-0000-0000BF010000}"/>
    <cellStyle name="20% - Énfasis1 6 6" xfId="3664" xr:uid="{00000000-0005-0000-0000-0000C0010000}"/>
    <cellStyle name="20% - Énfasis2 2" xfId="1979" xr:uid="{00000000-0005-0000-0000-0000C1010000}"/>
    <cellStyle name="20% - Énfasis2 2 2" xfId="1980" xr:uid="{00000000-0005-0000-0000-0000C2010000}"/>
    <cellStyle name="20% - Énfasis2 2 2 2" xfId="1981" xr:uid="{00000000-0005-0000-0000-0000C3010000}"/>
    <cellStyle name="20% - Énfasis2 2 2 2 2" xfId="2382" xr:uid="{00000000-0005-0000-0000-0000C4010000}"/>
    <cellStyle name="20% - Énfasis2 2 2 2 3" xfId="2612" xr:uid="{00000000-0005-0000-0000-0000C5010000}"/>
    <cellStyle name="20% - Énfasis2 2 2 2 4" xfId="2875" xr:uid="{00000000-0005-0000-0000-0000C6010000}"/>
    <cellStyle name="20% - Énfasis2 2 2 2 5" xfId="3401" xr:uid="{00000000-0005-0000-0000-0000C7010000}"/>
    <cellStyle name="20% - Énfasis2 2 2 2 6" xfId="3667" xr:uid="{00000000-0005-0000-0000-0000C8010000}"/>
    <cellStyle name="20% - Énfasis2 2 2 3" xfId="2381" xr:uid="{00000000-0005-0000-0000-0000C9010000}"/>
    <cellStyle name="20% - Énfasis2 2 2 4" xfId="2611" xr:uid="{00000000-0005-0000-0000-0000CA010000}"/>
    <cellStyle name="20% - Énfasis2 2 2 5" xfId="2874" xr:uid="{00000000-0005-0000-0000-0000CB010000}"/>
    <cellStyle name="20% - Énfasis2 2 2 6" xfId="3400" xr:uid="{00000000-0005-0000-0000-0000CC010000}"/>
    <cellStyle name="20% - Énfasis2 2 2 7" xfId="3666" xr:uid="{00000000-0005-0000-0000-0000CD010000}"/>
    <cellStyle name="20% - Énfasis2 2 3" xfId="1982" xr:uid="{00000000-0005-0000-0000-0000CE010000}"/>
    <cellStyle name="20% - Énfasis2 2 3 2" xfId="2383" xr:uid="{00000000-0005-0000-0000-0000CF010000}"/>
    <cellStyle name="20% - Énfasis2 2 3 3" xfId="2613" xr:uid="{00000000-0005-0000-0000-0000D0010000}"/>
    <cellStyle name="20% - Énfasis2 2 3 4" xfId="2876" xr:uid="{00000000-0005-0000-0000-0000D1010000}"/>
    <cellStyle name="20% - Énfasis2 2 3 5" xfId="3402" xr:uid="{00000000-0005-0000-0000-0000D2010000}"/>
    <cellStyle name="20% - Énfasis2 2 3 6" xfId="3668" xr:uid="{00000000-0005-0000-0000-0000D3010000}"/>
    <cellStyle name="20% - Énfasis2 2 4" xfId="2380" xr:uid="{00000000-0005-0000-0000-0000D4010000}"/>
    <cellStyle name="20% - Énfasis2 2 5" xfId="2610" xr:uid="{00000000-0005-0000-0000-0000D5010000}"/>
    <cellStyle name="20% - Énfasis2 2 6" xfId="2873" xr:uid="{00000000-0005-0000-0000-0000D6010000}"/>
    <cellStyle name="20% - Énfasis2 2 7" xfId="3399" xr:uid="{00000000-0005-0000-0000-0000D7010000}"/>
    <cellStyle name="20% - Énfasis2 2 8" xfId="3665" xr:uid="{00000000-0005-0000-0000-0000D8010000}"/>
    <cellStyle name="20% - Énfasis2 3" xfId="1983" xr:uid="{00000000-0005-0000-0000-0000D9010000}"/>
    <cellStyle name="20% - Énfasis2 3 2" xfId="1984" xr:uid="{00000000-0005-0000-0000-0000DA010000}"/>
    <cellStyle name="20% - Énfasis2 3 2 2" xfId="1985" xr:uid="{00000000-0005-0000-0000-0000DB010000}"/>
    <cellStyle name="20% - Énfasis2 3 2 2 2" xfId="2386" xr:uid="{00000000-0005-0000-0000-0000DC010000}"/>
    <cellStyle name="20% - Énfasis2 3 2 2 3" xfId="2616" xr:uid="{00000000-0005-0000-0000-0000DD010000}"/>
    <cellStyle name="20% - Énfasis2 3 2 2 4" xfId="2879" xr:uid="{00000000-0005-0000-0000-0000DE010000}"/>
    <cellStyle name="20% - Énfasis2 3 2 2 5" xfId="3405" xr:uid="{00000000-0005-0000-0000-0000DF010000}"/>
    <cellStyle name="20% - Énfasis2 3 2 2 6" xfId="3671" xr:uid="{00000000-0005-0000-0000-0000E0010000}"/>
    <cellStyle name="20% - Énfasis2 3 2 3" xfId="2385" xr:uid="{00000000-0005-0000-0000-0000E1010000}"/>
    <cellStyle name="20% - Énfasis2 3 2 4" xfId="2615" xr:uid="{00000000-0005-0000-0000-0000E2010000}"/>
    <cellStyle name="20% - Énfasis2 3 2 5" xfId="2878" xr:uid="{00000000-0005-0000-0000-0000E3010000}"/>
    <cellStyle name="20% - Énfasis2 3 2 6" xfId="3404" xr:uid="{00000000-0005-0000-0000-0000E4010000}"/>
    <cellStyle name="20% - Énfasis2 3 2 7" xfId="3670" xr:uid="{00000000-0005-0000-0000-0000E5010000}"/>
    <cellStyle name="20% - Énfasis2 3 3" xfId="1986" xr:uid="{00000000-0005-0000-0000-0000E6010000}"/>
    <cellStyle name="20% - Énfasis2 3 3 2" xfId="2387" xr:uid="{00000000-0005-0000-0000-0000E7010000}"/>
    <cellStyle name="20% - Énfasis2 3 3 3" xfId="2617" xr:uid="{00000000-0005-0000-0000-0000E8010000}"/>
    <cellStyle name="20% - Énfasis2 3 3 4" xfId="2880" xr:uid="{00000000-0005-0000-0000-0000E9010000}"/>
    <cellStyle name="20% - Énfasis2 3 3 5" xfId="3406" xr:uid="{00000000-0005-0000-0000-0000EA010000}"/>
    <cellStyle name="20% - Énfasis2 3 3 6" xfId="3672" xr:uid="{00000000-0005-0000-0000-0000EB010000}"/>
    <cellStyle name="20% - Énfasis2 3 4" xfId="2384" xr:uid="{00000000-0005-0000-0000-0000EC010000}"/>
    <cellStyle name="20% - Énfasis2 3 5" xfId="2614" xr:uid="{00000000-0005-0000-0000-0000ED010000}"/>
    <cellStyle name="20% - Énfasis2 3 6" xfId="2877" xr:uid="{00000000-0005-0000-0000-0000EE010000}"/>
    <cellStyle name="20% - Énfasis2 3 7" xfId="3403" xr:uid="{00000000-0005-0000-0000-0000EF010000}"/>
    <cellStyle name="20% - Énfasis2 3 8" xfId="3669" xr:uid="{00000000-0005-0000-0000-0000F0010000}"/>
    <cellStyle name="20% - Énfasis2 4" xfId="1987" xr:uid="{00000000-0005-0000-0000-0000F1010000}"/>
    <cellStyle name="20% - Énfasis2 4 2" xfId="1988" xr:uid="{00000000-0005-0000-0000-0000F2010000}"/>
    <cellStyle name="20% - Énfasis2 4 2 2" xfId="2389" xr:uid="{00000000-0005-0000-0000-0000F3010000}"/>
    <cellStyle name="20% - Énfasis2 4 2 3" xfId="2619" xr:uid="{00000000-0005-0000-0000-0000F4010000}"/>
    <cellStyle name="20% - Énfasis2 4 2 4" xfId="2882" xr:uid="{00000000-0005-0000-0000-0000F5010000}"/>
    <cellStyle name="20% - Énfasis2 4 2 5" xfId="3408" xr:uid="{00000000-0005-0000-0000-0000F6010000}"/>
    <cellStyle name="20% - Énfasis2 4 2 6" xfId="3674" xr:uid="{00000000-0005-0000-0000-0000F7010000}"/>
    <cellStyle name="20% - Énfasis2 4 3" xfId="2388" xr:uid="{00000000-0005-0000-0000-0000F8010000}"/>
    <cellStyle name="20% - Énfasis2 4 4" xfId="2618" xr:uid="{00000000-0005-0000-0000-0000F9010000}"/>
    <cellStyle name="20% - Énfasis2 4 5" xfId="2881" xr:uid="{00000000-0005-0000-0000-0000FA010000}"/>
    <cellStyle name="20% - Énfasis2 4 6" xfId="3407" xr:uid="{00000000-0005-0000-0000-0000FB010000}"/>
    <cellStyle name="20% - Énfasis2 4 7" xfId="3673" xr:uid="{00000000-0005-0000-0000-0000FC010000}"/>
    <cellStyle name="20% - Énfasis2 5" xfId="1989" xr:uid="{00000000-0005-0000-0000-0000FD010000}"/>
    <cellStyle name="20% - Énfasis2 6" xfId="1990" xr:uid="{00000000-0005-0000-0000-0000FE010000}"/>
    <cellStyle name="20% - Énfasis2 6 2" xfId="2390" xr:uid="{00000000-0005-0000-0000-0000FF010000}"/>
    <cellStyle name="20% - Énfasis2 6 3" xfId="2620" xr:uid="{00000000-0005-0000-0000-000000020000}"/>
    <cellStyle name="20% - Énfasis2 6 4" xfId="2884" xr:uid="{00000000-0005-0000-0000-000001020000}"/>
    <cellStyle name="20% - Énfasis2 6 5" xfId="3409" xr:uid="{00000000-0005-0000-0000-000002020000}"/>
    <cellStyle name="20% - Énfasis2 6 6" xfId="3675" xr:uid="{00000000-0005-0000-0000-000003020000}"/>
    <cellStyle name="20% - Énfasis3 2" xfId="1991" xr:uid="{00000000-0005-0000-0000-000004020000}"/>
    <cellStyle name="20% - Énfasis3 2 2" xfId="1992" xr:uid="{00000000-0005-0000-0000-000005020000}"/>
    <cellStyle name="20% - Énfasis3 2 2 2" xfId="1993" xr:uid="{00000000-0005-0000-0000-000006020000}"/>
    <cellStyle name="20% - Énfasis3 2 2 2 2" xfId="2393" xr:uid="{00000000-0005-0000-0000-000007020000}"/>
    <cellStyle name="20% - Énfasis3 2 2 2 3" xfId="2623" xr:uid="{00000000-0005-0000-0000-000008020000}"/>
    <cellStyle name="20% - Énfasis3 2 2 2 4" xfId="2887" xr:uid="{00000000-0005-0000-0000-000009020000}"/>
    <cellStyle name="20% - Énfasis3 2 2 2 5" xfId="3412" xr:uid="{00000000-0005-0000-0000-00000A020000}"/>
    <cellStyle name="20% - Énfasis3 2 2 2 6" xfId="3678" xr:uid="{00000000-0005-0000-0000-00000B020000}"/>
    <cellStyle name="20% - Énfasis3 2 2 3" xfId="2392" xr:uid="{00000000-0005-0000-0000-00000C020000}"/>
    <cellStyle name="20% - Énfasis3 2 2 4" xfId="2622" xr:uid="{00000000-0005-0000-0000-00000D020000}"/>
    <cellStyle name="20% - Énfasis3 2 2 5" xfId="2886" xr:uid="{00000000-0005-0000-0000-00000E020000}"/>
    <cellStyle name="20% - Énfasis3 2 2 6" xfId="3411" xr:uid="{00000000-0005-0000-0000-00000F020000}"/>
    <cellStyle name="20% - Énfasis3 2 2 7" xfId="3677" xr:uid="{00000000-0005-0000-0000-000010020000}"/>
    <cellStyle name="20% - Énfasis3 2 3" xfId="1994" xr:uid="{00000000-0005-0000-0000-000011020000}"/>
    <cellStyle name="20% - Énfasis3 2 3 2" xfId="2394" xr:uid="{00000000-0005-0000-0000-000012020000}"/>
    <cellStyle name="20% - Énfasis3 2 3 3" xfId="2624" xr:uid="{00000000-0005-0000-0000-000013020000}"/>
    <cellStyle name="20% - Énfasis3 2 3 4" xfId="2888" xr:uid="{00000000-0005-0000-0000-000014020000}"/>
    <cellStyle name="20% - Énfasis3 2 3 5" xfId="3413" xr:uid="{00000000-0005-0000-0000-000015020000}"/>
    <cellStyle name="20% - Énfasis3 2 3 6" xfId="3679" xr:uid="{00000000-0005-0000-0000-000016020000}"/>
    <cellStyle name="20% - Énfasis3 2 4" xfId="2391" xr:uid="{00000000-0005-0000-0000-000017020000}"/>
    <cellStyle name="20% - Énfasis3 2 5" xfId="2621" xr:uid="{00000000-0005-0000-0000-000018020000}"/>
    <cellStyle name="20% - Énfasis3 2 6" xfId="2885" xr:uid="{00000000-0005-0000-0000-000019020000}"/>
    <cellStyle name="20% - Énfasis3 2 7" xfId="3410" xr:uid="{00000000-0005-0000-0000-00001A020000}"/>
    <cellStyle name="20% - Énfasis3 2 8" xfId="3676" xr:uid="{00000000-0005-0000-0000-00001B020000}"/>
    <cellStyle name="20% - Énfasis3 3" xfId="1995" xr:uid="{00000000-0005-0000-0000-00001C020000}"/>
    <cellStyle name="20% - Énfasis3 3 2" xfId="1996" xr:uid="{00000000-0005-0000-0000-00001D020000}"/>
    <cellStyle name="20% - Énfasis3 3 2 2" xfId="1997" xr:uid="{00000000-0005-0000-0000-00001E020000}"/>
    <cellStyle name="20% - Énfasis3 3 2 2 2" xfId="2397" xr:uid="{00000000-0005-0000-0000-00001F020000}"/>
    <cellStyle name="20% - Énfasis3 3 2 2 3" xfId="2627" xr:uid="{00000000-0005-0000-0000-000020020000}"/>
    <cellStyle name="20% - Énfasis3 3 2 2 4" xfId="2891" xr:uid="{00000000-0005-0000-0000-000021020000}"/>
    <cellStyle name="20% - Énfasis3 3 2 2 5" xfId="3416" xr:uid="{00000000-0005-0000-0000-000022020000}"/>
    <cellStyle name="20% - Énfasis3 3 2 2 6" xfId="3682" xr:uid="{00000000-0005-0000-0000-000023020000}"/>
    <cellStyle name="20% - Énfasis3 3 2 3" xfId="2396" xr:uid="{00000000-0005-0000-0000-000024020000}"/>
    <cellStyle name="20% - Énfasis3 3 2 4" xfId="2626" xr:uid="{00000000-0005-0000-0000-000025020000}"/>
    <cellStyle name="20% - Énfasis3 3 2 5" xfId="2890" xr:uid="{00000000-0005-0000-0000-000026020000}"/>
    <cellStyle name="20% - Énfasis3 3 2 6" xfId="3415" xr:uid="{00000000-0005-0000-0000-000027020000}"/>
    <cellStyle name="20% - Énfasis3 3 2 7" xfId="3681" xr:uid="{00000000-0005-0000-0000-000028020000}"/>
    <cellStyle name="20% - Énfasis3 3 3" xfId="1998" xr:uid="{00000000-0005-0000-0000-000029020000}"/>
    <cellStyle name="20% - Énfasis3 3 3 2" xfId="2398" xr:uid="{00000000-0005-0000-0000-00002A020000}"/>
    <cellStyle name="20% - Énfasis3 3 3 3" xfId="2628" xr:uid="{00000000-0005-0000-0000-00002B020000}"/>
    <cellStyle name="20% - Énfasis3 3 3 4" xfId="2892" xr:uid="{00000000-0005-0000-0000-00002C020000}"/>
    <cellStyle name="20% - Énfasis3 3 3 5" xfId="3417" xr:uid="{00000000-0005-0000-0000-00002D020000}"/>
    <cellStyle name="20% - Énfasis3 3 3 6" xfId="3683" xr:uid="{00000000-0005-0000-0000-00002E020000}"/>
    <cellStyle name="20% - Énfasis3 3 4" xfId="2395" xr:uid="{00000000-0005-0000-0000-00002F020000}"/>
    <cellStyle name="20% - Énfasis3 3 5" xfId="2625" xr:uid="{00000000-0005-0000-0000-000030020000}"/>
    <cellStyle name="20% - Énfasis3 3 6" xfId="2889" xr:uid="{00000000-0005-0000-0000-000031020000}"/>
    <cellStyle name="20% - Énfasis3 3 7" xfId="3414" xr:uid="{00000000-0005-0000-0000-000032020000}"/>
    <cellStyle name="20% - Énfasis3 3 8" xfId="3680" xr:uid="{00000000-0005-0000-0000-000033020000}"/>
    <cellStyle name="20% - Énfasis3 4" xfId="1999" xr:uid="{00000000-0005-0000-0000-000034020000}"/>
    <cellStyle name="20% - Énfasis3 4 2" xfId="2000" xr:uid="{00000000-0005-0000-0000-000035020000}"/>
    <cellStyle name="20% - Énfasis3 4 2 2" xfId="2400" xr:uid="{00000000-0005-0000-0000-000036020000}"/>
    <cellStyle name="20% - Énfasis3 4 2 3" xfId="2630" xr:uid="{00000000-0005-0000-0000-000037020000}"/>
    <cellStyle name="20% - Énfasis3 4 2 4" xfId="2894" xr:uid="{00000000-0005-0000-0000-000038020000}"/>
    <cellStyle name="20% - Énfasis3 4 2 5" xfId="3419" xr:uid="{00000000-0005-0000-0000-000039020000}"/>
    <cellStyle name="20% - Énfasis3 4 2 6" xfId="3685" xr:uid="{00000000-0005-0000-0000-00003A020000}"/>
    <cellStyle name="20% - Énfasis3 4 3" xfId="2399" xr:uid="{00000000-0005-0000-0000-00003B020000}"/>
    <cellStyle name="20% - Énfasis3 4 4" xfId="2629" xr:uid="{00000000-0005-0000-0000-00003C020000}"/>
    <cellStyle name="20% - Énfasis3 4 5" xfId="2893" xr:uid="{00000000-0005-0000-0000-00003D020000}"/>
    <cellStyle name="20% - Énfasis3 4 6" xfId="3418" xr:uid="{00000000-0005-0000-0000-00003E020000}"/>
    <cellStyle name="20% - Énfasis3 4 7" xfId="3684" xr:uid="{00000000-0005-0000-0000-00003F020000}"/>
    <cellStyle name="20% - Énfasis3 5" xfId="2001" xr:uid="{00000000-0005-0000-0000-000040020000}"/>
    <cellStyle name="20% - Énfasis3 6" xfId="2002" xr:uid="{00000000-0005-0000-0000-000041020000}"/>
    <cellStyle name="20% - Énfasis3 6 2" xfId="2401" xr:uid="{00000000-0005-0000-0000-000042020000}"/>
    <cellStyle name="20% - Énfasis3 6 3" xfId="2631" xr:uid="{00000000-0005-0000-0000-000043020000}"/>
    <cellStyle name="20% - Énfasis3 6 4" xfId="2895" xr:uid="{00000000-0005-0000-0000-000044020000}"/>
    <cellStyle name="20% - Énfasis3 6 5" xfId="3420" xr:uid="{00000000-0005-0000-0000-000045020000}"/>
    <cellStyle name="20% - Énfasis3 6 6" xfId="3686" xr:uid="{00000000-0005-0000-0000-000046020000}"/>
    <cellStyle name="20% - Énfasis4 2" xfId="2003" xr:uid="{00000000-0005-0000-0000-000047020000}"/>
    <cellStyle name="20% - Énfasis4 2 2" xfId="2004" xr:uid="{00000000-0005-0000-0000-000048020000}"/>
    <cellStyle name="20% - Énfasis4 2 2 2" xfId="2005" xr:uid="{00000000-0005-0000-0000-000049020000}"/>
    <cellStyle name="20% - Énfasis4 2 2 2 2" xfId="2404" xr:uid="{00000000-0005-0000-0000-00004A020000}"/>
    <cellStyle name="20% - Énfasis4 2 2 2 3" xfId="2634" xr:uid="{00000000-0005-0000-0000-00004B020000}"/>
    <cellStyle name="20% - Énfasis4 2 2 2 4" xfId="2898" xr:uid="{00000000-0005-0000-0000-00004C020000}"/>
    <cellStyle name="20% - Énfasis4 2 2 2 5" xfId="3423" xr:uid="{00000000-0005-0000-0000-00004D020000}"/>
    <cellStyle name="20% - Énfasis4 2 2 2 6" xfId="3689" xr:uid="{00000000-0005-0000-0000-00004E020000}"/>
    <cellStyle name="20% - Énfasis4 2 2 3" xfId="2403" xr:uid="{00000000-0005-0000-0000-00004F020000}"/>
    <cellStyle name="20% - Énfasis4 2 2 4" xfId="2633" xr:uid="{00000000-0005-0000-0000-000050020000}"/>
    <cellStyle name="20% - Énfasis4 2 2 5" xfId="2897" xr:uid="{00000000-0005-0000-0000-000051020000}"/>
    <cellStyle name="20% - Énfasis4 2 2 6" xfId="3422" xr:uid="{00000000-0005-0000-0000-000052020000}"/>
    <cellStyle name="20% - Énfasis4 2 2 7" xfId="3688" xr:uid="{00000000-0005-0000-0000-000053020000}"/>
    <cellStyle name="20% - Énfasis4 2 3" xfId="2006" xr:uid="{00000000-0005-0000-0000-000054020000}"/>
    <cellStyle name="20% - Énfasis4 2 3 2" xfId="2405" xr:uid="{00000000-0005-0000-0000-000055020000}"/>
    <cellStyle name="20% - Énfasis4 2 3 3" xfId="2635" xr:uid="{00000000-0005-0000-0000-000056020000}"/>
    <cellStyle name="20% - Énfasis4 2 3 4" xfId="2899" xr:uid="{00000000-0005-0000-0000-000057020000}"/>
    <cellStyle name="20% - Énfasis4 2 3 5" xfId="3424" xr:uid="{00000000-0005-0000-0000-000058020000}"/>
    <cellStyle name="20% - Énfasis4 2 3 6" xfId="3690" xr:uid="{00000000-0005-0000-0000-000059020000}"/>
    <cellStyle name="20% - Énfasis4 2 4" xfId="2402" xr:uid="{00000000-0005-0000-0000-00005A020000}"/>
    <cellStyle name="20% - Énfasis4 2 5" xfId="2632" xr:uid="{00000000-0005-0000-0000-00005B020000}"/>
    <cellStyle name="20% - Énfasis4 2 6" xfId="2896" xr:uid="{00000000-0005-0000-0000-00005C020000}"/>
    <cellStyle name="20% - Énfasis4 2 7" xfId="3421" xr:uid="{00000000-0005-0000-0000-00005D020000}"/>
    <cellStyle name="20% - Énfasis4 2 8" xfId="3687" xr:uid="{00000000-0005-0000-0000-00005E020000}"/>
    <cellStyle name="20% - Énfasis4 3" xfId="2007" xr:uid="{00000000-0005-0000-0000-00005F020000}"/>
    <cellStyle name="20% - Énfasis4 3 2" xfId="2008" xr:uid="{00000000-0005-0000-0000-000060020000}"/>
    <cellStyle name="20% - Énfasis4 3 2 2" xfId="2009" xr:uid="{00000000-0005-0000-0000-000061020000}"/>
    <cellStyle name="20% - Énfasis4 3 2 2 2" xfId="2408" xr:uid="{00000000-0005-0000-0000-000062020000}"/>
    <cellStyle name="20% - Énfasis4 3 2 2 3" xfId="2638" xr:uid="{00000000-0005-0000-0000-000063020000}"/>
    <cellStyle name="20% - Énfasis4 3 2 2 4" xfId="2902" xr:uid="{00000000-0005-0000-0000-000064020000}"/>
    <cellStyle name="20% - Énfasis4 3 2 2 5" xfId="3427" xr:uid="{00000000-0005-0000-0000-000065020000}"/>
    <cellStyle name="20% - Énfasis4 3 2 2 6" xfId="3693" xr:uid="{00000000-0005-0000-0000-000066020000}"/>
    <cellStyle name="20% - Énfasis4 3 2 3" xfId="2407" xr:uid="{00000000-0005-0000-0000-000067020000}"/>
    <cellStyle name="20% - Énfasis4 3 2 4" xfId="2637" xr:uid="{00000000-0005-0000-0000-000068020000}"/>
    <cellStyle name="20% - Énfasis4 3 2 5" xfId="2901" xr:uid="{00000000-0005-0000-0000-000069020000}"/>
    <cellStyle name="20% - Énfasis4 3 2 6" xfId="3426" xr:uid="{00000000-0005-0000-0000-00006A020000}"/>
    <cellStyle name="20% - Énfasis4 3 2 7" xfId="3692" xr:uid="{00000000-0005-0000-0000-00006B020000}"/>
    <cellStyle name="20% - Énfasis4 3 3" xfId="2010" xr:uid="{00000000-0005-0000-0000-00006C020000}"/>
    <cellStyle name="20% - Énfasis4 3 3 2" xfId="2409" xr:uid="{00000000-0005-0000-0000-00006D020000}"/>
    <cellStyle name="20% - Énfasis4 3 3 3" xfId="2639" xr:uid="{00000000-0005-0000-0000-00006E020000}"/>
    <cellStyle name="20% - Énfasis4 3 3 4" xfId="2903" xr:uid="{00000000-0005-0000-0000-00006F020000}"/>
    <cellStyle name="20% - Énfasis4 3 3 5" xfId="3428" xr:uid="{00000000-0005-0000-0000-000070020000}"/>
    <cellStyle name="20% - Énfasis4 3 3 6" xfId="3694" xr:uid="{00000000-0005-0000-0000-000071020000}"/>
    <cellStyle name="20% - Énfasis4 3 4" xfId="2406" xr:uid="{00000000-0005-0000-0000-000072020000}"/>
    <cellStyle name="20% - Énfasis4 3 5" xfId="2636" xr:uid="{00000000-0005-0000-0000-000073020000}"/>
    <cellStyle name="20% - Énfasis4 3 6" xfId="2900" xr:uid="{00000000-0005-0000-0000-000074020000}"/>
    <cellStyle name="20% - Énfasis4 3 7" xfId="3425" xr:uid="{00000000-0005-0000-0000-000075020000}"/>
    <cellStyle name="20% - Énfasis4 3 8" xfId="3691" xr:uid="{00000000-0005-0000-0000-000076020000}"/>
    <cellStyle name="20% - Énfasis4 4" xfId="2011" xr:uid="{00000000-0005-0000-0000-000077020000}"/>
    <cellStyle name="20% - Énfasis4 4 2" xfId="2012" xr:uid="{00000000-0005-0000-0000-000078020000}"/>
    <cellStyle name="20% - Énfasis4 4 2 2" xfId="2411" xr:uid="{00000000-0005-0000-0000-000079020000}"/>
    <cellStyle name="20% - Énfasis4 4 2 3" xfId="2641" xr:uid="{00000000-0005-0000-0000-00007A020000}"/>
    <cellStyle name="20% - Énfasis4 4 2 4" xfId="2905" xr:uid="{00000000-0005-0000-0000-00007B020000}"/>
    <cellStyle name="20% - Énfasis4 4 2 5" xfId="3430" xr:uid="{00000000-0005-0000-0000-00007C020000}"/>
    <cellStyle name="20% - Énfasis4 4 2 6" xfId="3696" xr:uid="{00000000-0005-0000-0000-00007D020000}"/>
    <cellStyle name="20% - Énfasis4 4 3" xfId="2410" xr:uid="{00000000-0005-0000-0000-00007E020000}"/>
    <cellStyle name="20% - Énfasis4 4 4" xfId="2640" xr:uid="{00000000-0005-0000-0000-00007F020000}"/>
    <cellStyle name="20% - Énfasis4 4 5" xfId="2904" xr:uid="{00000000-0005-0000-0000-000080020000}"/>
    <cellStyle name="20% - Énfasis4 4 6" xfId="3429" xr:uid="{00000000-0005-0000-0000-000081020000}"/>
    <cellStyle name="20% - Énfasis4 4 7" xfId="3695" xr:uid="{00000000-0005-0000-0000-000082020000}"/>
    <cellStyle name="20% - Énfasis4 5" xfId="2013" xr:uid="{00000000-0005-0000-0000-000083020000}"/>
    <cellStyle name="20% - Énfasis4 6" xfId="2014" xr:uid="{00000000-0005-0000-0000-000084020000}"/>
    <cellStyle name="20% - Énfasis4 6 2" xfId="2412" xr:uid="{00000000-0005-0000-0000-000085020000}"/>
    <cellStyle name="20% - Énfasis4 6 3" xfId="2642" xr:uid="{00000000-0005-0000-0000-000086020000}"/>
    <cellStyle name="20% - Énfasis4 6 4" xfId="2906" xr:uid="{00000000-0005-0000-0000-000087020000}"/>
    <cellStyle name="20% - Énfasis4 6 5" xfId="3431" xr:uid="{00000000-0005-0000-0000-000088020000}"/>
    <cellStyle name="20% - Énfasis4 6 6" xfId="3697" xr:uid="{00000000-0005-0000-0000-000089020000}"/>
    <cellStyle name="20% - Énfasis5 2" xfId="2015" xr:uid="{00000000-0005-0000-0000-00008A020000}"/>
    <cellStyle name="20% - Énfasis5 2 2" xfId="2016" xr:uid="{00000000-0005-0000-0000-00008B020000}"/>
    <cellStyle name="20% - Énfasis5 2 2 2" xfId="2017" xr:uid="{00000000-0005-0000-0000-00008C020000}"/>
    <cellStyle name="20% - Énfasis5 2 2 2 2" xfId="2415" xr:uid="{00000000-0005-0000-0000-00008D020000}"/>
    <cellStyle name="20% - Énfasis5 2 2 2 3" xfId="2645" xr:uid="{00000000-0005-0000-0000-00008E020000}"/>
    <cellStyle name="20% - Énfasis5 2 2 2 4" xfId="2909" xr:uid="{00000000-0005-0000-0000-00008F020000}"/>
    <cellStyle name="20% - Énfasis5 2 2 2 5" xfId="3434" xr:uid="{00000000-0005-0000-0000-000090020000}"/>
    <cellStyle name="20% - Énfasis5 2 2 2 6" xfId="3700" xr:uid="{00000000-0005-0000-0000-000091020000}"/>
    <cellStyle name="20% - Énfasis5 2 2 3" xfId="2414" xr:uid="{00000000-0005-0000-0000-000092020000}"/>
    <cellStyle name="20% - Énfasis5 2 2 4" xfId="2644" xr:uid="{00000000-0005-0000-0000-000093020000}"/>
    <cellStyle name="20% - Énfasis5 2 2 5" xfId="2908" xr:uid="{00000000-0005-0000-0000-000094020000}"/>
    <cellStyle name="20% - Énfasis5 2 2 6" xfId="3433" xr:uid="{00000000-0005-0000-0000-000095020000}"/>
    <cellStyle name="20% - Énfasis5 2 2 7" xfId="3699" xr:uid="{00000000-0005-0000-0000-000096020000}"/>
    <cellStyle name="20% - Énfasis5 2 3" xfId="2018" xr:uid="{00000000-0005-0000-0000-000097020000}"/>
    <cellStyle name="20% - Énfasis5 2 3 2" xfId="2416" xr:uid="{00000000-0005-0000-0000-000098020000}"/>
    <cellStyle name="20% - Énfasis5 2 3 3" xfId="2646" xr:uid="{00000000-0005-0000-0000-000099020000}"/>
    <cellStyle name="20% - Énfasis5 2 3 4" xfId="2910" xr:uid="{00000000-0005-0000-0000-00009A020000}"/>
    <cellStyle name="20% - Énfasis5 2 3 5" xfId="3435" xr:uid="{00000000-0005-0000-0000-00009B020000}"/>
    <cellStyle name="20% - Énfasis5 2 3 6" xfId="3701" xr:uid="{00000000-0005-0000-0000-00009C020000}"/>
    <cellStyle name="20% - Énfasis5 2 4" xfId="2413" xr:uid="{00000000-0005-0000-0000-00009D020000}"/>
    <cellStyle name="20% - Énfasis5 2 5" xfId="2643" xr:uid="{00000000-0005-0000-0000-00009E020000}"/>
    <cellStyle name="20% - Énfasis5 2 6" xfId="2907" xr:uid="{00000000-0005-0000-0000-00009F020000}"/>
    <cellStyle name="20% - Énfasis5 2 7" xfId="3432" xr:uid="{00000000-0005-0000-0000-0000A0020000}"/>
    <cellStyle name="20% - Énfasis5 2 8" xfId="3698" xr:uid="{00000000-0005-0000-0000-0000A1020000}"/>
    <cellStyle name="20% - Énfasis5 3" xfId="2019" xr:uid="{00000000-0005-0000-0000-0000A2020000}"/>
    <cellStyle name="20% - Énfasis5 3 2" xfId="2020" xr:uid="{00000000-0005-0000-0000-0000A3020000}"/>
    <cellStyle name="20% - Énfasis5 3 2 2" xfId="2021" xr:uid="{00000000-0005-0000-0000-0000A4020000}"/>
    <cellStyle name="20% - Énfasis5 3 2 2 2" xfId="2419" xr:uid="{00000000-0005-0000-0000-0000A5020000}"/>
    <cellStyle name="20% - Énfasis5 3 2 2 3" xfId="2649" xr:uid="{00000000-0005-0000-0000-0000A6020000}"/>
    <cellStyle name="20% - Énfasis5 3 2 2 4" xfId="2913" xr:uid="{00000000-0005-0000-0000-0000A7020000}"/>
    <cellStyle name="20% - Énfasis5 3 2 2 5" xfId="3438" xr:uid="{00000000-0005-0000-0000-0000A8020000}"/>
    <cellStyle name="20% - Énfasis5 3 2 2 6" xfId="3704" xr:uid="{00000000-0005-0000-0000-0000A9020000}"/>
    <cellStyle name="20% - Énfasis5 3 2 3" xfId="2418" xr:uid="{00000000-0005-0000-0000-0000AA020000}"/>
    <cellStyle name="20% - Énfasis5 3 2 4" xfId="2648" xr:uid="{00000000-0005-0000-0000-0000AB020000}"/>
    <cellStyle name="20% - Énfasis5 3 2 5" xfId="2912" xr:uid="{00000000-0005-0000-0000-0000AC020000}"/>
    <cellStyle name="20% - Énfasis5 3 2 6" xfId="3437" xr:uid="{00000000-0005-0000-0000-0000AD020000}"/>
    <cellStyle name="20% - Énfasis5 3 2 7" xfId="3703" xr:uid="{00000000-0005-0000-0000-0000AE020000}"/>
    <cellStyle name="20% - Énfasis5 3 3" xfId="2022" xr:uid="{00000000-0005-0000-0000-0000AF020000}"/>
    <cellStyle name="20% - Énfasis5 3 3 2" xfId="2420" xr:uid="{00000000-0005-0000-0000-0000B0020000}"/>
    <cellStyle name="20% - Énfasis5 3 3 3" xfId="2650" xr:uid="{00000000-0005-0000-0000-0000B1020000}"/>
    <cellStyle name="20% - Énfasis5 3 3 4" xfId="2914" xr:uid="{00000000-0005-0000-0000-0000B2020000}"/>
    <cellStyle name="20% - Énfasis5 3 3 5" xfId="3439" xr:uid="{00000000-0005-0000-0000-0000B3020000}"/>
    <cellStyle name="20% - Énfasis5 3 3 6" xfId="3705" xr:uid="{00000000-0005-0000-0000-0000B4020000}"/>
    <cellStyle name="20% - Énfasis5 3 4" xfId="2417" xr:uid="{00000000-0005-0000-0000-0000B5020000}"/>
    <cellStyle name="20% - Énfasis5 3 5" xfId="2647" xr:uid="{00000000-0005-0000-0000-0000B6020000}"/>
    <cellStyle name="20% - Énfasis5 3 6" xfId="2911" xr:uid="{00000000-0005-0000-0000-0000B7020000}"/>
    <cellStyle name="20% - Énfasis5 3 7" xfId="3436" xr:uid="{00000000-0005-0000-0000-0000B8020000}"/>
    <cellStyle name="20% - Énfasis5 3 8" xfId="3702" xr:uid="{00000000-0005-0000-0000-0000B9020000}"/>
    <cellStyle name="20% - Énfasis5 4" xfId="2023" xr:uid="{00000000-0005-0000-0000-0000BA020000}"/>
    <cellStyle name="20% - Énfasis5 4 2" xfId="2024" xr:uid="{00000000-0005-0000-0000-0000BB020000}"/>
    <cellStyle name="20% - Énfasis5 4 2 2" xfId="2422" xr:uid="{00000000-0005-0000-0000-0000BC020000}"/>
    <cellStyle name="20% - Énfasis5 4 2 3" xfId="2652" xr:uid="{00000000-0005-0000-0000-0000BD020000}"/>
    <cellStyle name="20% - Énfasis5 4 2 4" xfId="2916" xr:uid="{00000000-0005-0000-0000-0000BE020000}"/>
    <cellStyle name="20% - Énfasis5 4 2 5" xfId="3441" xr:uid="{00000000-0005-0000-0000-0000BF020000}"/>
    <cellStyle name="20% - Énfasis5 4 2 6" xfId="3707" xr:uid="{00000000-0005-0000-0000-0000C0020000}"/>
    <cellStyle name="20% - Énfasis5 4 3" xfId="2421" xr:uid="{00000000-0005-0000-0000-0000C1020000}"/>
    <cellStyle name="20% - Énfasis5 4 4" xfId="2651" xr:uid="{00000000-0005-0000-0000-0000C2020000}"/>
    <cellStyle name="20% - Énfasis5 4 5" xfId="2915" xr:uid="{00000000-0005-0000-0000-0000C3020000}"/>
    <cellStyle name="20% - Énfasis5 4 6" xfId="3440" xr:uid="{00000000-0005-0000-0000-0000C4020000}"/>
    <cellStyle name="20% - Énfasis5 4 7" xfId="3706" xr:uid="{00000000-0005-0000-0000-0000C5020000}"/>
    <cellStyle name="20% - Énfasis5 5" xfId="2025" xr:uid="{00000000-0005-0000-0000-0000C6020000}"/>
    <cellStyle name="20% - Énfasis5 6" xfId="2026" xr:uid="{00000000-0005-0000-0000-0000C7020000}"/>
    <cellStyle name="20% - Énfasis5 6 2" xfId="2423" xr:uid="{00000000-0005-0000-0000-0000C8020000}"/>
    <cellStyle name="20% - Énfasis5 6 3" xfId="2653" xr:uid="{00000000-0005-0000-0000-0000C9020000}"/>
    <cellStyle name="20% - Énfasis5 6 4" xfId="2917" xr:uid="{00000000-0005-0000-0000-0000CA020000}"/>
    <cellStyle name="20% - Énfasis5 6 5" xfId="3442" xr:uid="{00000000-0005-0000-0000-0000CB020000}"/>
    <cellStyle name="20% - Énfasis5 6 6" xfId="3708" xr:uid="{00000000-0005-0000-0000-0000CC020000}"/>
    <cellStyle name="20% - Énfasis6 2" xfId="2027" xr:uid="{00000000-0005-0000-0000-0000CD020000}"/>
    <cellStyle name="20% - Énfasis6 2 2" xfId="2028" xr:uid="{00000000-0005-0000-0000-0000CE020000}"/>
    <cellStyle name="20% - Énfasis6 2 2 2" xfId="2029" xr:uid="{00000000-0005-0000-0000-0000CF020000}"/>
    <cellStyle name="20% - Énfasis6 2 2 2 2" xfId="2426" xr:uid="{00000000-0005-0000-0000-0000D0020000}"/>
    <cellStyle name="20% - Énfasis6 2 2 2 3" xfId="2656" xr:uid="{00000000-0005-0000-0000-0000D1020000}"/>
    <cellStyle name="20% - Énfasis6 2 2 2 4" xfId="2920" xr:uid="{00000000-0005-0000-0000-0000D2020000}"/>
    <cellStyle name="20% - Énfasis6 2 2 2 5" xfId="3445" xr:uid="{00000000-0005-0000-0000-0000D3020000}"/>
    <cellStyle name="20% - Énfasis6 2 2 2 6" xfId="3711" xr:uid="{00000000-0005-0000-0000-0000D4020000}"/>
    <cellStyle name="20% - Énfasis6 2 2 3" xfId="2425" xr:uid="{00000000-0005-0000-0000-0000D5020000}"/>
    <cellStyle name="20% - Énfasis6 2 2 4" xfId="2655" xr:uid="{00000000-0005-0000-0000-0000D6020000}"/>
    <cellStyle name="20% - Énfasis6 2 2 5" xfId="2919" xr:uid="{00000000-0005-0000-0000-0000D7020000}"/>
    <cellStyle name="20% - Énfasis6 2 2 6" xfId="3444" xr:uid="{00000000-0005-0000-0000-0000D8020000}"/>
    <cellStyle name="20% - Énfasis6 2 2 7" xfId="3710" xr:uid="{00000000-0005-0000-0000-0000D9020000}"/>
    <cellStyle name="20% - Énfasis6 2 3" xfId="2030" xr:uid="{00000000-0005-0000-0000-0000DA020000}"/>
    <cellStyle name="20% - Énfasis6 2 3 2" xfId="2427" xr:uid="{00000000-0005-0000-0000-0000DB020000}"/>
    <cellStyle name="20% - Énfasis6 2 3 3" xfId="2657" xr:uid="{00000000-0005-0000-0000-0000DC020000}"/>
    <cellStyle name="20% - Énfasis6 2 3 4" xfId="2921" xr:uid="{00000000-0005-0000-0000-0000DD020000}"/>
    <cellStyle name="20% - Énfasis6 2 3 5" xfId="3446" xr:uid="{00000000-0005-0000-0000-0000DE020000}"/>
    <cellStyle name="20% - Énfasis6 2 3 6" xfId="3712" xr:uid="{00000000-0005-0000-0000-0000DF020000}"/>
    <cellStyle name="20% - Énfasis6 2 4" xfId="2424" xr:uid="{00000000-0005-0000-0000-0000E0020000}"/>
    <cellStyle name="20% - Énfasis6 2 5" xfId="2654" xr:uid="{00000000-0005-0000-0000-0000E1020000}"/>
    <cellStyle name="20% - Énfasis6 2 6" xfId="2918" xr:uid="{00000000-0005-0000-0000-0000E2020000}"/>
    <cellStyle name="20% - Énfasis6 2 7" xfId="3443" xr:uid="{00000000-0005-0000-0000-0000E3020000}"/>
    <cellStyle name="20% - Énfasis6 2 8" xfId="3709" xr:uid="{00000000-0005-0000-0000-0000E4020000}"/>
    <cellStyle name="20% - Énfasis6 3" xfId="2031" xr:uid="{00000000-0005-0000-0000-0000E5020000}"/>
    <cellStyle name="20% - Énfasis6 3 2" xfId="2032" xr:uid="{00000000-0005-0000-0000-0000E6020000}"/>
    <cellStyle name="20% - Énfasis6 3 2 2" xfId="2033" xr:uid="{00000000-0005-0000-0000-0000E7020000}"/>
    <cellStyle name="20% - Énfasis6 3 2 2 2" xfId="2430" xr:uid="{00000000-0005-0000-0000-0000E8020000}"/>
    <cellStyle name="20% - Énfasis6 3 2 2 3" xfId="2660" xr:uid="{00000000-0005-0000-0000-0000E9020000}"/>
    <cellStyle name="20% - Énfasis6 3 2 2 4" xfId="2924" xr:uid="{00000000-0005-0000-0000-0000EA020000}"/>
    <cellStyle name="20% - Énfasis6 3 2 2 5" xfId="3449" xr:uid="{00000000-0005-0000-0000-0000EB020000}"/>
    <cellStyle name="20% - Énfasis6 3 2 2 6" xfId="3715" xr:uid="{00000000-0005-0000-0000-0000EC020000}"/>
    <cellStyle name="20% - Énfasis6 3 2 3" xfId="2429" xr:uid="{00000000-0005-0000-0000-0000ED020000}"/>
    <cellStyle name="20% - Énfasis6 3 2 4" xfId="2659" xr:uid="{00000000-0005-0000-0000-0000EE020000}"/>
    <cellStyle name="20% - Énfasis6 3 2 5" xfId="2923" xr:uid="{00000000-0005-0000-0000-0000EF020000}"/>
    <cellStyle name="20% - Énfasis6 3 2 6" xfId="3448" xr:uid="{00000000-0005-0000-0000-0000F0020000}"/>
    <cellStyle name="20% - Énfasis6 3 2 7" xfId="3714" xr:uid="{00000000-0005-0000-0000-0000F1020000}"/>
    <cellStyle name="20% - Énfasis6 3 3" xfId="2034" xr:uid="{00000000-0005-0000-0000-0000F2020000}"/>
    <cellStyle name="20% - Énfasis6 3 3 2" xfId="2431" xr:uid="{00000000-0005-0000-0000-0000F3020000}"/>
    <cellStyle name="20% - Énfasis6 3 3 3" xfId="2661" xr:uid="{00000000-0005-0000-0000-0000F4020000}"/>
    <cellStyle name="20% - Énfasis6 3 3 4" xfId="2925" xr:uid="{00000000-0005-0000-0000-0000F5020000}"/>
    <cellStyle name="20% - Énfasis6 3 3 5" xfId="3450" xr:uid="{00000000-0005-0000-0000-0000F6020000}"/>
    <cellStyle name="20% - Énfasis6 3 3 6" xfId="3716" xr:uid="{00000000-0005-0000-0000-0000F7020000}"/>
    <cellStyle name="20% - Énfasis6 3 4" xfId="2428" xr:uid="{00000000-0005-0000-0000-0000F8020000}"/>
    <cellStyle name="20% - Énfasis6 3 5" xfId="2658" xr:uid="{00000000-0005-0000-0000-0000F9020000}"/>
    <cellStyle name="20% - Énfasis6 3 6" xfId="2922" xr:uid="{00000000-0005-0000-0000-0000FA020000}"/>
    <cellStyle name="20% - Énfasis6 3 7" xfId="3447" xr:uid="{00000000-0005-0000-0000-0000FB020000}"/>
    <cellStyle name="20% - Énfasis6 3 8" xfId="3713" xr:uid="{00000000-0005-0000-0000-0000FC020000}"/>
    <cellStyle name="20% - Énfasis6 4" xfId="2035" xr:uid="{00000000-0005-0000-0000-0000FD020000}"/>
    <cellStyle name="20% - Énfasis6 4 2" xfId="2036" xr:uid="{00000000-0005-0000-0000-0000FE020000}"/>
    <cellStyle name="20% - Énfasis6 4 2 2" xfId="2433" xr:uid="{00000000-0005-0000-0000-0000FF020000}"/>
    <cellStyle name="20% - Énfasis6 4 2 3" xfId="2663" xr:uid="{00000000-0005-0000-0000-000000030000}"/>
    <cellStyle name="20% - Énfasis6 4 2 4" xfId="2927" xr:uid="{00000000-0005-0000-0000-000001030000}"/>
    <cellStyle name="20% - Énfasis6 4 2 5" xfId="3452" xr:uid="{00000000-0005-0000-0000-000002030000}"/>
    <cellStyle name="20% - Énfasis6 4 2 6" xfId="3718" xr:uid="{00000000-0005-0000-0000-000003030000}"/>
    <cellStyle name="20% - Énfasis6 4 3" xfId="2432" xr:uid="{00000000-0005-0000-0000-000004030000}"/>
    <cellStyle name="20% - Énfasis6 4 4" xfId="2662" xr:uid="{00000000-0005-0000-0000-000005030000}"/>
    <cellStyle name="20% - Énfasis6 4 5" xfId="2926" xr:uid="{00000000-0005-0000-0000-000006030000}"/>
    <cellStyle name="20% - Énfasis6 4 6" xfId="3451" xr:uid="{00000000-0005-0000-0000-000007030000}"/>
    <cellStyle name="20% - Énfasis6 4 7" xfId="3717" xr:uid="{00000000-0005-0000-0000-000008030000}"/>
    <cellStyle name="20% - Énfasis6 5" xfId="2037" xr:uid="{00000000-0005-0000-0000-000009030000}"/>
    <cellStyle name="20% - Énfasis6 6" xfId="2038" xr:uid="{00000000-0005-0000-0000-00000A030000}"/>
    <cellStyle name="20% - Énfasis6 6 2" xfId="2434" xr:uid="{00000000-0005-0000-0000-00000B030000}"/>
    <cellStyle name="20% - Énfasis6 6 3" xfId="2664" xr:uid="{00000000-0005-0000-0000-00000C030000}"/>
    <cellStyle name="20% - Énfasis6 6 4" xfId="2928" xr:uid="{00000000-0005-0000-0000-00000D030000}"/>
    <cellStyle name="20% - Énfasis6 6 5" xfId="3453" xr:uid="{00000000-0005-0000-0000-00000E030000}"/>
    <cellStyle name="20% - Énfasis6 6 6" xfId="3719" xr:uid="{00000000-0005-0000-0000-00000F030000}"/>
    <cellStyle name="40% - Accent1" xfId="2039" xr:uid="{00000000-0005-0000-0000-000010030000}"/>
    <cellStyle name="40% - Accent2" xfId="2040" xr:uid="{00000000-0005-0000-0000-000011030000}"/>
    <cellStyle name="40% - Accent3" xfId="2041" xr:uid="{00000000-0005-0000-0000-000012030000}"/>
    <cellStyle name="40% - Accent4" xfId="2042" xr:uid="{00000000-0005-0000-0000-000013030000}"/>
    <cellStyle name="40% - Accent5" xfId="2043" xr:uid="{00000000-0005-0000-0000-000014030000}"/>
    <cellStyle name="40% - Accent6" xfId="2044" xr:uid="{00000000-0005-0000-0000-000015030000}"/>
    <cellStyle name="40% - Ênfase1" xfId="342" builtinId="31" customBuiltin="1"/>
    <cellStyle name="40% - Ênfase1 10" xfId="1551" xr:uid="{00000000-0005-0000-0000-000017030000}"/>
    <cellStyle name="40% - Ênfase1 11" xfId="1853" xr:uid="{00000000-0005-0000-0000-000018030000}"/>
    <cellStyle name="40% - Ênfase1 12" xfId="2351" xr:uid="{00000000-0005-0000-0000-000019030000}"/>
    <cellStyle name="40% - Ênfase1 13" xfId="2581" xr:uid="{00000000-0005-0000-0000-00001A030000}"/>
    <cellStyle name="40% - Ênfase1 14" xfId="2807" xr:uid="{00000000-0005-0000-0000-00001B030000}"/>
    <cellStyle name="40% - Ênfase1 15" xfId="2930" xr:uid="{00000000-0005-0000-0000-00001C030000}"/>
    <cellStyle name="40% - Ênfase1 16" xfId="3454" xr:uid="{00000000-0005-0000-0000-00001D030000}"/>
    <cellStyle name="40% - Ênfase1 17" xfId="3613" xr:uid="{00000000-0005-0000-0000-00001E030000}"/>
    <cellStyle name="40% - Ênfase1 18" xfId="3720" xr:uid="{00000000-0005-0000-0000-00001F030000}"/>
    <cellStyle name="40% - Ênfase1 19" xfId="3875" xr:uid="{00000000-0005-0000-0000-000020030000}"/>
    <cellStyle name="40% - Ênfase1 2" xfId="68" xr:uid="{00000000-0005-0000-0000-000021030000}"/>
    <cellStyle name="40% - Ênfase1 3" xfId="463" xr:uid="{00000000-0005-0000-0000-000022030000}"/>
    <cellStyle name="40% - Ênfase1 3 2" xfId="639" xr:uid="{00000000-0005-0000-0000-000023030000}"/>
    <cellStyle name="40% - Ênfase1 3 2 2" xfId="1110" xr:uid="{00000000-0005-0000-0000-000024030000}"/>
    <cellStyle name="40% - Ênfase1 3 2 3" xfId="1432" xr:uid="{00000000-0005-0000-0000-000025030000}"/>
    <cellStyle name="40% - Ênfase1 3 2 4" xfId="1734" xr:uid="{00000000-0005-0000-0000-000026030000}"/>
    <cellStyle name="40% - Ênfase1 3 2 5" xfId="3053" xr:uid="{00000000-0005-0000-0000-000027030000}"/>
    <cellStyle name="40% - Ênfase1 3 2 6" xfId="4072" xr:uid="{00000000-0005-0000-0000-000028030000}"/>
    <cellStyle name="40% - Ênfase1 3 3" xfId="961" xr:uid="{00000000-0005-0000-0000-000029030000}"/>
    <cellStyle name="40% - Ênfase1 3 4" xfId="1273" xr:uid="{00000000-0005-0000-0000-00002A030000}"/>
    <cellStyle name="40% - Ênfase1 3 5" xfId="1582" xr:uid="{00000000-0005-0000-0000-00002B030000}"/>
    <cellStyle name="40% - Ênfase1 3 6" xfId="3288" xr:uid="{00000000-0005-0000-0000-00002C030000}"/>
    <cellStyle name="40% - Ênfase1 3 7" xfId="3905" xr:uid="{00000000-0005-0000-0000-00002D030000}"/>
    <cellStyle name="40% - Ênfase1 4" xfId="477" xr:uid="{00000000-0005-0000-0000-00002E030000}"/>
    <cellStyle name="40% - Ênfase1 4 2" xfId="653" xr:uid="{00000000-0005-0000-0000-00002F030000}"/>
    <cellStyle name="40% - Ênfase1 4 2 2" xfId="1124" xr:uid="{00000000-0005-0000-0000-000030030000}"/>
    <cellStyle name="40% - Ênfase1 4 2 3" xfId="1446" xr:uid="{00000000-0005-0000-0000-000031030000}"/>
    <cellStyle name="40% - Ênfase1 4 2 4" xfId="1748" xr:uid="{00000000-0005-0000-0000-000032030000}"/>
    <cellStyle name="40% - Ênfase1 4 2 5" xfId="3038" xr:uid="{00000000-0005-0000-0000-000033030000}"/>
    <cellStyle name="40% - Ênfase1 4 2 6" xfId="4086" xr:uid="{00000000-0005-0000-0000-000034030000}"/>
    <cellStyle name="40% - Ênfase1 4 3" xfId="975" xr:uid="{00000000-0005-0000-0000-000035030000}"/>
    <cellStyle name="40% - Ênfase1 4 4" xfId="1287" xr:uid="{00000000-0005-0000-0000-000036030000}"/>
    <cellStyle name="40% - Ênfase1 4 5" xfId="1596" xr:uid="{00000000-0005-0000-0000-000037030000}"/>
    <cellStyle name="40% - Ênfase1 4 6" xfId="3296" xr:uid="{00000000-0005-0000-0000-000038030000}"/>
    <cellStyle name="40% - Ênfase1 4 7" xfId="3919" xr:uid="{00000000-0005-0000-0000-000039030000}"/>
    <cellStyle name="40% - Ênfase1 5" xfId="520" xr:uid="{00000000-0005-0000-0000-00003A030000}"/>
    <cellStyle name="40% - Ênfase1 5 2" xfId="695" xr:uid="{00000000-0005-0000-0000-00003B030000}"/>
    <cellStyle name="40% - Ênfase1 5 2 2" xfId="1156" xr:uid="{00000000-0005-0000-0000-00003C030000}"/>
    <cellStyle name="40% - Ênfase1 5 2 3" xfId="1481" xr:uid="{00000000-0005-0000-0000-00003D030000}"/>
    <cellStyle name="40% - Ênfase1 5 2 4" xfId="1783" xr:uid="{00000000-0005-0000-0000-00003E030000}"/>
    <cellStyle name="40% - Ênfase1 5 2 5" xfId="3007" xr:uid="{00000000-0005-0000-0000-00003F030000}"/>
    <cellStyle name="40% - Ênfase1 5 2 6" xfId="4127" xr:uid="{00000000-0005-0000-0000-000040030000}"/>
    <cellStyle name="40% - Ênfase1 5 3" xfId="1007" xr:uid="{00000000-0005-0000-0000-000041030000}"/>
    <cellStyle name="40% - Ênfase1 5 4" xfId="1323" xr:uid="{00000000-0005-0000-0000-000042030000}"/>
    <cellStyle name="40% - Ênfase1 5 5" xfId="1625" xr:uid="{00000000-0005-0000-0000-000043030000}"/>
    <cellStyle name="40% - Ênfase1 5 6" xfId="3157" xr:uid="{00000000-0005-0000-0000-000044030000}"/>
    <cellStyle name="40% - Ênfase1 5 7" xfId="3957" xr:uid="{00000000-0005-0000-0000-000045030000}"/>
    <cellStyle name="40% - Ênfase1 6" xfId="601" xr:uid="{00000000-0005-0000-0000-000046030000}"/>
    <cellStyle name="40% - Ênfase1 6 2" xfId="1075" xr:uid="{00000000-0005-0000-0000-000047030000}"/>
    <cellStyle name="40% - Ênfase1 6 3" xfId="1394" xr:uid="{00000000-0005-0000-0000-000048030000}"/>
    <cellStyle name="40% - Ênfase1 6 4" xfId="1696" xr:uid="{00000000-0005-0000-0000-000049030000}"/>
    <cellStyle name="40% - Ênfase1 6 5" xfId="3325" xr:uid="{00000000-0005-0000-0000-00004A030000}"/>
    <cellStyle name="40% - Ênfase1 6 6" xfId="4034" xr:uid="{00000000-0005-0000-0000-00004B030000}"/>
    <cellStyle name="40% - Ênfase1 7" xfId="724" xr:uid="{00000000-0005-0000-0000-00004C030000}"/>
    <cellStyle name="40% - Ênfase1 7 2" xfId="1185" xr:uid="{00000000-0005-0000-0000-00004D030000}"/>
    <cellStyle name="40% - Ênfase1 7 3" xfId="1510" xr:uid="{00000000-0005-0000-0000-00004E030000}"/>
    <cellStyle name="40% - Ênfase1 7 4" xfId="1812" xr:uid="{00000000-0005-0000-0000-00004F030000}"/>
    <cellStyle name="40% - Ênfase1 7 5" xfId="3363" xr:uid="{00000000-0005-0000-0000-000050030000}"/>
    <cellStyle name="40% - Ênfase1 7 6" xfId="4156" xr:uid="{00000000-0005-0000-0000-000051030000}"/>
    <cellStyle name="40% - Ênfase1 8" xfId="924" xr:uid="{00000000-0005-0000-0000-000052030000}"/>
    <cellStyle name="40% - Ênfase1 9" xfId="1235" xr:uid="{00000000-0005-0000-0000-000053030000}"/>
    <cellStyle name="40% - Ênfase2" xfId="346" builtinId="35" customBuiltin="1"/>
    <cellStyle name="40% - Ênfase2 10" xfId="1553" xr:uid="{00000000-0005-0000-0000-000055030000}"/>
    <cellStyle name="40% - Ênfase2 11" xfId="1854" xr:uid="{00000000-0005-0000-0000-000056030000}"/>
    <cellStyle name="40% - Ênfase2 12" xfId="2352" xr:uid="{00000000-0005-0000-0000-000057030000}"/>
    <cellStyle name="40% - Ênfase2 13" xfId="2582" xr:uid="{00000000-0005-0000-0000-000058030000}"/>
    <cellStyle name="40% - Ênfase2 14" xfId="2809" xr:uid="{00000000-0005-0000-0000-000059030000}"/>
    <cellStyle name="40% - Ênfase2 15" xfId="2931" xr:uid="{00000000-0005-0000-0000-00005A030000}"/>
    <cellStyle name="40% - Ênfase2 16" xfId="3455" xr:uid="{00000000-0005-0000-0000-00005B030000}"/>
    <cellStyle name="40% - Ênfase2 17" xfId="3615" xr:uid="{00000000-0005-0000-0000-00005C030000}"/>
    <cellStyle name="40% - Ênfase2 18" xfId="3721" xr:uid="{00000000-0005-0000-0000-00005D030000}"/>
    <cellStyle name="40% - Ênfase2 19" xfId="3877" xr:uid="{00000000-0005-0000-0000-00005E030000}"/>
    <cellStyle name="40% - Ênfase2 2" xfId="69" xr:uid="{00000000-0005-0000-0000-00005F030000}"/>
    <cellStyle name="40% - Ênfase2 3" xfId="465" xr:uid="{00000000-0005-0000-0000-000060030000}"/>
    <cellStyle name="40% - Ênfase2 3 2" xfId="641" xr:uid="{00000000-0005-0000-0000-000061030000}"/>
    <cellStyle name="40% - Ênfase2 3 2 2" xfId="1112" xr:uid="{00000000-0005-0000-0000-000062030000}"/>
    <cellStyle name="40% - Ênfase2 3 2 3" xfId="1434" xr:uid="{00000000-0005-0000-0000-000063030000}"/>
    <cellStyle name="40% - Ênfase2 3 2 4" xfId="1736" xr:uid="{00000000-0005-0000-0000-000064030000}"/>
    <cellStyle name="40% - Ênfase2 3 2 5" xfId="3051" xr:uid="{00000000-0005-0000-0000-000065030000}"/>
    <cellStyle name="40% - Ênfase2 3 2 6" xfId="4074" xr:uid="{00000000-0005-0000-0000-000066030000}"/>
    <cellStyle name="40% - Ênfase2 3 3" xfId="963" xr:uid="{00000000-0005-0000-0000-000067030000}"/>
    <cellStyle name="40% - Ênfase2 3 4" xfId="1275" xr:uid="{00000000-0005-0000-0000-000068030000}"/>
    <cellStyle name="40% - Ênfase2 3 5" xfId="1584" xr:uid="{00000000-0005-0000-0000-000069030000}"/>
    <cellStyle name="40% - Ênfase2 3 6" xfId="3174" xr:uid="{00000000-0005-0000-0000-00006A030000}"/>
    <cellStyle name="40% - Ênfase2 3 7" xfId="3907" xr:uid="{00000000-0005-0000-0000-00006B030000}"/>
    <cellStyle name="40% - Ênfase2 4" xfId="479" xr:uid="{00000000-0005-0000-0000-00006C030000}"/>
    <cellStyle name="40% - Ênfase2 4 2" xfId="655" xr:uid="{00000000-0005-0000-0000-00006D030000}"/>
    <cellStyle name="40% - Ênfase2 4 2 2" xfId="1126" xr:uid="{00000000-0005-0000-0000-00006E030000}"/>
    <cellStyle name="40% - Ênfase2 4 2 3" xfId="1448" xr:uid="{00000000-0005-0000-0000-00006F030000}"/>
    <cellStyle name="40% - Ênfase2 4 2 4" xfId="1750" xr:uid="{00000000-0005-0000-0000-000070030000}"/>
    <cellStyle name="40% - Ênfase2 4 2 5" xfId="3035" xr:uid="{00000000-0005-0000-0000-000071030000}"/>
    <cellStyle name="40% - Ênfase2 4 2 6" xfId="4088" xr:uid="{00000000-0005-0000-0000-000072030000}"/>
    <cellStyle name="40% - Ênfase2 4 3" xfId="977" xr:uid="{00000000-0005-0000-0000-000073030000}"/>
    <cellStyle name="40% - Ênfase2 4 4" xfId="1289" xr:uid="{00000000-0005-0000-0000-000074030000}"/>
    <cellStyle name="40% - Ênfase2 4 5" xfId="1598" xr:uid="{00000000-0005-0000-0000-000075030000}"/>
    <cellStyle name="40% - Ênfase2 4 6" xfId="3298" xr:uid="{00000000-0005-0000-0000-000076030000}"/>
    <cellStyle name="40% - Ênfase2 4 7" xfId="3921" xr:uid="{00000000-0005-0000-0000-000077030000}"/>
    <cellStyle name="40% - Ênfase2 5" xfId="522" xr:uid="{00000000-0005-0000-0000-000078030000}"/>
    <cellStyle name="40% - Ênfase2 5 2" xfId="697" xr:uid="{00000000-0005-0000-0000-000079030000}"/>
    <cellStyle name="40% - Ênfase2 5 2 2" xfId="1158" xr:uid="{00000000-0005-0000-0000-00007A030000}"/>
    <cellStyle name="40% - Ênfase2 5 2 3" xfId="1483" xr:uid="{00000000-0005-0000-0000-00007B030000}"/>
    <cellStyle name="40% - Ênfase2 5 2 4" xfId="1785" xr:uid="{00000000-0005-0000-0000-00007C030000}"/>
    <cellStyle name="40% - Ênfase2 5 2 5" xfId="3005" xr:uid="{00000000-0005-0000-0000-00007D030000}"/>
    <cellStyle name="40% - Ênfase2 5 2 6" xfId="4129" xr:uid="{00000000-0005-0000-0000-00007E030000}"/>
    <cellStyle name="40% - Ênfase2 5 3" xfId="1009" xr:uid="{00000000-0005-0000-0000-00007F030000}"/>
    <cellStyle name="40% - Ênfase2 5 4" xfId="1325" xr:uid="{00000000-0005-0000-0000-000080030000}"/>
    <cellStyle name="40% - Ênfase2 5 5" xfId="1627" xr:uid="{00000000-0005-0000-0000-000081030000}"/>
    <cellStyle name="40% - Ênfase2 5 6" xfId="3155" xr:uid="{00000000-0005-0000-0000-000082030000}"/>
    <cellStyle name="40% - Ênfase2 5 7" xfId="3959" xr:uid="{00000000-0005-0000-0000-000083030000}"/>
    <cellStyle name="40% - Ênfase2 6" xfId="603" xr:uid="{00000000-0005-0000-0000-000084030000}"/>
    <cellStyle name="40% - Ênfase2 6 2" xfId="1077" xr:uid="{00000000-0005-0000-0000-000085030000}"/>
    <cellStyle name="40% - Ênfase2 6 3" xfId="1396" xr:uid="{00000000-0005-0000-0000-000086030000}"/>
    <cellStyle name="40% - Ênfase2 6 4" xfId="1698" xr:uid="{00000000-0005-0000-0000-000087030000}"/>
    <cellStyle name="40% - Ênfase2 6 5" xfId="3088" xr:uid="{00000000-0005-0000-0000-000088030000}"/>
    <cellStyle name="40% - Ênfase2 6 6" xfId="4036" xr:uid="{00000000-0005-0000-0000-000089030000}"/>
    <cellStyle name="40% - Ênfase2 7" xfId="725" xr:uid="{00000000-0005-0000-0000-00008A030000}"/>
    <cellStyle name="40% - Ênfase2 7 2" xfId="1186" xr:uid="{00000000-0005-0000-0000-00008B030000}"/>
    <cellStyle name="40% - Ênfase2 7 3" xfId="1511" xr:uid="{00000000-0005-0000-0000-00008C030000}"/>
    <cellStyle name="40% - Ênfase2 7 4" xfId="1813" xr:uid="{00000000-0005-0000-0000-00008D030000}"/>
    <cellStyle name="40% - Ênfase2 7 5" xfId="3364" xr:uid="{00000000-0005-0000-0000-00008E030000}"/>
    <cellStyle name="40% - Ênfase2 7 6" xfId="4157" xr:uid="{00000000-0005-0000-0000-00008F030000}"/>
    <cellStyle name="40% - Ênfase2 8" xfId="926" xr:uid="{00000000-0005-0000-0000-000090030000}"/>
    <cellStyle name="40% - Ênfase2 9" xfId="1237" xr:uid="{00000000-0005-0000-0000-000091030000}"/>
    <cellStyle name="40% - Ênfase3" xfId="350" builtinId="39" customBuiltin="1"/>
    <cellStyle name="40% - Ênfase3 10" xfId="1556" xr:uid="{00000000-0005-0000-0000-000093030000}"/>
    <cellStyle name="40% - Ênfase3 11" xfId="1855" xr:uid="{00000000-0005-0000-0000-000094030000}"/>
    <cellStyle name="40% - Ênfase3 12" xfId="2353" xr:uid="{00000000-0005-0000-0000-000095030000}"/>
    <cellStyle name="40% - Ênfase3 13" xfId="2583" xr:uid="{00000000-0005-0000-0000-000096030000}"/>
    <cellStyle name="40% - Ênfase3 14" xfId="2811" xr:uid="{00000000-0005-0000-0000-000097030000}"/>
    <cellStyle name="40% - Ênfase3 15" xfId="2932" xr:uid="{00000000-0005-0000-0000-000098030000}"/>
    <cellStyle name="40% - Ênfase3 16" xfId="3456" xr:uid="{00000000-0005-0000-0000-000099030000}"/>
    <cellStyle name="40% - Ênfase3 17" xfId="3617" xr:uid="{00000000-0005-0000-0000-00009A030000}"/>
    <cellStyle name="40% - Ênfase3 18" xfId="3722" xr:uid="{00000000-0005-0000-0000-00009B030000}"/>
    <cellStyle name="40% - Ênfase3 19" xfId="3879" xr:uid="{00000000-0005-0000-0000-00009C030000}"/>
    <cellStyle name="40% - Ênfase3 2" xfId="70" xr:uid="{00000000-0005-0000-0000-00009D030000}"/>
    <cellStyle name="40% - Ênfase3 3" xfId="467" xr:uid="{00000000-0005-0000-0000-00009E030000}"/>
    <cellStyle name="40% - Ênfase3 3 2" xfId="643" xr:uid="{00000000-0005-0000-0000-00009F030000}"/>
    <cellStyle name="40% - Ênfase3 3 2 2" xfId="1114" xr:uid="{00000000-0005-0000-0000-0000A0030000}"/>
    <cellStyle name="40% - Ênfase3 3 2 3" xfId="1436" xr:uid="{00000000-0005-0000-0000-0000A1030000}"/>
    <cellStyle name="40% - Ênfase3 3 2 4" xfId="1738" xr:uid="{00000000-0005-0000-0000-0000A2030000}"/>
    <cellStyle name="40% - Ênfase3 3 2 5" xfId="3049" xr:uid="{00000000-0005-0000-0000-0000A3030000}"/>
    <cellStyle name="40% - Ênfase3 3 2 6" xfId="4076" xr:uid="{00000000-0005-0000-0000-0000A4030000}"/>
    <cellStyle name="40% - Ênfase3 3 3" xfId="965" xr:uid="{00000000-0005-0000-0000-0000A5030000}"/>
    <cellStyle name="40% - Ênfase3 3 4" xfId="1277" xr:uid="{00000000-0005-0000-0000-0000A6030000}"/>
    <cellStyle name="40% - Ênfase3 3 5" xfId="1586" xr:uid="{00000000-0005-0000-0000-0000A7030000}"/>
    <cellStyle name="40% - Ênfase3 3 6" xfId="3217" xr:uid="{00000000-0005-0000-0000-0000A8030000}"/>
    <cellStyle name="40% - Ênfase3 3 7" xfId="3909" xr:uid="{00000000-0005-0000-0000-0000A9030000}"/>
    <cellStyle name="40% - Ênfase3 4" xfId="482" xr:uid="{00000000-0005-0000-0000-0000AA030000}"/>
    <cellStyle name="40% - Ênfase3 4 2" xfId="658" xr:uid="{00000000-0005-0000-0000-0000AB030000}"/>
    <cellStyle name="40% - Ênfase3 4 2 2" xfId="1128" xr:uid="{00000000-0005-0000-0000-0000AC030000}"/>
    <cellStyle name="40% - Ênfase3 4 2 3" xfId="1450" xr:uid="{00000000-0005-0000-0000-0000AD030000}"/>
    <cellStyle name="40% - Ênfase3 4 2 4" xfId="1752" xr:uid="{00000000-0005-0000-0000-0000AE030000}"/>
    <cellStyle name="40% - Ênfase3 4 2 5" xfId="3032" xr:uid="{00000000-0005-0000-0000-0000AF030000}"/>
    <cellStyle name="40% - Ênfase3 4 2 6" xfId="4091" xr:uid="{00000000-0005-0000-0000-0000B0030000}"/>
    <cellStyle name="40% - Ênfase3 4 3" xfId="979" xr:uid="{00000000-0005-0000-0000-0000B1030000}"/>
    <cellStyle name="40% - Ênfase3 4 4" xfId="1291" xr:uid="{00000000-0005-0000-0000-0000B2030000}"/>
    <cellStyle name="40% - Ênfase3 4 5" xfId="1600" xr:uid="{00000000-0005-0000-0000-0000B3030000}"/>
    <cellStyle name="40% - Ênfase3 4 6" xfId="3172" xr:uid="{00000000-0005-0000-0000-0000B4030000}"/>
    <cellStyle name="40% - Ênfase3 4 7" xfId="3923" xr:uid="{00000000-0005-0000-0000-0000B5030000}"/>
    <cellStyle name="40% - Ênfase3 5" xfId="524" xr:uid="{00000000-0005-0000-0000-0000B6030000}"/>
    <cellStyle name="40% - Ênfase3 5 2" xfId="699" xr:uid="{00000000-0005-0000-0000-0000B7030000}"/>
    <cellStyle name="40% - Ênfase3 5 2 2" xfId="1160" xr:uid="{00000000-0005-0000-0000-0000B8030000}"/>
    <cellStyle name="40% - Ênfase3 5 2 3" xfId="1485" xr:uid="{00000000-0005-0000-0000-0000B9030000}"/>
    <cellStyle name="40% - Ênfase3 5 2 4" xfId="1787" xr:uid="{00000000-0005-0000-0000-0000BA030000}"/>
    <cellStyle name="40% - Ênfase3 5 2 5" xfId="3339" xr:uid="{00000000-0005-0000-0000-0000BB030000}"/>
    <cellStyle name="40% - Ênfase3 5 2 6" xfId="4131" xr:uid="{00000000-0005-0000-0000-0000BC030000}"/>
    <cellStyle name="40% - Ênfase3 5 3" xfId="1011" xr:uid="{00000000-0005-0000-0000-0000BD030000}"/>
    <cellStyle name="40% - Ênfase3 5 4" xfId="1327" xr:uid="{00000000-0005-0000-0000-0000BE030000}"/>
    <cellStyle name="40% - Ênfase3 5 5" xfId="1629" xr:uid="{00000000-0005-0000-0000-0000BF030000}"/>
    <cellStyle name="40% - Ênfase3 5 6" xfId="3153" xr:uid="{00000000-0005-0000-0000-0000C0030000}"/>
    <cellStyle name="40% - Ênfase3 5 7" xfId="3961" xr:uid="{00000000-0005-0000-0000-0000C1030000}"/>
    <cellStyle name="40% - Ênfase3 6" xfId="605" xr:uid="{00000000-0005-0000-0000-0000C2030000}"/>
    <cellStyle name="40% - Ênfase3 6 2" xfId="1079" xr:uid="{00000000-0005-0000-0000-0000C3030000}"/>
    <cellStyle name="40% - Ênfase3 6 3" xfId="1398" xr:uid="{00000000-0005-0000-0000-0000C4030000}"/>
    <cellStyle name="40% - Ênfase3 6 4" xfId="1700" xr:uid="{00000000-0005-0000-0000-0000C5030000}"/>
    <cellStyle name="40% - Ênfase3 6 5" xfId="3086" xr:uid="{00000000-0005-0000-0000-0000C6030000}"/>
    <cellStyle name="40% - Ênfase3 6 6" xfId="4038" xr:uid="{00000000-0005-0000-0000-0000C7030000}"/>
    <cellStyle name="40% - Ênfase3 7" xfId="726" xr:uid="{00000000-0005-0000-0000-0000C8030000}"/>
    <cellStyle name="40% - Ênfase3 7 2" xfId="1187" xr:uid="{00000000-0005-0000-0000-0000C9030000}"/>
    <cellStyle name="40% - Ênfase3 7 3" xfId="1512" xr:uid="{00000000-0005-0000-0000-0000CA030000}"/>
    <cellStyle name="40% - Ênfase3 7 4" xfId="1814" xr:uid="{00000000-0005-0000-0000-0000CB030000}"/>
    <cellStyle name="40% - Ênfase3 7 5" xfId="3365" xr:uid="{00000000-0005-0000-0000-0000CC030000}"/>
    <cellStyle name="40% - Ênfase3 7 6" xfId="4158" xr:uid="{00000000-0005-0000-0000-0000CD030000}"/>
    <cellStyle name="40% - Ênfase3 8" xfId="928" xr:uid="{00000000-0005-0000-0000-0000CE030000}"/>
    <cellStyle name="40% - Ênfase3 9" xfId="1239" xr:uid="{00000000-0005-0000-0000-0000CF030000}"/>
    <cellStyle name="40% - Ênfase4" xfId="354" builtinId="43" customBuiltin="1"/>
    <cellStyle name="40% - Ênfase4 10" xfId="1558" xr:uid="{00000000-0005-0000-0000-0000D1030000}"/>
    <cellStyle name="40% - Ênfase4 11" xfId="1856" xr:uid="{00000000-0005-0000-0000-0000D2030000}"/>
    <cellStyle name="40% - Ênfase4 12" xfId="2354" xr:uid="{00000000-0005-0000-0000-0000D3030000}"/>
    <cellStyle name="40% - Ênfase4 13" xfId="2584" xr:uid="{00000000-0005-0000-0000-0000D4030000}"/>
    <cellStyle name="40% - Ênfase4 14" xfId="2813" xr:uid="{00000000-0005-0000-0000-0000D5030000}"/>
    <cellStyle name="40% - Ênfase4 15" xfId="2934" xr:uid="{00000000-0005-0000-0000-0000D6030000}"/>
    <cellStyle name="40% - Ênfase4 16" xfId="3457" xr:uid="{00000000-0005-0000-0000-0000D7030000}"/>
    <cellStyle name="40% - Ênfase4 17" xfId="3619" xr:uid="{00000000-0005-0000-0000-0000D8030000}"/>
    <cellStyle name="40% - Ênfase4 18" xfId="3723" xr:uid="{00000000-0005-0000-0000-0000D9030000}"/>
    <cellStyle name="40% - Ênfase4 19" xfId="3881" xr:uid="{00000000-0005-0000-0000-0000DA030000}"/>
    <cellStyle name="40% - Ênfase4 2" xfId="71" xr:uid="{00000000-0005-0000-0000-0000DB030000}"/>
    <cellStyle name="40% - Ênfase4 3" xfId="469" xr:uid="{00000000-0005-0000-0000-0000DC030000}"/>
    <cellStyle name="40% - Ênfase4 3 2" xfId="645" xr:uid="{00000000-0005-0000-0000-0000DD030000}"/>
    <cellStyle name="40% - Ênfase4 3 2 2" xfId="1116" xr:uid="{00000000-0005-0000-0000-0000DE030000}"/>
    <cellStyle name="40% - Ênfase4 3 2 3" xfId="1438" xr:uid="{00000000-0005-0000-0000-0000DF030000}"/>
    <cellStyle name="40% - Ênfase4 3 2 4" xfId="1740" xr:uid="{00000000-0005-0000-0000-0000E0030000}"/>
    <cellStyle name="40% - Ênfase4 3 2 5" xfId="3046" xr:uid="{00000000-0005-0000-0000-0000E1030000}"/>
    <cellStyle name="40% - Ênfase4 3 2 6" xfId="4078" xr:uid="{00000000-0005-0000-0000-0000E2030000}"/>
    <cellStyle name="40% - Ênfase4 3 3" xfId="967" xr:uid="{00000000-0005-0000-0000-0000E3030000}"/>
    <cellStyle name="40% - Ênfase4 3 4" xfId="1279" xr:uid="{00000000-0005-0000-0000-0000E4030000}"/>
    <cellStyle name="40% - Ênfase4 3 5" xfId="1588" xr:uid="{00000000-0005-0000-0000-0000E5030000}"/>
    <cellStyle name="40% - Ênfase4 3 6" xfId="3216" xr:uid="{00000000-0005-0000-0000-0000E6030000}"/>
    <cellStyle name="40% - Ênfase4 3 7" xfId="3911" xr:uid="{00000000-0005-0000-0000-0000E7030000}"/>
    <cellStyle name="40% - Ênfase4 4" xfId="484" xr:uid="{00000000-0005-0000-0000-0000E8030000}"/>
    <cellStyle name="40% - Ênfase4 4 2" xfId="660" xr:uid="{00000000-0005-0000-0000-0000E9030000}"/>
    <cellStyle name="40% - Ênfase4 4 2 2" xfId="1130" xr:uid="{00000000-0005-0000-0000-0000EA030000}"/>
    <cellStyle name="40% - Ênfase4 4 2 3" xfId="1452" xr:uid="{00000000-0005-0000-0000-0000EB030000}"/>
    <cellStyle name="40% - Ênfase4 4 2 4" xfId="1754" xr:uid="{00000000-0005-0000-0000-0000EC030000}"/>
    <cellStyle name="40% - Ênfase4 4 2 5" xfId="3030" xr:uid="{00000000-0005-0000-0000-0000ED030000}"/>
    <cellStyle name="40% - Ênfase4 4 2 6" xfId="4093" xr:uid="{00000000-0005-0000-0000-0000EE030000}"/>
    <cellStyle name="40% - Ênfase4 4 3" xfId="981" xr:uid="{00000000-0005-0000-0000-0000EF030000}"/>
    <cellStyle name="40% - Ênfase4 4 4" xfId="1293" xr:uid="{00000000-0005-0000-0000-0000F0030000}"/>
    <cellStyle name="40% - Ênfase4 4 5" xfId="1602" xr:uid="{00000000-0005-0000-0000-0000F1030000}"/>
    <cellStyle name="40% - Ênfase4 4 6" xfId="3301" xr:uid="{00000000-0005-0000-0000-0000F2030000}"/>
    <cellStyle name="40% - Ênfase4 4 7" xfId="3925" xr:uid="{00000000-0005-0000-0000-0000F3030000}"/>
    <cellStyle name="40% - Ênfase4 5" xfId="526" xr:uid="{00000000-0005-0000-0000-0000F4030000}"/>
    <cellStyle name="40% - Ênfase4 5 2" xfId="701" xr:uid="{00000000-0005-0000-0000-0000F5030000}"/>
    <cellStyle name="40% - Ênfase4 5 2 2" xfId="1162" xr:uid="{00000000-0005-0000-0000-0000F6030000}"/>
    <cellStyle name="40% - Ênfase4 5 2 3" xfId="1487" xr:uid="{00000000-0005-0000-0000-0000F7030000}"/>
    <cellStyle name="40% - Ênfase4 5 2 4" xfId="1789" xr:uid="{00000000-0005-0000-0000-0000F8030000}"/>
    <cellStyle name="40% - Ênfase4 5 2 5" xfId="3003" xr:uid="{00000000-0005-0000-0000-0000F9030000}"/>
    <cellStyle name="40% - Ênfase4 5 2 6" xfId="4133" xr:uid="{00000000-0005-0000-0000-0000FA030000}"/>
    <cellStyle name="40% - Ênfase4 5 3" xfId="1013" xr:uid="{00000000-0005-0000-0000-0000FB030000}"/>
    <cellStyle name="40% - Ênfase4 5 4" xfId="1329" xr:uid="{00000000-0005-0000-0000-0000FC030000}"/>
    <cellStyle name="40% - Ênfase4 5 5" xfId="1631" xr:uid="{00000000-0005-0000-0000-0000FD030000}"/>
    <cellStyle name="40% - Ênfase4 5 6" xfId="3151" xr:uid="{00000000-0005-0000-0000-0000FE030000}"/>
    <cellStyle name="40% - Ênfase4 5 7" xfId="3963" xr:uid="{00000000-0005-0000-0000-0000FF030000}"/>
    <cellStyle name="40% - Ênfase4 6" xfId="607" xr:uid="{00000000-0005-0000-0000-000000040000}"/>
    <cellStyle name="40% - Ênfase4 6 2" xfId="1081" xr:uid="{00000000-0005-0000-0000-000001040000}"/>
    <cellStyle name="40% - Ênfase4 6 3" xfId="1400" xr:uid="{00000000-0005-0000-0000-000002040000}"/>
    <cellStyle name="40% - Ênfase4 6 4" xfId="1702" xr:uid="{00000000-0005-0000-0000-000003040000}"/>
    <cellStyle name="40% - Ênfase4 6 5" xfId="3084" xr:uid="{00000000-0005-0000-0000-000004040000}"/>
    <cellStyle name="40% - Ênfase4 6 6" xfId="4040" xr:uid="{00000000-0005-0000-0000-000005040000}"/>
    <cellStyle name="40% - Ênfase4 7" xfId="727" xr:uid="{00000000-0005-0000-0000-000006040000}"/>
    <cellStyle name="40% - Ênfase4 7 2" xfId="1188" xr:uid="{00000000-0005-0000-0000-000007040000}"/>
    <cellStyle name="40% - Ênfase4 7 3" xfId="1513" xr:uid="{00000000-0005-0000-0000-000008040000}"/>
    <cellStyle name="40% - Ênfase4 7 4" xfId="1815" xr:uid="{00000000-0005-0000-0000-000009040000}"/>
    <cellStyle name="40% - Ênfase4 7 5" xfId="3366" xr:uid="{00000000-0005-0000-0000-00000A040000}"/>
    <cellStyle name="40% - Ênfase4 7 6" xfId="4159" xr:uid="{00000000-0005-0000-0000-00000B040000}"/>
    <cellStyle name="40% - Ênfase4 8" xfId="930" xr:uid="{00000000-0005-0000-0000-00000C040000}"/>
    <cellStyle name="40% - Ênfase4 9" xfId="1241" xr:uid="{00000000-0005-0000-0000-00000D040000}"/>
    <cellStyle name="40% - Ênfase5" xfId="358" builtinId="47" customBuiltin="1"/>
    <cellStyle name="40% - Ênfase5 10" xfId="1560" xr:uid="{00000000-0005-0000-0000-00000F040000}"/>
    <cellStyle name="40% - Ênfase5 11" xfId="1858" xr:uid="{00000000-0005-0000-0000-000010040000}"/>
    <cellStyle name="40% - Ênfase5 12" xfId="2355" xr:uid="{00000000-0005-0000-0000-000011040000}"/>
    <cellStyle name="40% - Ênfase5 13" xfId="2585" xr:uid="{00000000-0005-0000-0000-000012040000}"/>
    <cellStyle name="40% - Ênfase5 14" xfId="2815" xr:uid="{00000000-0005-0000-0000-000013040000}"/>
    <cellStyle name="40% - Ênfase5 15" xfId="2935" xr:uid="{00000000-0005-0000-0000-000014040000}"/>
    <cellStyle name="40% - Ênfase5 16" xfId="3458" xr:uid="{00000000-0005-0000-0000-000015040000}"/>
    <cellStyle name="40% - Ênfase5 17" xfId="3621" xr:uid="{00000000-0005-0000-0000-000016040000}"/>
    <cellStyle name="40% - Ênfase5 18" xfId="3724" xr:uid="{00000000-0005-0000-0000-000017040000}"/>
    <cellStyle name="40% - Ênfase5 19" xfId="3883" xr:uid="{00000000-0005-0000-0000-000018040000}"/>
    <cellStyle name="40% - Ênfase5 2" xfId="72" xr:uid="{00000000-0005-0000-0000-000019040000}"/>
    <cellStyle name="40% - Ênfase5 3" xfId="471" xr:uid="{00000000-0005-0000-0000-00001A040000}"/>
    <cellStyle name="40% - Ênfase5 3 2" xfId="647" xr:uid="{00000000-0005-0000-0000-00001B040000}"/>
    <cellStyle name="40% - Ênfase5 3 2 2" xfId="1118" xr:uid="{00000000-0005-0000-0000-00001C040000}"/>
    <cellStyle name="40% - Ênfase5 3 2 3" xfId="1440" xr:uid="{00000000-0005-0000-0000-00001D040000}"/>
    <cellStyle name="40% - Ênfase5 3 2 4" xfId="1742" xr:uid="{00000000-0005-0000-0000-00001E040000}"/>
    <cellStyle name="40% - Ênfase5 3 2 5" xfId="3044" xr:uid="{00000000-0005-0000-0000-00001F040000}"/>
    <cellStyle name="40% - Ênfase5 3 2 6" xfId="4080" xr:uid="{00000000-0005-0000-0000-000020040000}"/>
    <cellStyle name="40% - Ênfase5 3 3" xfId="969" xr:uid="{00000000-0005-0000-0000-000021040000}"/>
    <cellStyle name="40% - Ênfase5 3 4" xfId="1281" xr:uid="{00000000-0005-0000-0000-000022040000}"/>
    <cellStyle name="40% - Ênfase5 3 5" xfId="1590" xr:uid="{00000000-0005-0000-0000-000023040000}"/>
    <cellStyle name="40% - Ênfase5 3 6" xfId="3291" xr:uid="{00000000-0005-0000-0000-000024040000}"/>
    <cellStyle name="40% - Ênfase5 3 7" xfId="3913" xr:uid="{00000000-0005-0000-0000-000025040000}"/>
    <cellStyle name="40% - Ênfase5 4" xfId="486" xr:uid="{00000000-0005-0000-0000-000026040000}"/>
    <cellStyle name="40% - Ênfase5 4 2" xfId="662" xr:uid="{00000000-0005-0000-0000-000027040000}"/>
    <cellStyle name="40% - Ênfase5 4 2 2" xfId="1132" xr:uid="{00000000-0005-0000-0000-000028040000}"/>
    <cellStyle name="40% - Ênfase5 4 2 3" xfId="1454" xr:uid="{00000000-0005-0000-0000-000029040000}"/>
    <cellStyle name="40% - Ênfase5 4 2 4" xfId="1756" xr:uid="{00000000-0005-0000-0000-00002A040000}"/>
    <cellStyle name="40% - Ênfase5 4 2 5" xfId="3028" xr:uid="{00000000-0005-0000-0000-00002B040000}"/>
    <cellStyle name="40% - Ênfase5 4 2 6" xfId="4095" xr:uid="{00000000-0005-0000-0000-00002C040000}"/>
    <cellStyle name="40% - Ênfase5 4 3" xfId="983" xr:uid="{00000000-0005-0000-0000-00002D040000}"/>
    <cellStyle name="40% - Ênfase5 4 4" xfId="1295" xr:uid="{00000000-0005-0000-0000-00002E040000}"/>
    <cellStyle name="40% - Ênfase5 4 5" xfId="1604" xr:uid="{00000000-0005-0000-0000-00002F040000}"/>
    <cellStyle name="40% - Ênfase5 4 6" xfId="3302" xr:uid="{00000000-0005-0000-0000-000030040000}"/>
    <cellStyle name="40% - Ênfase5 4 7" xfId="3927" xr:uid="{00000000-0005-0000-0000-000031040000}"/>
    <cellStyle name="40% - Ênfase5 5" xfId="528" xr:uid="{00000000-0005-0000-0000-000032040000}"/>
    <cellStyle name="40% - Ênfase5 5 2" xfId="703" xr:uid="{00000000-0005-0000-0000-000033040000}"/>
    <cellStyle name="40% - Ênfase5 5 2 2" xfId="1164" xr:uid="{00000000-0005-0000-0000-000034040000}"/>
    <cellStyle name="40% - Ênfase5 5 2 3" xfId="1489" xr:uid="{00000000-0005-0000-0000-000035040000}"/>
    <cellStyle name="40% - Ênfase5 5 2 4" xfId="1791" xr:uid="{00000000-0005-0000-0000-000036040000}"/>
    <cellStyle name="40% - Ênfase5 5 2 5" xfId="3342" xr:uid="{00000000-0005-0000-0000-000037040000}"/>
    <cellStyle name="40% - Ênfase5 5 2 6" xfId="4135" xr:uid="{00000000-0005-0000-0000-000038040000}"/>
    <cellStyle name="40% - Ênfase5 5 3" xfId="1015" xr:uid="{00000000-0005-0000-0000-000039040000}"/>
    <cellStyle name="40% - Ênfase5 5 4" xfId="1331" xr:uid="{00000000-0005-0000-0000-00003A040000}"/>
    <cellStyle name="40% - Ênfase5 5 5" xfId="1633" xr:uid="{00000000-0005-0000-0000-00003B040000}"/>
    <cellStyle name="40% - Ênfase5 5 6" xfId="3149" xr:uid="{00000000-0005-0000-0000-00003C040000}"/>
    <cellStyle name="40% - Ênfase5 5 7" xfId="3965" xr:uid="{00000000-0005-0000-0000-00003D040000}"/>
    <cellStyle name="40% - Ênfase5 6" xfId="609" xr:uid="{00000000-0005-0000-0000-00003E040000}"/>
    <cellStyle name="40% - Ênfase5 6 2" xfId="1083" xr:uid="{00000000-0005-0000-0000-00003F040000}"/>
    <cellStyle name="40% - Ênfase5 6 3" xfId="1402" xr:uid="{00000000-0005-0000-0000-000040040000}"/>
    <cellStyle name="40% - Ênfase5 6 4" xfId="1704" xr:uid="{00000000-0005-0000-0000-000041040000}"/>
    <cellStyle name="40% - Ênfase5 6 5" xfId="3082" xr:uid="{00000000-0005-0000-0000-000042040000}"/>
    <cellStyle name="40% - Ênfase5 6 6" xfId="4042" xr:uid="{00000000-0005-0000-0000-000043040000}"/>
    <cellStyle name="40% - Ênfase5 7" xfId="728" xr:uid="{00000000-0005-0000-0000-000044040000}"/>
    <cellStyle name="40% - Ênfase5 7 2" xfId="1189" xr:uid="{00000000-0005-0000-0000-000045040000}"/>
    <cellStyle name="40% - Ênfase5 7 3" xfId="1514" xr:uid="{00000000-0005-0000-0000-000046040000}"/>
    <cellStyle name="40% - Ênfase5 7 4" xfId="1816" xr:uid="{00000000-0005-0000-0000-000047040000}"/>
    <cellStyle name="40% - Ênfase5 7 5" xfId="3367" xr:uid="{00000000-0005-0000-0000-000048040000}"/>
    <cellStyle name="40% - Ênfase5 7 6" xfId="4160" xr:uid="{00000000-0005-0000-0000-000049040000}"/>
    <cellStyle name="40% - Ênfase5 8" xfId="933" xr:uid="{00000000-0005-0000-0000-00004A040000}"/>
    <cellStyle name="40% - Ênfase5 9" xfId="1243" xr:uid="{00000000-0005-0000-0000-00004B040000}"/>
    <cellStyle name="40% - Ênfase6" xfId="362" builtinId="51" customBuiltin="1"/>
    <cellStyle name="40% - Ênfase6 10" xfId="1562" xr:uid="{00000000-0005-0000-0000-00004D040000}"/>
    <cellStyle name="40% - Ênfase6 11" xfId="1859" xr:uid="{00000000-0005-0000-0000-00004E040000}"/>
    <cellStyle name="40% - Ênfase6 12" xfId="2356" xr:uid="{00000000-0005-0000-0000-00004F040000}"/>
    <cellStyle name="40% - Ênfase6 13" xfId="2586" xr:uid="{00000000-0005-0000-0000-000050040000}"/>
    <cellStyle name="40% - Ênfase6 14" xfId="2817" xr:uid="{00000000-0005-0000-0000-000051040000}"/>
    <cellStyle name="40% - Ênfase6 15" xfId="2936" xr:uid="{00000000-0005-0000-0000-000052040000}"/>
    <cellStyle name="40% - Ênfase6 16" xfId="3459" xr:uid="{00000000-0005-0000-0000-000053040000}"/>
    <cellStyle name="40% - Ênfase6 17" xfId="3623" xr:uid="{00000000-0005-0000-0000-000054040000}"/>
    <cellStyle name="40% - Ênfase6 18" xfId="3725" xr:uid="{00000000-0005-0000-0000-000055040000}"/>
    <cellStyle name="40% - Ênfase6 19" xfId="3885" xr:uid="{00000000-0005-0000-0000-000056040000}"/>
    <cellStyle name="40% - Ênfase6 2" xfId="73" xr:uid="{00000000-0005-0000-0000-000057040000}"/>
    <cellStyle name="40% - Ênfase6 3" xfId="473" xr:uid="{00000000-0005-0000-0000-000058040000}"/>
    <cellStyle name="40% - Ênfase6 3 2" xfId="649" xr:uid="{00000000-0005-0000-0000-000059040000}"/>
    <cellStyle name="40% - Ênfase6 3 2 2" xfId="1120" xr:uid="{00000000-0005-0000-0000-00005A040000}"/>
    <cellStyle name="40% - Ênfase6 3 2 3" xfId="1442" xr:uid="{00000000-0005-0000-0000-00005B040000}"/>
    <cellStyle name="40% - Ênfase6 3 2 4" xfId="1744" xr:uid="{00000000-0005-0000-0000-00005C040000}"/>
    <cellStyle name="40% - Ênfase6 3 2 5" xfId="3042" xr:uid="{00000000-0005-0000-0000-00005D040000}"/>
    <cellStyle name="40% - Ênfase6 3 2 6" xfId="4082" xr:uid="{00000000-0005-0000-0000-00005E040000}"/>
    <cellStyle name="40% - Ênfase6 3 3" xfId="971" xr:uid="{00000000-0005-0000-0000-00005F040000}"/>
    <cellStyle name="40% - Ênfase6 3 4" xfId="1283" xr:uid="{00000000-0005-0000-0000-000060040000}"/>
    <cellStyle name="40% - Ênfase6 3 5" xfId="1592" xr:uid="{00000000-0005-0000-0000-000061040000}"/>
    <cellStyle name="40% - Ênfase6 3 6" xfId="3173" xr:uid="{00000000-0005-0000-0000-000062040000}"/>
    <cellStyle name="40% - Ênfase6 3 7" xfId="3915" xr:uid="{00000000-0005-0000-0000-000063040000}"/>
    <cellStyle name="40% - Ênfase6 4" xfId="488" xr:uid="{00000000-0005-0000-0000-000064040000}"/>
    <cellStyle name="40% - Ênfase6 4 2" xfId="664" xr:uid="{00000000-0005-0000-0000-000065040000}"/>
    <cellStyle name="40% - Ênfase6 4 2 2" xfId="1134" xr:uid="{00000000-0005-0000-0000-000066040000}"/>
    <cellStyle name="40% - Ênfase6 4 2 3" xfId="1456" xr:uid="{00000000-0005-0000-0000-000067040000}"/>
    <cellStyle name="40% - Ênfase6 4 2 4" xfId="1758" xr:uid="{00000000-0005-0000-0000-000068040000}"/>
    <cellStyle name="40% - Ênfase6 4 2 5" xfId="3026" xr:uid="{00000000-0005-0000-0000-000069040000}"/>
    <cellStyle name="40% - Ênfase6 4 2 6" xfId="4097" xr:uid="{00000000-0005-0000-0000-00006A040000}"/>
    <cellStyle name="40% - Ênfase6 4 3" xfId="985" xr:uid="{00000000-0005-0000-0000-00006B040000}"/>
    <cellStyle name="40% - Ênfase6 4 4" xfId="1297" xr:uid="{00000000-0005-0000-0000-00006C040000}"/>
    <cellStyle name="40% - Ênfase6 4 5" xfId="1606" xr:uid="{00000000-0005-0000-0000-00006D040000}"/>
    <cellStyle name="40% - Ênfase6 4 6" xfId="3170" xr:uid="{00000000-0005-0000-0000-00006E040000}"/>
    <cellStyle name="40% - Ênfase6 4 7" xfId="3929" xr:uid="{00000000-0005-0000-0000-00006F040000}"/>
    <cellStyle name="40% - Ênfase6 5" xfId="530" xr:uid="{00000000-0005-0000-0000-000070040000}"/>
    <cellStyle name="40% - Ênfase6 5 2" xfId="705" xr:uid="{00000000-0005-0000-0000-000071040000}"/>
    <cellStyle name="40% - Ênfase6 5 2 2" xfId="1166" xr:uid="{00000000-0005-0000-0000-000072040000}"/>
    <cellStyle name="40% - Ênfase6 5 2 3" xfId="1491" xr:uid="{00000000-0005-0000-0000-000073040000}"/>
    <cellStyle name="40% - Ênfase6 5 2 4" xfId="1793" xr:uid="{00000000-0005-0000-0000-000074040000}"/>
    <cellStyle name="40% - Ênfase6 5 2 5" xfId="3344" xr:uid="{00000000-0005-0000-0000-000075040000}"/>
    <cellStyle name="40% - Ênfase6 5 2 6" xfId="4137" xr:uid="{00000000-0005-0000-0000-000076040000}"/>
    <cellStyle name="40% - Ênfase6 5 3" xfId="1017" xr:uid="{00000000-0005-0000-0000-000077040000}"/>
    <cellStyle name="40% - Ênfase6 5 4" xfId="1333" xr:uid="{00000000-0005-0000-0000-000078040000}"/>
    <cellStyle name="40% - Ênfase6 5 5" xfId="1635" xr:uid="{00000000-0005-0000-0000-000079040000}"/>
    <cellStyle name="40% - Ênfase6 5 6" xfId="3147" xr:uid="{00000000-0005-0000-0000-00007A040000}"/>
    <cellStyle name="40% - Ênfase6 5 7" xfId="3967" xr:uid="{00000000-0005-0000-0000-00007B040000}"/>
    <cellStyle name="40% - Ênfase6 6" xfId="611" xr:uid="{00000000-0005-0000-0000-00007C040000}"/>
    <cellStyle name="40% - Ênfase6 6 2" xfId="1085" xr:uid="{00000000-0005-0000-0000-00007D040000}"/>
    <cellStyle name="40% - Ênfase6 6 3" xfId="1404" xr:uid="{00000000-0005-0000-0000-00007E040000}"/>
    <cellStyle name="40% - Ênfase6 6 4" xfId="1706" xr:uid="{00000000-0005-0000-0000-00007F040000}"/>
    <cellStyle name="40% - Ênfase6 6 5" xfId="3080" xr:uid="{00000000-0005-0000-0000-000080040000}"/>
    <cellStyle name="40% - Ênfase6 6 6" xfId="4044" xr:uid="{00000000-0005-0000-0000-000081040000}"/>
    <cellStyle name="40% - Ênfase6 7" xfId="729" xr:uid="{00000000-0005-0000-0000-000082040000}"/>
    <cellStyle name="40% - Ênfase6 7 2" xfId="1190" xr:uid="{00000000-0005-0000-0000-000083040000}"/>
    <cellStyle name="40% - Ênfase6 7 3" xfId="1515" xr:uid="{00000000-0005-0000-0000-000084040000}"/>
    <cellStyle name="40% - Ênfase6 7 4" xfId="1817" xr:uid="{00000000-0005-0000-0000-000085040000}"/>
    <cellStyle name="40% - Ênfase6 7 5" xfId="3368" xr:uid="{00000000-0005-0000-0000-000086040000}"/>
    <cellStyle name="40% - Ênfase6 7 6" xfId="4161" xr:uid="{00000000-0005-0000-0000-000087040000}"/>
    <cellStyle name="40% - Ênfase6 8" xfId="936" xr:uid="{00000000-0005-0000-0000-000088040000}"/>
    <cellStyle name="40% - Ênfase6 9" xfId="1245" xr:uid="{00000000-0005-0000-0000-000089040000}"/>
    <cellStyle name="40% - Énfasis1 2" xfId="2045" xr:uid="{00000000-0005-0000-0000-00008A040000}"/>
    <cellStyle name="40% - Énfasis1 2 2" xfId="2046" xr:uid="{00000000-0005-0000-0000-00008B040000}"/>
    <cellStyle name="40% - Énfasis1 2 2 2" xfId="2047" xr:uid="{00000000-0005-0000-0000-00008C040000}"/>
    <cellStyle name="40% - Énfasis1 2 2 2 2" xfId="2437" xr:uid="{00000000-0005-0000-0000-00008D040000}"/>
    <cellStyle name="40% - Énfasis1 2 2 2 3" xfId="2667" xr:uid="{00000000-0005-0000-0000-00008E040000}"/>
    <cellStyle name="40% - Énfasis1 2 2 2 4" xfId="2939" xr:uid="{00000000-0005-0000-0000-00008F040000}"/>
    <cellStyle name="40% - Énfasis1 2 2 2 5" xfId="3462" xr:uid="{00000000-0005-0000-0000-000090040000}"/>
    <cellStyle name="40% - Énfasis1 2 2 2 6" xfId="3728" xr:uid="{00000000-0005-0000-0000-000091040000}"/>
    <cellStyle name="40% - Énfasis1 2 2 3" xfId="2436" xr:uid="{00000000-0005-0000-0000-000092040000}"/>
    <cellStyle name="40% - Énfasis1 2 2 4" xfId="2666" xr:uid="{00000000-0005-0000-0000-000093040000}"/>
    <cellStyle name="40% - Énfasis1 2 2 5" xfId="2938" xr:uid="{00000000-0005-0000-0000-000094040000}"/>
    <cellStyle name="40% - Énfasis1 2 2 6" xfId="3461" xr:uid="{00000000-0005-0000-0000-000095040000}"/>
    <cellStyle name="40% - Énfasis1 2 2 7" xfId="3727" xr:uid="{00000000-0005-0000-0000-000096040000}"/>
    <cellStyle name="40% - Énfasis1 2 3" xfId="2048" xr:uid="{00000000-0005-0000-0000-000097040000}"/>
    <cellStyle name="40% - Énfasis1 2 3 2" xfId="2438" xr:uid="{00000000-0005-0000-0000-000098040000}"/>
    <cellStyle name="40% - Énfasis1 2 3 3" xfId="2668" xr:uid="{00000000-0005-0000-0000-000099040000}"/>
    <cellStyle name="40% - Énfasis1 2 3 4" xfId="2940" xr:uid="{00000000-0005-0000-0000-00009A040000}"/>
    <cellStyle name="40% - Énfasis1 2 3 5" xfId="3463" xr:uid="{00000000-0005-0000-0000-00009B040000}"/>
    <cellStyle name="40% - Énfasis1 2 3 6" xfId="3729" xr:uid="{00000000-0005-0000-0000-00009C040000}"/>
    <cellStyle name="40% - Énfasis1 2 4" xfId="2435" xr:uid="{00000000-0005-0000-0000-00009D040000}"/>
    <cellStyle name="40% - Énfasis1 2 5" xfId="2665" xr:uid="{00000000-0005-0000-0000-00009E040000}"/>
    <cellStyle name="40% - Énfasis1 2 6" xfId="2937" xr:uid="{00000000-0005-0000-0000-00009F040000}"/>
    <cellStyle name="40% - Énfasis1 2 7" xfId="3460" xr:uid="{00000000-0005-0000-0000-0000A0040000}"/>
    <cellStyle name="40% - Énfasis1 2 8" xfId="3726" xr:uid="{00000000-0005-0000-0000-0000A1040000}"/>
    <cellStyle name="40% - Énfasis1 3" xfId="2049" xr:uid="{00000000-0005-0000-0000-0000A2040000}"/>
    <cellStyle name="40% - Énfasis1 3 2" xfId="2050" xr:uid="{00000000-0005-0000-0000-0000A3040000}"/>
    <cellStyle name="40% - Énfasis1 3 2 2" xfId="2051" xr:uid="{00000000-0005-0000-0000-0000A4040000}"/>
    <cellStyle name="40% - Énfasis1 3 2 2 2" xfId="2441" xr:uid="{00000000-0005-0000-0000-0000A5040000}"/>
    <cellStyle name="40% - Énfasis1 3 2 2 3" xfId="2671" xr:uid="{00000000-0005-0000-0000-0000A6040000}"/>
    <cellStyle name="40% - Énfasis1 3 2 2 4" xfId="2943" xr:uid="{00000000-0005-0000-0000-0000A7040000}"/>
    <cellStyle name="40% - Énfasis1 3 2 2 5" xfId="3466" xr:uid="{00000000-0005-0000-0000-0000A8040000}"/>
    <cellStyle name="40% - Énfasis1 3 2 2 6" xfId="3732" xr:uid="{00000000-0005-0000-0000-0000A9040000}"/>
    <cellStyle name="40% - Énfasis1 3 2 3" xfId="2440" xr:uid="{00000000-0005-0000-0000-0000AA040000}"/>
    <cellStyle name="40% - Énfasis1 3 2 4" xfId="2670" xr:uid="{00000000-0005-0000-0000-0000AB040000}"/>
    <cellStyle name="40% - Énfasis1 3 2 5" xfId="2942" xr:uid="{00000000-0005-0000-0000-0000AC040000}"/>
    <cellStyle name="40% - Énfasis1 3 2 6" xfId="3465" xr:uid="{00000000-0005-0000-0000-0000AD040000}"/>
    <cellStyle name="40% - Énfasis1 3 2 7" xfId="3731" xr:uid="{00000000-0005-0000-0000-0000AE040000}"/>
    <cellStyle name="40% - Énfasis1 3 3" xfId="2052" xr:uid="{00000000-0005-0000-0000-0000AF040000}"/>
    <cellStyle name="40% - Énfasis1 3 3 2" xfId="2442" xr:uid="{00000000-0005-0000-0000-0000B0040000}"/>
    <cellStyle name="40% - Énfasis1 3 3 3" xfId="2672" xr:uid="{00000000-0005-0000-0000-0000B1040000}"/>
    <cellStyle name="40% - Énfasis1 3 3 4" xfId="2944" xr:uid="{00000000-0005-0000-0000-0000B2040000}"/>
    <cellStyle name="40% - Énfasis1 3 3 5" xfId="3467" xr:uid="{00000000-0005-0000-0000-0000B3040000}"/>
    <cellStyle name="40% - Énfasis1 3 3 6" xfId="3733" xr:uid="{00000000-0005-0000-0000-0000B4040000}"/>
    <cellStyle name="40% - Énfasis1 3 4" xfId="2439" xr:uid="{00000000-0005-0000-0000-0000B5040000}"/>
    <cellStyle name="40% - Énfasis1 3 5" xfId="2669" xr:uid="{00000000-0005-0000-0000-0000B6040000}"/>
    <cellStyle name="40% - Énfasis1 3 6" xfId="2941" xr:uid="{00000000-0005-0000-0000-0000B7040000}"/>
    <cellStyle name="40% - Énfasis1 3 7" xfId="3464" xr:uid="{00000000-0005-0000-0000-0000B8040000}"/>
    <cellStyle name="40% - Énfasis1 3 8" xfId="3730" xr:uid="{00000000-0005-0000-0000-0000B9040000}"/>
    <cellStyle name="40% - Énfasis1 4" xfId="2053" xr:uid="{00000000-0005-0000-0000-0000BA040000}"/>
    <cellStyle name="40% - Énfasis1 4 2" xfId="2054" xr:uid="{00000000-0005-0000-0000-0000BB040000}"/>
    <cellStyle name="40% - Énfasis1 4 2 2" xfId="2444" xr:uid="{00000000-0005-0000-0000-0000BC040000}"/>
    <cellStyle name="40% - Énfasis1 4 2 3" xfId="2674" xr:uid="{00000000-0005-0000-0000-0000BD040000}"/>
    <cellStyle name="40% - Énfasis1 4 2 4" xfId="2946" xr:uid="{00000000-0005-0000-0000-0000BE040000}"/>
    <cellStyle name="40% - Énfasis1 4 2 5" xfId="3469" xr:uid="{00000000-0005-0000-0000-0000BF040000}"/>
    <cellStyle name="40% - Énfasis1 4 2 6" xfId="3735" xr:uid="{00000000-0005-0000-0000-0000C0040000}"/>
    <cellStyle name="40% - Énfasis1 4 3" xfId="2443" xr:uid="{00000000-0005-0000-0000-0000C1040000}"/>
    <cellStyle name="40% - Énfasis1 4 4" xfId="2673" xr:uid="{00000000-0005-0000-0000-0000C2040000}"/>
    <cellStyle name="40% - Énfasis1 4 5" xfId="2945" xr:uid="{00000000-0005-0000-0000-0000C3040000}"/>
    <cellStyle name="40% - Énfasis1 4 6" xfId="3468" xr:uid="{00000000-0005-0000-0000-0000C4040000}"/>
    <cellStyle name="40% - Énfasis1 4 7" xfId="3734" xr:uid="{00000000-0005-0000-0000-0000C5040000}"/>
    <cellStyle name="40% - Énfasis1 5" xfId="2055" xr:uid="{00000000-0005-0000-0000-0000C6040000}"/>
    <cellStyle name="40% - Énfasis1 6" xfId="2056" xr:uid="{00000000-0005-0000-0000-0000C7040000}"/>
    <cellStyle name="40% - Énfasis1 6 2" xfId="2445" xr:uid="{00000000-0005-0000-0000-0000C8040000}"/>
    <cellStyle name="40% - Énfasis1 6 3" xfId="2675" xr:uid="{00000000-0005-0000-0000-0000C9040000}"/>
    <cellStyle name="40% - Énfasis1 6 4" xfId="2947" xr:uid="{00000000-0005-0000-0000-0000CA040000}"/>
    <cellStyle name="40% - Énfasis1 6 5" xfId="3470" xr:uid="{00000000-0005-0000-0000-0000CB040000}"/>
    <cellStyle name="40% - Énfasis1 6 6" xfId="3736" xr:uid="{00000000-0005-0000-0000-0000CC040000}"/>
    <cellStyle name="40% - Énfasis2 2" xfId="2057" xr:uid="{00000000-0005-0000-0000-0000CD040000}"/>
    <cellStyle name="40% - Énfasis2 2 2" xfId="2058" xr:uid="{00000000-0005-0000-0000-0000CE040000}"/>
    <cellStyle name="40% - Énfasis2 2 2 2" xfId="2059" xr:uid="{00000000-0005-0000-0000-0000CF040000}"/>
    <cellStyle name="40% - Énfasis2 2 2 2 2" xfId="2448" xr:uid="{00000000-0005-0000-0000-0000D0040000}"/>
    <cellStyle name="40% - Énfasis2 2 2 2 3" xfId="2678" xr:uid="{00000000-0005-0000-0000-0000D1040000}"/>
    <cellStyle name="40% - Énfasis2 2 2 2 4" xfId="2950" xr:uid="{00000000-0005-0000-0000-0000D2040000}"/>
    <cellStyle name="40% - Énfasis2 2 2 2 5" xfId="3473" xr:uid="{00000000-0005-0000-0000-0000D3040000}"/>
    <cellStyle name="40% - Énfasis2 2 2 2 6" xfId="3739" xr:uid="{00000000-0005-0000-0000-0000D4040000}"/>
    <cellStyle name="40% - Énfasis2 2 2 3" xfId="2447" xr:uid="{00000000-0005-0000-0000-0000D5040000}"/>
    <cellStyle name="40% - Énfasis2 2 2 4" xfId="2677" xr:uid="{00000000-0005-0000-0000-0000D6040000}"/>
    <cellStyle name="40% - Énfasis2 2 2 5" xfId="2949" xr:uid="{00000000-0005-0000-0000-0000D7040000}"/>
    <cellStyle name="40% - Énfasis2 2 2 6" xfId="3472" xr:uid="{00000000-0005-0000-0000-0000D8040000}"/>
    <cellStyle name="40% - Énfasis2 2 2 7" xfId="3738" xr:uid="{00000000-0005-0000-0000-0000D9040000}"/>
    <cellStyle name="40% - Énfasis2 2 3" xfId="2060" xr:uid="{00000000-0005-0000-0000-0000DA040000}"/>
    <cellStyle name="40% - Énfasis2 2 3 2" xfId="2449" xr:uid="{00000000-0005-0000-0000-0000DB040000}"/>
    <cellStyle name="40% - Énfasis2 2 3 3" xfId="2679" xr:uid="{00000000-0005-0000-0000-0000DC040000}"/>
    <cellStyle name="40% - Énfasis2 2 3 4" xfId="2951" xr:uid="{00000000-0005-0000-0000-0000DD040000}"/>
    <cellStyle name="40% - Énfasis2 2 3 5" xfId="3474" xr:uid="{00000000-0005-0000-0000-0000DE040000}"/>
    <cellStyle name="40% - Énfasis2 2 3 6" xfId="3740" xr:uid="{00000000-0005-0000-0000-0000DF040000}"/>
    <cellStyle name="40% - Énfasis2 2 4" xfId="2446" xr:uid="{00000000-0005-0000-0000-0000E0040000}"/>
    <cellStyle name="40% - Énfasis2 2 5" xfId="2676" xr:uid="{00000000-0005-0000-0000-0000E1040000}"/>
    <cellStyle name="40% - Énfasis2 2 6" xfId="2948" xr:uid="{00000000-0005-0000-0000-0000E2040000}"/>
    <cellStyle name="40% - Énfasis2 2 7" xfId="3471" xr:uid="{00000000-0005-0000-0000-0000E3040000}"/>
    <cellStyle name="40% - Énfasis2 2 8" xfId="3737" xr:uid="{00000000-0005-0000-0000-0000E4040000}"/>
    <cellStyle name="40% - Énfasis2 3" xfId="2061" xr:uid="{00000000-0005-0000-0000-0000E5040000}"/>
    <cellStyle name="40% - Énfasis2 3 2" xfId="2062" xr:uid="{00000000-0005-0000-0000-0000E6040000}"/>
    <cellStyle name="40% - Énfasis2 3 2 2" xfId="2063" xr:uid="{00000000-0005-0000-0000-0000E7040000}"/>
    <cellStyle name="40% - Énfasis2 3 2 2 2" xfId="2452" xr:uid="{00000000-0005-0000-0000-0000E8040000}"/>
    <cellStyle name="40% - Énfasis2 3 2 2 3" xfId="2682" xr:uid="{00000000-0005-0000-0000-0000E9040000}"/>
    <cellStyle name="40% - Énfasis2 3 2 2 4" xfId="2954" xr:uid="{00000000-0005-0000-0000-0000EA040000}"/>
    <cellStyle name="40% - Énfasis2 3 2 2 5" xfId="3477" xr:uid="{00000000-0005-0000-0000-0000EB040000}"/>
    <cellStyle name="40% - Énfasis2 3 2 2 6" xfId="3743" xr:uid="{00000000-0005-0000-0000-0000EC040000}"/>
    <cellStyle name="40% - Énfasis2 3 2 3" xfId="2451" xr:uid="{00000000-0005-0000-0000-0000ED040000}"/>
    <cellStyle name="40% - Énfasis2 3 2 4" xfId="2681" xr:uid="{00000000-0005-0000-0000-0000EE040000}"/>
    <cellStyle name="40% - Énfasis2 3 2 5" xfId="2953" xr:uid="{00000000-0005-0000-0000-0000EF040000}"/>
    <cellStyle name="40% - Énfasis2 3 2 6" xfId="3476" xr:uid="{00000000-0005-0000-0000-0000F0040000}"/>
    <cellStyle name="40% - Énfasis2 3 2 7" xfId="3742" xr:uid="{00000000-0005-0000-0000-0000F1040000}"/>
    <cellStyle name="40% - Énfasis2 3 3" xfId="2064" xr:uid="{00000000-0005-0000-0000-0000F2040000}"/>
    <cellStyle name="40% - Énfasis2 3 3 2" xfId="2453" xr:uid="{00000000-0005-0000-0000-0000F3040000}"/>
    <cellStyle name="40% - Énfasis2 3 3 3" xfId="2683" xr:uid="{00000000-0005-0000-0000-0000F4040000}"/>
    <cellStyle name="40% - Énfasis2 3 3 4" xfId="2955" xr:uid="{00000000-0005-0000-0000-0000F5040000}"/>
    <cellStyle name="40% - Énfasis2 3 3 5" xfId="3478" xr:uid="{00000000-0005-0000-0000-0000F6040000}"/>
    <cellStyle name="40% - Énfasis2 3 3 6" xfId="3744" xr:uid="{00000000-0005-0000-0000-0000F7040000}"/>
    <cellStyle name="40% - Énfasis2 3 4" xfId="2450" xr:uid="{00000000-0005-0000-0000-0000F8040000}"/>
    <cellStyle name="40% - Énfasis2 3 5" xfId="2680" xr:uid="{00000000-0005-0000-0000-0000F9040000}"/>
    <cellStyle name="40% - Énfasis2 3 6" xfId="2952" xr:uid="{00000000-0005-0000-0000-0000FA040000}"/>
    <cellStyle name="40% - Énfasis2 3 7" xfId="3475" xr:uid="{00000000-0005-0000-0000-0000FB040000}"/>
    <cellStyle name="40% - Énfasis2 3 8" xfId="3741" xr:uid="{00000000-0005-0000-0000-0000FC040000}"/>
    <cellStyle name="40% - Énfasis2 4" xfId="2065" xr:uid="{00000000-0005-0000-0000-0000FD040000}"/>
    <cellStyle name="40% - Énfasis2 4 2" xfId="2066" xr:uid="{00000000-0005-0000-0000-0000FE040000}"/>
    <cellStyle name="40% - Énfasis2 4 2 2" xfId="2455" xr:uid="{00000000-0005-0000-0000-0000FF040000}"/>
    <cellStyle name="40% - Énfasis2 4 2 3" xfId="2685" xr:uid="{00000000-0005-0000-0000-000000050000}"/>
    <cellStyle name="40% - Énfasis2 4 2 4" xfId="2957" xr:uid="{00000000-0005-0000-0000-000001050000}"/>
    <cellStyle name="40% - Énfasis2 4 2 5" xfId="3480" xr:uid="{00000000-0005-0000-0000-000002050000}"/>
    <cellStyle name="40% - Énfasis2 4 2 6" xfId="3746" xr:uid="{00000000-0005-0000-0000-000003050000}"/>
    <cellStyle name="40% - Énfasis2 4 3" xfId="2454" xr:uid="{00000000-0005-0000-0000-000004050000}"/>
    <cellStyle name="40% - Énfasis2 4 4" xfId="2684" xr:uid="{00000000-0005-0000-0000-000005050000}"/>
    <cellStyle name="40% - Énfasis2 4 5" xfId="2956" xr:uid="{00000000-0005-0000-0000-000006050000}"/>
    <cellStyle name="40% - Énfasis2 4 6" xfId="3479" xr:uid="{00000000-0005-0000-0000-000007050000}"/>
    <cellStyle name="40% - Énfasis2 4 7" xfId="3745" xr:uid="{00000000-0005-0000-0000-000008050000}"/>
    <cellStyle name="40% - Énfasis2 5" xfId="2067" xr:uid="{00000000-0005-0000-0000-000009050000}"/>
    <cellStyle name="40% - Énfasis2 6" xfId="2068" xr:uid="{00000000-0005-0000-0000-00000A050000}"/>
    <cellStyle name="40% - Énfasis2 6 2" xfId="2456" xr:uid="{00000000-0005-0000-0000-00000B050000}"/>
    <cellStyle name="40% - Énfasis2 6 3" xfId="2686" xr:uid="{00000000-0005-0000-0000-00000C050000}"/>
    <cellStyle name="40% - Énfasis2 6 4" xfId="2958" xr:uid="{00000000-0005-0000-0000-00000D050000}"/>
    <cellStyle name="40% - Énfasis2 6 5" xfId="3481" xr:uid="{00000000-0005-0000-0000-00000E050000}"/>
    <cellStyle name="40% - Énfasis2 6 6" xfId="3747" xr:uid="{00000000-0005-0000-0000-00000F050000}"/>
    <cellStyle name="40% - Énfasis3 2" xfId="2069" xr:uid="{00000000-0005-0000-0000-000010050000}"/>
    <cellStyle name="40% - Énfasis3 2 2" xfId="2070" xr:uid="{00000000-0005-0000-0000-000011050000}"/>
    <cellStyle name="40% - Énfasis3 2 2 2" xfId="2071" xr:uid="{00000000-0005-0000-0000-000012050000}"/>
    <cellStyle name="40% - Énfasis3 2 2 2 2" xfId="2459" xr:uid="{00000000-0005-0000-0000-000013050000}"/>
    <cellStyle name="40% - Énfasis3 2 2 2 3" xfId="2689" xr:uid="{00000000-0005-0000-0000-000014050000}"/>
    <cellStyle name="40% - Énfasis3 2 2 2 4" xfId="2961" xr:uid="{00000000-0005-0000-0000-000015050000}"/>
    <cellStyle name="40% - Énfasis3 2 2 2 5" xfId="3484" xr:uid="{00000000-0005-0000-0000-000016050000}"/>
    <cellStyle name="40% - Énfasis3 2 2 2 6" xfId="3750" xr:uid="{00000000-0005-0000-0000-000017050000}"/>
    <cellStyle name="40% - Énfasis3 2 2 3" xfId="2458" xr:uid="{00000000-0005-0000-0000-000018050000}"/>
    <cellStyle name="40% - Énfasis3 2 2 4" xfId="2688" xr:uid="{00000000-0005-0000-0000-000019050000}"/>
    <cellStyle name="40% - Énfasis3 2 2 5" xfId="2960" xr:uid="{00000000-0005-0000-0000-00001A050000}"/>
    <cellStyle name="40% - Énfasis3 2 2 6" xfId="3483" xr:uid="{00000000-0005-0000-0000-00001B050000}"/>
    <cellStyle name="40% - Énfasis3 2 2 7" xfId="3749" xr:uid="{00000000-0005-0000-0000-00001C050000}"/>
    <cellStyle name="40% - Énfasis3 2 3" xfId="2072" xr:uid="{00000000-0005-0000-0000-00001D050000}"/>
    <cellStyle name="40% - Énfasis3 2 3 2" xfId="2460" xr:uid="{00000000-0005-0000-0000-00001E050000}"/>
    <cellStyle name="40% - Énfasis3 2 3 3" xfId="2690" xr:uid="{00000000-0005-0000-0000-00001F050000}"/>
    <cellStyle name="40% - Énfasis3 2 3 4" xfId="2962" xr:uid="{00000000-0005-0000-0000-000020050000}"/>
    <cellStyle name="40% - Énfasis3 2 3 5" xfId="3485" xr:uid="{00000000-0005-0000-0000-000021050000}"/>
    <cellStyle name="40% - Énfasis3 2 3 6" xfId="3751" xr:uid="{00000000-0005-0000-0000-000022050000}"/>
    <cellStyle name="40% - Énfasis3 2 4" xfId="2457" xr:uid="{00000000-0005-0000-0000-000023050000}"/>
    <cellStyle name="40% - Énfasis3 2 5" xfId="2687" xr:uid="{00000000-0005-0000-0000-000024050000}"/>
    <cellStyle name="40% - Énfasis3 2 6" xfId="2959" xr:uid="{00000000-0005-0000-0000-000025050000}"/>
    <cellStyle name="40% - Énfasis3 2 7" xfId="3482" xr:uid="{00000000-0005-0000-0000-000026050000}"/>
    <cellStyle name="40% - Énfasis3 2 8" xfId="3748" xr:uid="{00000000-0005-0000-0000-000027050000}"/>
    <cellStyle name="40% - Énfasis3 3" xfId="2073" xr:uid="{00000000-0005-0000-0000-000028050000}"/>
    <cellStyle name="40% - Énfasis3 3 2" xfId="2074" xr:uid="{00000000-0005-0000-0000-000029050000}"/>
    <cellStyle name="40% - Énfasis3 3 2 2" xfId="2075" xr:uid="{00000000-0005-0000-0000-00002A050000}"/>
    <cellStyle name="40% - Énfasis3 3 2 2 2" xfId="2463" xr:uid="{00000000-0005-0000-0000-00002B050000}"/>
    <cellStyle name="40% - Énfasis3 3 2 2 3" xfId="2693" xr:uid="{00000000-0005-0000-0000-00002C050000}"/>
    <cellStyle name="40% - Énfasis3 3 2 2 4" xfId="2965" xr:uid="{00000000-0005-0000-0000-00002D050000}"/>
    <cellStyle name="40% - Énfasis3 3 2 2 5" xfId="3488" xr:uid="{00000000-0005-0000-0000-00002E050000}"/>
    <cellStyle name="40% - Énfasis3 3 2 2 6" xfId="3754" xr:uid="{00000000-0005-0000-0000-00002F050000}"/>
    <cellStyle name="40% - Énfasis3 3 2 3" xfId="2462" xr:uid="{00000000-0005-0000-0000-000030050000}"/>
    <cellStyle name="40% - Énfasis3 3 2 4" xfId="2692" xr:uid="{00000000-0005-0000-0000-000031050000}"/>
    <cellStyle name="40% - Énfasis3 3 2 5" xfId="2964" xr:uid="{00000000-0005-0000-0000-000032050000}"/>
    <cellStyle name="40% - Énfasis3 3 2 6" xfId="3487" xr:uid="{00000000-0005-0000-0000-000033050000}"/>
    <cellStyle name="40% - Énfasis3 3 2 7" xfId="3753" xr:uid="{00000000-0005-0000-0000-000034050000}"/>
    <cellStyle name="40% - Énfasis3 3 3" xfId="2076" xr:uid="{00000000-0005-0000-0000-000035050000}"/>
    <cellStyle name="40% - Énfasis3 3 3 2" xfId="2464" xr:uid="{00000000-0005-0000-0000-000036050000}"/>
    <cellStyle name="40% - Énfasis3 3 3 3" xfId="2694" xr:uid="{00000000-0005-0000-0000-000037050000}"/>
    <cellStyle name="40% - Énfasis3 3 3 4" xfId="2966" xr:uid="{00000000-0005-0000-0000-000038050000}"/>
    <cellStyle name="40% - Énfasis3 3 3 5" xfId="3489" xr:uid="{00000000-0005-0000-0000-000039050000}"/>
    <cellStyle name="40% - Énfasis3 3 3 6" xfId="3755" xr:uid="{00000000-0005-0000-0000-00003A050000}"/>
    <cellStyle name="40% - Énfasis3 3 4" xfId="2461" xr:uid="{00000000-0005-0000-0000-00003B050000}"/>
    <cellStyle name="40% - Énfasis3 3 5" xfId="2691" xr:uid="{00000000-0005-0000-0000-00003C050000}"/>
    <cellStyle name="40% - Énfasis3 3 6" xfId="2963" xr:uid="{00000000-0005-0000-0000-00003D050000}"/>
    <cellStyle name="40% - Énfasis3 3 7" xfId="3486" xr:uid="{00000000-0005-0000-0000-00003E050000}"/>
    <cellStyle name="40% - Énfasis3 3 8" xfId="3752" xr:uid="{00000000-0005-0000-0000-00003F050000}"/>
    <cellStyle name="40% - Énfasis3 4" xfId="2077" xr:uid="{00000000-0005-0000-0000-000040050000}"/>
    <cellStyle name="40% - Énfasis3 4 2" xfId="2078" xr:uid="{00000000-0005-0000-0000-000041050000}"/>
    <cellStyle name="40% - Énfasis3 4 2 2" xfId="2466" xr:uid="{00000000-0005-0000-0000-000042050000}"/>
    <cellStyle name="40% - Énfasis3 4 2 3" xfId="2696" xr:uid="{00000000-0005-0000-0000-000043050000}"/>
    <cellStyle name="40% - Énfasis3 4 2 4" xfId="2968" xr:uid="{00000000-0005-0000-0000-000044050000}"/>
    <cellStyle name="40% - Énfasis3 4 2 5" xfId="3491" xr:uid="{00000000-0005-0000-0000-000045050000}"/>
    <cellStyle name="40% - Énfasis3 4 2 6" xfId="3757" xr:uid="{00000000-0005-0000-0000-000046050000}"/>
    <cellStyle name="40% - Énfasis3 4 3" xfId="2465" xr:uid="{00000000-0005-0000-0000-000047050000}"/>
    <cellStyle name="40% - Énfasis3 4 4" xfId="2695" xr:uid="{00000000-0005-0000-0000-000048050000}"/>
    <cellStyle name="40% - Énfasis3 4 5" xfId="2967" xr:uid="{00000000-0005-0000-0000-000049050000}"/>
    <cellStyle name="40% - Énfasis3 4 6" xfId="3490" xr:uid="{00000000-0005-0000-0000-00004A050000}"/>
    <cellStyle name="40% - Énfasis3 4 7" xfId="3756" xr:uid="{00000000-0005-0000-0000-00004B050000}"/>
    <cellStyle name="40% - Énfasis3 5" xfId="2079" xr:uid="{00000000-0005-0000-0000-00004C050000}"/>
    <cellStyle name="40% - Énfasis3 6" xfId="2080" xr:uid="{00000000-0005-0000-0000-00004D050000}"/>
    <cellStyle name="40% - Énfasis3 6 2" xfId="2467" xr:uid="{00000000-0005-0000-0000-00004E050000}"/>
    <cellStyle name="40% - Énfasis3 6 3" xfId="2697" xr:uid="{00000000-0005-0000-0000-00004F050000}"/>
    <cellStyle name="40% - Énfasis3 6 4" xfId="2969" xr:uid="{00000000-0005-0000-0000-000050050000}"/>
    <cellStyle name="40% - Énfasis3 6 5" xfId="3492" xr:uid="{00000000-0005-0000-0000-000051050000}"/>
    <cellStyle name="40% - Énfasis3 6 6" xfId="3758" xr:uid="{00000000-0005-0000-0000-000052050000}"/>
    <cellStyle name="40% - Énfasis4 2" xfId="2081" xr:uid="{00000000-0005-0000-0000-000053050000}"/>
    <cellStyle name="40% - Énfasis4 2 2" xfId="2082" xr:uid="{00000000-0005-0000-0000-000054050000}"/>
    <cellStyle name="40% - Énfasis4 2 2 2" xfId="2083" xr:uid="{00000000-0005-0000-0000-000055050000}"/>
    <cellStyle name="40% - Énfasis4 2 2 2 2" xfId="2470" xr:uid="{00000000-0005-0000-0000-000056050000}"/>
    <cellStyle name="40% - Énfasis4 2 2 2 3" xfId="2700" xr:uid="{00000000-0005-0000-0000-000057050000}"/>
    <cellStyle name="40% - Énfasis4 2 2 2 4" xfId="2972" xr:uid="{00000000-0005-0000-0000-000058050000}"/>
    <cellStyle name="40% - Énfasis4 2 2 2 5" xfId="3495" xr:uid="{00000000-0005-0000-0000-000059050000}"/>
    <cellStyle name="40% - Énfasis4 2 2 2 6" xfId="3761" xr:uid="{00000000-0005-0000-0000-00005A050000}"/>
    <cellStyle name="40% - Énfasis4 2 2 3" xfId="2469" xr:uid="{00000000-0005-0000-0000-00005B050000}"/>
    <cellStyle name="40% - Énfasis4 2 2 4" xfId="2699" xr:uid="{00000000-0005-0000-0000-00005C050000}"/>
    <cellStyle name="40% - Énfasis4 2 2 5" xfId="2971" xr:uid="{00000000-0005-0000-0000-00005D050000}"/>
    <cellStyle name="40% - Énfasis4 2 2 6" xfId="3494" xr:uid="{00000000-0005-0000-0000-00005E050000}"/>
    <cellStyle name="40% - Énfasis4 2 2 7" xfId="3760" xr:uid="{00000000-0005-0000-0000-00005F050000}"/>
    <cellStyle name="40% - Énfasis4 2 3" xfId="2084" xr:uid="{00000000-0005-0000-0000-000060050000}"/>
    <cellStyle name="40% - Énfasis4 2 3 2" xfId="2471" xr:uid="{00000000-0005-0000-0000-000061050000}"/>
    <cellStyle name="40% - Énfasis4 2 3 3" xfId="2701" xr:uid="{00000000-0005-0000-0000-000062050000}"/>
    <cellStyle name="40% - Énfasis4 2 3 4" xfId="2973" xr:uid="{00000000-0005-0000-0000-000063050000}"/>
    <cellStyle name="40% - Énfasis4 2 3 5" xfId="3496" xr:uid="{00000000-0005-0000-0000-000064050000}"/>
    <cellStyle name="40% - Énfasis4 2 3 6" xfId="3762" xr:uid="{00000000-0005-0000-0000-000065050000}"/>
    <cellStyle name="40% - Énfasis4 2 4" xfId="2468" xr:uid="{00000000-0005-0000-0000-000066050000}"/>
    <cellStyle name="40% - Énfasis4 2 5" xfId="2698" xr:uid="{00000000-0005-0000-0000-000067050000}"/>
    <cellStyle name="40% - Énfasis4 2 6" xfId="2970" xr:uid="{00000000-0005-0000-0000-000068050000}"/>
    <cellStyle name="40% - Énfasis4 2 7" xfId="3493" xr:uid="{00000000-0005-0000-0000-000069050000}"/>
    <cellStyle name="40% - Énfasis4 2 8" xfId="3759" xr:uid="{00000000-0005-0000-0000-00006A050000}"/>
    <cellStyle name="40% - Énfasis4 3" xfId="2085" xr:uid="{00000000-0005-0000-0000-00006B050000}"/>
    <cellStyle name="40% - Énfasis4 3 2" xfId="2086" xr:uid="{00000000-0005-0000-0000-00006C050000}"/>
    <cellStyle name="40% - Énfasis4 3 2 2" xfId="2087" xr:uid="{00000000-0005-0000-0000-00006D050000}"/>
    <cellStyle name="40% - Énfasis4 3 2 2 2" xfId="2474" xr:uid="{00000000-0005-0000-0000-00006E050000}"/>
    <cellStyle name="40% - Énfasis4 3 2 2 3" xfId="2704" xr:uid="{00000000-0005-0000-0000-00006F050000}"/>
    <cellStyle name="40% - Énfasis4 3 2 2 4" xfId="2976" xr:uid="{00000000-0005-0000-0000-000070050000}"/>
    <cellStyle name="40% - Énfasis4 3 2 2 5" xfId="3499" xr:uid="{00000000-0005-0000-0000-000071050000}"/>
    <cellStyle name="40% - Énfasis4 3 2 2 6" xfId="3765" xr:uid="{00000000-0005-0000-0000-000072050000}"/>
    <cellStyle name="40% - Énfasis4 3 2 3" xfId="2473" xr:uid="{00000000-0005-0000-0000-000073050000}"/>
    <cellStyle name="40% - Énfasis4 3 2 4" xfId="2703" xr:uid="{00000000-0005-0000-0000-000074050000}"/>
    <cellStyle name="40% - Énfasis4 3 2 5" xfId="2975" xr:uid="{00000000-0005-0000-0000-000075050000}"/>
    <cellStyle name="40% - Énfasis4 3 2 6" xfId="3498" xr:uid="{00000000-0005-0000-0000-000076050000}"/>
    <cellStyle name="40% - Énfasis4 3 2 7" xfId="3764" xr:uid="{00000000-0005-0000-0000-000077050000}"/>
    <cellStyle name="40% - Énfasis4 3 3" xfId="2088" xr:uid="{00000000-0005-0000-0000-000078050000}"/>
    <cellStyle name="40% - Énfasis4 3 3 2" xfId="2475" xr:uid="{00000000-0005-0000-0000-000079050000}"/>
    <cellStyle name="40% - Énfasis4 3 3 3" xfId="2705" xr:uid="{00000000-0005-0000-0000-00007A050000}"/>
    <cellStyle name="40% - Énfasis4 3 3 4" xfId="2977" xr:uid="{00000000-0005-0000-0000-00007B050000}"/>
    <cellStyle name="40% - Énfasis4 3 3 5" xfId="3500" xr:uid="{00000000-0005-0000-0000-00007C050000}"/>
    <cellStyle name="40% - Énfasis4 3 3 6" xfId="3766" xr:uid="{00000000-0005-0000-0000-00007D050000}"/>
    <cellStyle name="40% - Énfasis4 3 4" xfId="2472" xr:uid="{00000000-0005-0000-0000-00007E050000}"/>
    <cellStyle name="40% - Énfasis4 3 5" xfId="2702" xr:uid="{00000000-0005-0000-0000-00007F050000}"/>
    <cellStyle name="40% - Énfasis4 3 6" xfId="2974" xr:uid="{00000000-0005-0000-0000-000080050000}"/>
    <cellStyle name="40% - Énfasis4 3 7" xfId="3497" xr:uid="{00000000-0005-0000-0000-000081050000}"/>
    <cellStyle name="40% - Énfasis4 3 8" xfId="3763" xr:uid="{00000000-0005-0000-0000-000082050000}"/>
    <cellStyle name="40% - Énfasis4 4" xfId="2089" xr:uid="{00000000-0005-0000-0000-000083050000}"/>
    <cellStyle name="40% - Énfasis4 4 2" xfId="2090" xr:uid="{00000000-0005-0000-0000-000084050000}"/>
    <cellStyle name="40% - Énfasis4 4 2 2" xfId="2477" xr:uid="{00000000-0005-0000-0000-000085050000}"/>
    <cellStyle name="40% - Énfasis4 4 2 3" xfId="2707" xr:uid="{00000000-0005-0000-0000-000086050000}"/>
    <cellStyle name="40% - Énfasis4 4 2 4" xfId="2979" xr:uid="{00000000-0005-0000-0000-000087050000}"/>
    <cellStyle name="40% - Énfasis4 4 2 5" xfId="3502" xr:uid="{00000000-0005-0000-0000-000088050000}"/>
    <cellStyle name="40% - Énfasis4 4 2 6" xfId="3768" xr:uid="{00000000-0005-0000-0000-000089050000}"/>
    <cellStyle name="40% - Énfasis4 4 3" xfId="2476" xr:uid="{00000000-0005-0000-0000-00008A050000}"/>
    <cellStyle name="40% - Énfasis4 4 4" xfId="2706" xr:uid="{00000000-0005-0000-0000-00008B050000}"/>
    <cellStyle name="40% - Énfasis4 4 5" xfId="2978" xr:uid="{00000000-0005-0000-0000-00008C050000}"/>
    <cellStyle name="40% - Énfasis4 4 6" xfId="3501" xr:uid="{00000000-0005-0000-0000-00008D050000}"/>
    <cellStyle name="40% - Énfasis4 4 7" xfId="3767" xr:uid="{00000000-0005-0000-0000-00008E050000}"/>
    <cellStyle name="40% - Énfasis4 5" xfId="2091" xr:uid="{00000000-0005-0000-0000-00008F050000}"/>
    <cellStyle name="40% - Énfasis4 6" xfId="2092" xr:uid="{00000000-0005-0000-0000-000090050000}"/>
    <cellStyle name="40% - Énfasis4 6 2" xfId="2478" xr:uid="{00000000-0005-0000-0000-000091050000}"/>
    <cellStyle name="40% - Énfasis4 6 3" xfId="2708" xr:uid="{00000000-0005-0000-0000-000092050000}"/>
    <cellStyle name="40% - Énfasis4 6 4" xfId="2980" xr:uid="{00000000-0005-0000-0000-000093050000}"/>
    <cellStyle name="40% - Énfasis4 6 5" xfId="3503" xr:uid="{00000000-0005-0000-0000-000094050000}"/>
    <cellStyle name="40% - Énfasis4 6 6" xfId="3769" xr:uid="{00000000-0005-0000-0000-000095050000}"/>
    <cellStyle name="40% - Énfasis5 2" xfId="2093" xr:uid="{00000000-0005-0000-0000-000096050000}"/>
    <cellStyle name="40% - Énfasis5 2 2" xfId="2094" xr:uid="{00000000-0005-0000-0000-000097050000}"/>
    <cellStyle name="40% - Énfasis5 2 2 2" xfId="2095" xr:uid="{00000000-0005-0000-0000-000098050000}"/>
    <cellStyle name="40% - Énfasis5 2 2 2 2" xfId="2481" xr:uid="{00000000-0005-0000-0000-000099050000}"/>
    <cellStyle name="40% - Énfasis5 2 2 2 3" xfId="2711" xr:uid="{00000000-0005-0000-0000-00009A050000}"/>
    <cellStyle name="40% - Énfasis5 2 2 2 4" xfId="2983" xr:uid="{00000000-0005-0000-0000-00009B050000}"/>
    <cellStyle name="40% - Énfasis5 2 2 2 5" xfId="3506" xr:uid="{00000000-0005-0000-0000-00009C050000}"/>
    <cellStyle name="40% - Énfasis5 2 2 2 6" xfId="3772" xr:uid="{00000000-0005-0000-0000-00009D050000}"/>
    <cellStyle name="40% - Énfasis5 2 2 3" xfId="2480" xr:uid="{00000000-0005-0000-0000-00009E050000}"/>
    <cellStyle name="40% - Énfasis5 2 2 4" xfId="2710" xr:uid="{00000000-0005-0000-0000-00009F050000}"/>
    <cellStyle name="40% - Énfasis5 2 2 5" xfId="2982" xr:uid="{00000000-0005-0000-0000-0000A0050000}"/>
    <cellStyle name="40% - Énfasis5 2 2 6" xfId="3505" xr:uid="{00000000-0005-0000-0000-0000A1050000}"/>
    <cellStyle name="40% - Énfasis5 2 2 7" xfId="3771" xr:uid="{00000000-0005-0000-0000-0000A2050000}"/>
    <cellStyle name="40% - Énfasis5 2 3" xfId="2096" xr:uid="{00000000-0005-0000-0000-0000A3050000}"/>
    <cellStyle name="40% - Énfasis5 2 3 2" xfId="2482" xr:uid="{00000000-0005-0000-0000-0000A4050000}"/>
    <cellStyle name="40% - Énfasis5 2 3 3" xfId="2712" xr:uid="{00000000-0005-0000-0000-0000A5050000}"/>
    <cellStyle name="40% - Énfasis5 2 3 4" xfId="2984" xr:uid="{00000000-0005-0000-0000-0000A6050000}"/>
    <cellStyle name="40% - Énfasis5 2 3 5" xfId="3507" xr:uid="{00000000-0005-0000-0000-0000A7050000}"/>
    <cellStyle name="40% - Énfasis5 2 3 6" xfId="3773" xr:uid="{00000000-0005-0000-0000-0000A8050000}"/>
    <cellStyle name="40% - Énfasis5 2 4" xfId="2479" xr:uid="{00000000-0005-0000-0000-0000A9050000}"/>
    <cellStyle name="40% - Énfasis5 2 5" xfId="2709" xr:uid="{00000000-0005-0000-0000-0000AA050000}"/>
    <cellStyle name="40% - Énfasis5 2 6" xfId="2981" xr:uid="{00000000-0005-0000-0000-0000AB050000}"/>
    <cellStyle name="40% - Énfasis5 2 7" xfId="3504" xr:uid="{00000000-0005-0000-0000-0000AC050000}"/>
    <cellStyle name="40% - Énfasis5 2 8" xfId="3770" xr:uid="{00000000-0005-0000-0000-0000AD050000}"/>
    <cellStyle name="40% - Énfasis5 3" xfId="2097" xr:uid="{00000000-0005-0000-0000-0000AE050000}"/>
    <cellStyle name="40% - Énfasis5 3 2" xfId="2098" xr:uid="{00000000-0005-0000-0000-0000AF050000}"/>
    <cellStyle name="40% - Énfasis5 3 2 2" xfId="2099" xr:uid="{00000000-0005-0000-0000-0000B0050000}"/>
    <cellStyle name="40% - Énfasis5 3 2 2 2" xfId="2485" xr:uid="{00000000-0005-0000-0000-0000B1050000}"/>
    <cellStyle name="40% - Énfasis5 3 2 2 3" xfId="2715" xr:uid="{00000000-0005-0000-0000-0000B2050000}"/>
    <cellStyle name="40% - Énfasis5 3 2 2 4" xfId="2987" xr:uid="{00000000-0005-0000-0000-0000B3050000}"/>
    <cellStyle name="40% - Énfasis5 3 2 2 5" xfId="3510" xr:uid="{00000000-0005-0000-0000-0000B4050000}"/>
    <cellStyle name="40% - Énfasis5 3 2 2 6" xfId="3776" xr:uid="{00000000-0005-0000-0000-0000B5050000}"/>
    <cellStyle name="40% - Énfasis5 3 2 3" xfId="2484" xr:uid="{00000000-0005-0000-0000-0000B6050000}"/>
    <cellStyle name="40% - Énfasis5 3 2 4" xfId="2714" xr:uid="{00000000-0005-0000-0000-0000B7050000}"/>
    <cellStyle name="40% - Énfasis5 3 2 5" xfId="2986" xr:uid="{00000000-0005-0000-0000-0000B8050000}"/>
    <cellStyle name="40% - Énfasis5 3 2 6" xfId="3509" xr:uid="{00000000-0005-0000-0000-0000B9050000}"/>
    <cellStyle name="40% - Énfasis5 3 2 7" xfId="3775" xr:uid="{00000000-0005-0000-0000-0000BA050000}"/>
    <cellStyle name="40% - Énfasis5 3 3" xfId="2100" xr:uid="{00000000-0005-0000-0000-0000BB050000}"/>
    <cellStyle name="40% - Énfasis5 3 3 2" xfId="2486" xr:uid="{00000000-0005-0000-0000-0000BC050000}"/>
    <cellStyle name="40% - Énfasis5 3 3 3" xfId="2716" xr:uid="{00000000-0005-0000-0000-0000BD050000}"/>
    <cellStyle name="40% - Énfasis5 3 3 4" xfId="2988" xr:uid="{00000000-0005-0000-0000-0000BE050000}"/>
    <cellStyle name="40% - Énfasis5 3 3 5" xfId="3511" xr:uid="{00000000-0005-0000-0000-0000BF050000}"/>
    <cellStyle name="40% - Énfasis5 3 3 6" xfId="3777" xr:uid="{00000000-0005-0000-0000-0000C0050000}"/>
    <cellStyle name="40% - Énfasis5 3 4" xfId="2483" xr:uid="{00000000-0005-0000-0000-0000C1050000}"/>
    <cellStyle name="40% - Énfasis5 3 5" xfId="2713" xr:uid="{00000000-0005-0000-0000-0000C2050000}"/>
    <cellStyle name="40% - Énfasis5 3 6" xfId="2985" xr:uid="{00000000-0005-0000-0000-0000C3050000}"/>
    <cellStyle name="40% - Énfasis5 3 7" xfId="3508" xr:uid="{00000000-0005-0000-0000-0000C4050000}"/>
    <cellStyle name="40% - Énfasis5 3 8" xfId="3774" xr:uid="{00000000-0005-0000-0000-0000C5050000}"/>
    <cellStyle name="40% - Énfasis5 4" xfId="2101" xr:uid="{00000000-0005-0000-0000-0000C6050000}"/>
    <cellStyle name="40% - Énfasis5 4 2" xfId="2102" xr:uid="{00000000-0005-0000-0000-0000C7050000}"/>
    <cellStyle name="40% - Énfasis5 4 2 2" xfId="2488" xr:uid="{00000000-0005-0000-0000-0000C8050000}"/>
    <cellStyle name="40% - Énfasis5 4 2 3" xfId="2718" xr:uid="{00000000-0005-0000-0000-0000C9050000}"/>
    <cellStyle name="40% - Énfasis5 4 2 4" xfId="2990" xr:uid="{00000000-0005-0000-0000-0000CA050000}"/>
    <cellStyle name="40% - Énfasis5 4 2 5" xfId="3513" xr:uid="{00000000-0005-0000-0000-0000CB050000}"/>
    <cellStyle name="40% - Énfasis5 4 2 6" xfId="3779" xr:uid="{00000000-0005-0000-0000-0000CC050000}"/>
    <cellStyle name="40% - Énfasis5 4 3" xfId="2487" xr:uid="{00000000-0005-0000-0000-0000CD050000}"/>
    <cellStyle name="40% - Énfasis5 4 4" xfId="2717" xr:uid="{00000000-0005-0000-0000-0000CE050000}"/>
    <cellStyle name="40% - Énfasis5 4 5" xfId="2989" xr:uid="{00000000-0005-0000-0000-0000CF050000}"/>
    <cellStyle name="40% - Énfasis5 4 6" xfId="3512" xr:uid="{00000000-0005-0000-0000-0000D0050000}"/>
    <cellStyle name="40% - Énfasis5 4 7" xfId="3778" xr:uid="{00000000-0005-0000-0000-0000D1050000}"/>
    <cellStyle name="40% - Énfasis5 5" xfId="2103" xr:uid="{00000000-0005-0000-0000-0000D2050000}"/>
    <cellStyle name="40% - Énfasis5 6" xfId="2104" xr:uid="{00000000-0005-0000-0000-0000D3050000}"/>
    <cellStyle name="40% - Énfasis5 6 2" xfId="2489" xr:uid="{00000000-0005-0000-0000-0000D4050000}"/>
    <cellStyle name="40% - Énfasis5 6 3" xfId="2719" xr:uid="{00000000-0005-0000-0000-0000D5050000}"/>
    <cellStyle name="40% - Énfasis5 6 4" xfId="2991" xr:uid="{00000000-0005-0000-0000-0000D6050000}"/>
    <cellStyle name="40% - Énfasis5 6 5" xfId="3514" xr:uid="{00000000-0005-0000-0000-0000D7050000}"/>
    <cellStyle name="40% - Énfasis5 6 6" xfId="3780" xr:uid="{00000000-0005-0000-0000-0000D8050000}"/>
    <cellStyle name="40% - Énfasis6 2" xfId="2105" xr:uid="{00000000-0005-0000-0000-0000D9050000}"/>
    <cellStyle name="40% - Énfasis6 2 2" xfId="2106" xr:uid="{00000000-0005-0000-0000-0000DA050000}"/>
    <cellStyle name="40% - Énfasis6 2 2 2" xfId="2107" xr:uid="{00000000-0005-0000-0000-0000DB050000}"/>
    <cellStyle name="40% - Énfasis6 2 2 2 2" xfId="2492" xr:uid="{00000000-0005-0000-0000-0000DC050000}"/>
    <cellStyle name="40% - Énfasis6 2 2 2 3" xfId="2722" xr:uid="{00000000-0005-0000-0000-0000DD050000}"/>
    <cellStyle name="40% - Énfasis6 2 2 2 4" xfId="2994" xr:uid="{00000000-0005-0000-0000-0000DE050000}"/>
    <cellStyle name="40% - Énfasis6 2 2 2 5" xfId="3517" xr:uid="{00000000-0005-0000-0000-0000DF050000}"/>
    <cellStyle name="40% - Énfasis6 2 2 2 6" xfId="3783" xr:uid="{00000000-0005-0000-0000-0000E0050000}"/>
    <cellStyle name="40% - Énfasis6 2 2 3" xfId="2491" xr:uid="{00000000-0005-0000-0000-0000E1050000}"/>
    <cellStyle name="40% - Énfasis6 2 2 4" xfId="2721" xr:uid="{00000000-0005-0000-0000-0000E2050000}"/>
    <cellStyle name="40% - Énfasis6 2 2 5" xfId="2993" xr:uid="{00000000-0005-0000-0000-0000E3050000}"/>
    <cellStyle name="40% - Énfasis6 2 2 6" xfId="3516" xr:uid="{00000000-0005-0000-0000-0000E4050000}"/>
    <cellStyle name="40% - Énfasis6 2 2 7" xfId="3782" xr:uid="{00000000-0005-0000-0000-0000E5050000}"/>
    <cellStyle name="40% - Énfasis6 2 3" xfId="2108" xr:uid="{00000000-0005-0000-0000-0000E6050000}"/>
    <cellStyle name="40% - Énfasis6 2 3 2" xfId="2493" xr:uid="{00000000-0005-0000-0000-0000E7050000}"/>
    <cellStyle name="40% - Énfasis6 2 3 3" xfId="2723" xr:uid="{00000000-0005-0000-0000-0000E8050000}"/>
    <cellStyle name="40% - Énfasis6 2 3 4" xfId="2995" xr:uid="{00000000-0005-0000-0000-0000E9050000}"/>
    <cellStyle name="40% - Énfasis6 2 3 5" xfId="3518" xr:uid="{00000000-0005-0000-0000-0000EA050000}"/>
    <cellStyle name="40% - Énfasis6 2 3 6" xfId="3784" xr:uid="{00000000-0005-0000-0000-0000EB050000}"/>
    <cellStyle name="40% - Énfasis6 2 4" xfId="2490" xr:uid="{00000000-0005-0000-0000-0000EC050000}"/>
    <cellStyle name="40% - Énfasis6 2 5" xfId="2720" xr:uid="{00000000-0005-0000-0000-0000ED050000}"/>
    <cellStyle name="40% - Énfasis6 2 6" xfId="2992" xr:uid="{00000000-0005-0000-0000-0000EE050000}"/>
    <cellStyle name="40% - Énfasis6 2 7" xfId="3515" xr:uid="{00000000-0005-0000-0000-0000EF050000}"/>
    <cellStyle name="40% - Énfasis6 2 8" xfId="3781" xr:uid="{00000000-0005-0000-0000-0000F0050000}"/>
    <cellStyle name="40% - Énfasis6 3" xfId="2109" xr:uid="{00000000-0005-0000-0000-0000F1050000}"/>
    <cellStyle name="40% - Énfasis6 3 2" xfId="2110" xr:uid="{00000000-0005-0000-0000-0000F2050000}"/>
    <cellStyle name="40% - Énfasis6 3 2 2" xfId="2111" xr:uid="{00000000-0005-0000-0000-0000F3050000}"/>
    <cellStyle name="40% - Énfasis6 3 2 2 2" xfId="2496" xr:uid="{00000000-0005-0000-0000-0000F4050000}"/>
    <cellStyle name="40% - Énfasis6 3 2 2 3" xfId="2726" xr:uid="{00000000-0005-0000-0000-0000F5050000}"/>
    <cellStyle name="40% - Énfasis6 3 2 2 4" xfId="2998" xr:uid="{00000000-0005-0000-0000-0000F6050000}"/>
    <cellStyle name="40% - Énfasis6 3 2 2 5" xfId="3521" xr:uid="{00000000-0005-0000-0000-0000F7050000}"/>
    <cellStyle name="40% - Énfasis6 3 2 2 6" xfId="3787" xr:uid="{00000000-0005-0000-0000-0000F8050000}"/>
    <cellStyle name="40% - Énfasis6 3 2 3" xfId="2495" xr:uid="{00000000-0005-0000-0000-0000F9050000}"/>
    <cellStyle name="40% - Énfasis6 3 2 4" xfId="2725" xr:uid="{00000000-0005-0000-0000-0000FA050000}"/>
    <cellStyle name="40% - Énfasis6 3 2 5" xfId="2997" xr:uid="{00000000-0005-0000-0000-0000FB050000}"/>
    <cellStyle name="40% - Énfasis6 3 2 6" xfId="3520" xr:uid="{00000000-0005-0000-0000-0000FC050000}"/>
    <cellStyle name="40% - Énfasis6 3 2 7" xfId="3786" xr:uid="{00000000-0005-0000-0000-0000FD050000}"/>
    <cellStyle name="40% - Énfasis6 3 3" xfId="2112" xr:uid="{00000000-0005-0000-0000-0000FE050000}"/>
    <cellStyle name="40% - Énfasis6 3 3 2" xfId="2497" xr:uid="{00000000-0005-0000-0000-0000FF050000}"/>
    <cellStyle name="40% - Énfasis6 3 3 3" xfId="2727" xr:uid="{00000000-0005-0000-0000-000000060000}"/>
    <cellStyle name="40% - Énfasis6 3 3 4" xfId="2999" xr:uid="{00000000-0005-0000-0000-000001060000}"/>
    <cellStyle name="40% - Énfasis6 3 3 5" xfId="3522" xr:uid="{00000000-0005-0000-0000-000002060000}"/>
    <cellStyle name="40% - Énfasis6 3 3 6" xfId="3788" xr:uid="{00000000-0005-0000-0000-000003060000}"/>
    <cellStyle name="40% - Énfasis6 3 4" xfId="2494" xr:uid="{00000000-0005-0000-0000-000004060000}"/>
    <cellStyle name="40% - Énfasis6 3 5" xfId="2724" xr:uid="{00000000-0005-0000-0000-000005060000}"/>
    <cellStyle name="40% - Énfasis6 3 6" xfId="2996" xr:uid="{00000000-0005-0000-0000-000006060000}"/>
    <cellStyle name="40% - Énfasis6 3 7" xfId="3519" xr:uid="{00000000-0005-0000-0000-000007060000}"/>
    <cellStyle name="40% - Énfasis6 3 8" xfId="3785" xr:uid="{00000000-0005-0000-0000-000008060000}"/>
    <cellStyle name="40% - Énfasis6 4" xfId="2113" xr:uid="{00000000-0005-0000-0000-000009060000}"/>
    <cellStyle name="40% - Énfasis6 4 2" xfId="2114" xr:uid="{00000000-0005-0000-0000-00000A060000}"/>
    <cellStyle name="40% - Énfasis6 4 2 2" xfId="2499" xr:uid="{00000000-0005-0000-0000-00000B060000}"/>
    <cellStyle name="40% - Énfasis6 4 2 3" xfId="2729" xr:uid="{00000000-0005-0000-0000-00000C060000}"/>
    <cellStyle name="40% - Énfasis6 4 2 4" xfId="3001" xr:uid="{00000000-0005-0000-0000-00000D060000}"/>
    <cellStyle name="40% - Énfasis6 4 2 5" xfId="3524" xr:uid="{00000000-0005-0000-0000-00000E060000}"/>
    <cellStyle name="40% - Énfasis6 4 2 6" xfId="3790" xr:uid="{00000000-0005-0000-0000-00000F060000}"/>
    <cellStyle name="40% - Énfasis6 4 3" xfId="2498" xr:uid="{00000000-0005-0000-0000-000010060000}"/>
    <cellStyle name="40% - Énfasis6 4 4" xfId="2728" xr:uid="{00000000-0005-0000-0000-000011060000}"/>
    <cellStyle name="40% - Énfasis6 4 5" xfId="3000" xr:uid="{00000000-0005-0000-0000-000012060000}"/>
    <cellStyle name="40% - Énfasis6 4 6" xfId="3523" xr:uid="{00000000-0005-0000-0000-000013060000}"/>
    <cellStyle name="40% - Énfasis6 4 7" xfId="3789" xr:uid="{00000000-0005-0000-0000-000014060000}"/>
    <cellStyle name="40% - Énfasis6 5" xfId="2115" xr:uid="{00000000-0005-0000-0000-000015060000}"/>
    <cellStyle name="40% - Énfasis6 6" xfId="2116" xr:uid="{00000000-0005-0000-0000-000016060000}"/>
    <cellStyle name="40% - Énfasis6 6 2" xfId="2500" xr:uid="{00000000-0005-0000-0000-000017060000}"/>
    <cellStyle name="40% - Énfasis6 6 3" xfId="2730" xr:uid="{00000000-0005-0000-0000-000018060000}"/>
    <cellStyle name="40% - Énfasis6 6 4" xfId="3002" xr:uid="{00000000-0005-0000-0000-000019060000}"/>
    <cellStyle name="40% - Énfasis6 6 5" xfId="3525" xr:uid="{00000000-0005-0000-0000-00001A060000}"/>
    <cellStyle name="40% - Énfasis6 6 6" xfId="3791" xr:uid="{00000000-0005-0000-0000-00001B060000}"/>
    <cellStyle name="60% - Accent1" xfId="2117" xr:uid="{00000000-0005-0000-0000-00001C060000}"/>
    <cellStyle name="60% - Accent2" xfId="2118" xr:uid="{00000000-0005-0000-0000-00001D060000}"/>
    <cellStyle name="60% - Accent3" xfId="2119" xr:uid="{00000000-0005-0000-0000-00001E060000}"/>
    <cellStyle name="60% - Accent4" xfId="2120" xr:uid="{00000000-0005-0000-0000-00001F060000}"/>
    <cellStyle name="60% - Accent5" xfId="2121" xr:uid="{00000000-0005-0000-0000-000020060000}"/>
    <cellStyle name="60% - Accent6" xfId="2122" xr:uid="{00000000-0005-0000-0000-000021060000}"/>
    <cellStyle name="60% - Ênfase1" xfId="343" builtinId="32" customBuiltin="1"/>
    <cellStyle name="60% - Ênfase1 2" xfId="74" xr:uid="{00000000-0005-0000-0000-000023060000}"/>
    <cellStyle name="60% - Ênfase2" xfId="347" builtinId="36" customBuiltin="1"/>
    <cellStyle name="60% - Ênfase2 2" xfId="75" xr:uid="{00000000-0005-0000-0000-000025060000}"/>
    <cellStyle name="60% - Ênfase3" xfId="351" builtinId="40" customBuiltin="1"/>
    <cellStyle name="60% - Ênfase3 2" xfId="76" xr:uid="{00000000-0005-0000-0000-000027060000}"/>
    <cellStyle name="60% - Ênfase4" xfId="355" builtinId="44" customBuiltin="1"/>
    <cellStyle name="60% - Ênfase4 2" xfId="77" xr:uid="{00000000-0005-0000-0000-000029060000}"/>
    <cellStyle name="60% - Ênfase5" xfId="359" builtinId="48" customBuiltin="1"/>
    <cellStyle name="60% - Ênfase5 2" xfId="78" xr:uid="{00000000-0005-0000-0000-00002B060000}"/>
    <cellStyle name="60% - Ênfase6" xfId="363" builtinId="52" customBuiltin="1"/>
    <cellStyle name="60% - Ênfase6 2" xfId="79" xr:uid="{00000000-0005-0000-0000-00002D060000}"/>
    <cellStyle name="60% - Énfasis1 2" xfId="2123" xr:uid="{00000000-0005-0000-0000-00002E060000}"/>
    <cellStyle name="60% - Énfasis2 2" xfId="2124" xr:uid="{00000000-0005-0000-0000-00002F060000}"/>
    <cellStyle name="60% - Énfasis3 2" xfId="2125" xr:uid="{00000000-0005-0000-0000-000030060000}"/>
    <cellStyle name="60% - Énfasis4 2" xfId="2126" xr:uid="{00000000-0005-0000-0000-000031060000}"/>
    <cellStyle name="60% - Énfasis5 2" xfId="2127" xr:uid="{00000000-0005-0000-0000-000032060000}"/>
    <cellStyle name="60% - Énfasis6 2" xfId="2128" xr:uid="{00000000-0005-0000-0000-000033060000}"/>
    <cellStyle name="Accent1" xfId="2129" xr:uid="{00000000-0005-0000-0000-000034060000}"/>
    <cellStyle name="Accent2" xfId="2130" xr:uid="{00000000-0005-0000-0000-000035060000}"/>
    <cellStyle name="Accent3" xfId="2131" xr:uid="{00000000-0005-0000-0000-000036060000}"/>
    <cellStyle name="Accent4" xfId="2132" xr:uid="{00000000-0005-0000-0000-000037060000}"/>
    <cellStyle name="Accent5" xfId="2133" xr:uid="{00000000-0005-0000-0000-000038060000}"/>
    <cellStyle name="Accent6" xfId="2134" xr:uid="{00000000-0005-0000-0000-000039060000}"/>
    <cellStyle name="Array" xfId="80" xr:uid="{00000000-0005-0000-0000-00003A060000}"/>
    <cellStyle name="Array Enter" xfId="81" xr:uid="{00000000-0005-0000-0000-00003B060000}"/>
    <cellStyle name="Bad" xfId="2135" xr:uid="{00000000-0005-0000-0000-00003C060000}"/>
    <cellStyle name="Bom" xfId="329" builtinId="26" customBuiltin="1"/>
    <cellStyle name="Bom 2" xfId="82" xr:uid="{00000000-0005-0000-0000-00003E060000}"/>
    <cellStyle name="Buena 2" xfId="2136" xr:uid="{00000000-0005-0000-0000-00003F060000}"/>
    <cellStyle name="Calc Currency (0)" xfId="83" xr:uid="{00000000-0005-0000-0000-000040060000}"/>
    <cellStyle name="Calc Currency (2)" xfId="84" xr:uid="{00000000-0005-0000-0000-000041060000}"/>
    <cellStyle name="Calc Percent (0)" xfId="85" xr:uid="{00000000-0005-0000-0000-000042060000}"/>
    <cellStyle name="Calc Percent (1)" xfId="86" xr:uid="{00000000-0005-0000-0000-000043060000}"/>
    <cellStyle name="Calc Percent (2)" xfId="87" xr:uid="{00000000-0005-0000-0000-000044060000}"/>
    <cellStyle name="Calc Units (0)" xfId="88" xr:uid="{00000000-0005-0000-0000-000045060000}"/>
    <cellStyle name="Calc Units (1)" xfId="89" xr:uid="{00000000-0005-0000-0000-000046060000}"/>
    <cellStyle name="Calc Units (2)" xfId="90" xr:uid="{00000000-0005-0000-0000-000047060000}"/>
    <cellStyle name="Calculation" xfId="2137" xr:uid="{00000000-0005-0000-0000-000048060000}"/>
    <cellStyle name="Calculation 10" xfId="1919" xr:uid="{00000000-0005-0000-0000-000049060000}"/>
    <cellStyle name="Calculation 11" xfId="2501" xr:uid="{00000000-0005-0000-0000-00004A060000}"/>
    <cellStyle name="Calculation 12" xfId="3036" xr:uid="{00000000-0005-0000-0000-00004B060000}"/>
    <cellStyle name="Calculation 13" xfId="3527" xr:uid="{00000000-0005-0000-0000-00004C060000}"/>
    <cellStyle name="Calculation 14" xfId="3792" xr:uid="{00000000-0005-0000-0000-00004D060000}"/>
    <cellStyle name="Calculation 2" xfId="2282" xr:uid="{00000000-0005-0000-0000-00004E060000}"/>
    <cellStyle name="Calculation 3" xfId="2272" xr:uid="{00000000-0005-0000-0000-00004F060000}"/>
    <cellStyle name="Calculation 4" xfId="2276" xr:uid="{00000000-0005-0000-0000-000050060000}"/>
    <cellStyle name="Calculation 5" xfId="1857" xr:uid="{00000000-0005-0000-0000-000051060000}"/>
    <cellStyle name="Calculation 6" xfId="1915" xr:uid="{00000000-0005-0000-0000-000052060000}"/>
    <cellStyle name="Calculation 7" xfId="1918" xr:uid="{00000000-0005-0000-0000-000053060000}"/>
    <cellStyle name="Calculation 8" xfId="1901" xr:uid="{00000000-0005-0000-0000-000054060000}"/>
    <cellStyle name="Calculation 9" xfId="1949" xr:uid="{00000000-0005-0000-0000-000055060000}"/>
    <cellStyle name="Cálculo" xfId="334" builtinId="22" customBuiltin="1"/>
    <cellStyle name="Cálculo 2" xfId="91" xr:uid="{00000000-0005-0000-0000-000057060000}"/>
    <cellStyle name="Cálculo 2 10" xfId="1863" xr:uid="{00000000-0005-0000-0000-000058060000}"/>
    <cellStyle name="Cálculo 2 11" xfId="2283" xr:uid="{00000000-0005-0000-0000-000059060000}"/>
    <cellStyle name="Cálculo 2 12" xfId="1883" xr:uid="{00000000-0005-0000-0000-00005A060000}"/>
    <cellStyle name="Cálculo 2 13" xfId="1896" xr:uid="{00000000-0005-0000-0000-00005B060000}"/>
    <cellStyle name="Cálculo 2 14" xfId="2257" xr:uid="{00000000-0005-0000-0000-00005C060000}"/>
    <cellStyle name="Cálculo 2 15" xfId="1909" xr:uid="{00000000-0005-0000-0000-00005D060000}"/>
    <cellStyle name="Cálculo 2 16" xfId="1934" xr:uid="{00000000-0005-0000-0000-00005E060000}"/>
    <cellStyle name="Cálculo 2 17" xfId="2317" xr:uid="{00000000-0005-0000-0000-00005F060000}"/>
    <cellStyle name="Cálculo 2 2" xfId="92" xr:uid="{00000000-0005-0000-0000-000060060000}"/>
    <cellStyle name="Cálculo 2 2 10" xfId="1884" xr:uid="{00000000-0005-0000-0000-000061060000}"/>
    <cellStyle name="Cálculo 2 2 11" xfId="1895" xr:uid="{00000000-0005-0000-0000-000062060000}"/>
    <cellStyle name="Cálculo 2 2 12" xfId="1889" xr:uid="{00000000-0005-0000-0000-000063060000}"/>
    <cellStyle name="Cálculo 2 2 13" xfId="1910" xr:uid="{00000000-0005-0000-0000-000064060000}"/>
    <cellStyle name="Cálculo 2 2 14" xfId="1869" xr:uid="{00000000-0005-0000-0000-000065060000}"/>
    <cellStyle name="Cálculo 2 2 15" xfId="2318" xr:uid="{00000000-0005-0000-0000-000066060000}"/>
    <cellStyle name="Cálculo 2 2 2" xfId="447" xr:uid="{00000000-0005-0000-0000-000067060000}"/>
    <cellStyle name="Cálculo 2 2 2 10" xfId="2838" xr:uid="{00000000-0005-0000-0000-000068060000}"/>
    <cellStyle name="Cálculo 2 2 2 11" xfId="2800" xr:uid="{00000000-0005-0000-0000-000069060000}"/>
    <cellStyle name="Cálculo 2 2 2 12" xfId="2792" xr:uid="{00000000-0005-0000-0000-00006A060000}"/>
    <cellStyle name="Cálculo 2 2 2 13" xfId="3277" xr:uid="{00000000-0005-0000-0000-00006B060000}"/>
    <cellStyle name="Cálculo 2 2 2 14" xfId="3641" xr:uid="{00000000-0005-0000-0000-00006C060000}"/>
    <cellStyle name="Cálculo 2 2 2 2" xfId="627" xr:uid="{00000000-0005-0000-0000-00006D060000}"/>
    <cellStyle name="Cálculo 2 2 2 2 2" xfId="802" xr:uid="{00000000-0005-0000-0000-00006E060000}"/>
    <cellStyle name="Cálculo 2 2 2 2 3" xfId="874" xr:uid="{00000000-0005-0000-0000-00006F060000}"/>
    <cellStyle name="Cálculo 2 2 2 2 4" xfId="1100" xr:uid="{00000000-0005-0000-0000-000070060000}"/>
    <cellStyle name="Cálculo 2 2 2 2 5" xfId="1420" xr:uid="{00000000-0005-0000-0000-000071060000}"/>
    <cellStyle name="Cálculo 2 2 2 2 6" xfId="1722" xr:uid="{00000000-0005-0000-0000-000072060000}"/>
    <cellStyle name="Cálculo 2 2 2 2 7" xfId="3065" xr:uid="{00000000-0005-0000-0000-000073060000}"/>
    <cellStyle name="Cálculo 2 2 2 2 8" xfId="4060" xr:uid="{00000000-0005-0000-0000-000074060000}"/>
    <cellStyle name="Cálculo 2 2 2 3" xfId="752" xr:uid="{00000000-0005-0000-0000-000075060000}"/>
    <cellStyle name="Cálculo 2 2 2 4" xfId="834" xr:uid="{00000000-0005-0000-0000-000076060000}"/>
    <cellStyle name="Cálculo 2 2 2 5" xfId="951" xr:uid="{00000000-0005-0000-0000-000077060000}"/>
    <cellStyle name="Cálculo 2 2 2 6" xfId="914" xr:uid="{00000000-0005-0000-0000-000078060000}"/>
    <cellStyle name="Cálculo 2 2 2 7" xfId="1261" xr:uid="{00000000-0005-0000-0000-000079060000}"/>
    <cellStyle name="Cálculo 2 2 2 8" xfId="1830" xr:uid="{00000000-0005-0000-0000-00007A060000}"/>
    <cellStyle name="Cálculo 2 2 2 9" xfId="2556" xr:uid="{00000000-0005-0000-0000-00007B060000}"/>
    <cellStyle name="Cálculo 2 2 3" xfId="506" xr:uid="{00000000-0005-0000-0000-00007C060000}"/>
    <cellStyle name="Cálculo 2 2 3 10" xfId="3945" xr:uid="{00000000-0005-0000-0000-00007D060000}"/>
    <cellStyle name="Cálculo 2 2 3 2" xfId="681" xr:uid="{00000000-0005-0000-0000-00007E060000}"/>
    <cellStyle name="Cálculo 2 2 3 2 2" xfId="816" xr:uid="{00000000-0005-0000-0000-00007F060000}"/>
    <cellStyle name="Cálculo 2 2 3 2 3" xfId="886" xr:uid="{00000000-0005-0000-0000-000080060000}"/>
    <cellStyle name="Cálculo 2 2 3 2 4" xfId="1148" xr:uid="{00000000-0005-0000-0000-000081060000}"/>
    <cellStyle name="Cálculo 2 2 3 2 5" xfId="1471" xr:uid="{00000000-0005-0000-0000-000082060000}"/>
    <cellStyle name="Cálculo 2 2 3 2 6" xfId="1773" xr:uid="{00000000-0005-0000-0000-000083060000}"/>
    <cellStyle name="Cálculo 2 2 3 2 7" xfId="3327" xr:uid="{00000000-0005-0000-0000-000084060000}"/>
    <cellStyle name="Cálculo 2 2 3 2 8" xfId="4113" xr:uid="{00000000-0005-0000-0000-000085060000}"/>
    <cellStyle name="Cálculo 2 2 3 3" xfId="766" xr:uid="{00000000-0005-0000-0000-000086060000}"/>
    <cellStyle name="Cálculo 2 2 3 4" xfId="845" xr:uid="{00000000-0005-0000-0000-000087060000}"/>
    <cellStyle name="Cálculo 2 2 3 5" xfId="999" xr:uid="{00000000-0005-0000-0000-000088060000}"/>
    <cellStyle name="Cálculo 2 2 3 6" xfId="1211" xr:uid="{00000000-0005-0000-0000-000089060000}"/>
    <cellStyle name="Cálculo 2 2 3 7" xfId="1313" xr:uid="{00000000-0005-0000-0000-00008A060000}"/>
    <cellStyle name="Cálculo 2 2 3 8" xfId="1838" xr:uid="{00000000-0005-0000-0000-00008B060000}"/>
    <cellStyle name="Cálculo 2 2 3 9" xfId="3309" xr:uid="{00000000-0005-0000-0000-00008C060000}"/>
    <cellStyle name="Cálculo 2 2 4" xfId="548" xr:uid="{00000000-0005-0000-0000-00008D060000}"/>
    <cellStyle name="Cálculo 2 2 4 2" xfId="783" xr:uid="{00000000-0005-0000-0000-00008E060000}"/>
    <cellStyle name="Cálculo 2 2 4 3" xfId="861" xr:uid="{00000000-0005-0000-0000-00008F060000}"/>
    <cellStyle name="Cálculo 2 2 4 4" xfId="1031" xr:uid="{00000000-0005-0000-0000-000090060000}"/>
    <cellStyle name="Cálculo 2 2 4 5" xfId="1348" xr:uid="{00000000-0005-0000-0000-000091060000}"/>
    <cellStyle name="Cálculo 2 2 4 6" xfId="1650" xr:uid="{00000000-0005-0000-0000-000092060000}"/>
    <cellStyle name="Cálculo 2 2 4 7" xfId="3127" xr:uid="{00000000-0005-0000-0000-000093060000}"/>
    <cellStyle name="Cálculo 2 2 4 8" xfId="3984" xr:uid="{00000000-0005-0000-0000-000094060000}"/>
    <cellStyle name="Cálculo 2 2 5" xfId="751" xr:uid="{00000000-0005-0000-0000-000095060000}"/>
    <cellStyle name="Cálculo 2 2 6" xfId="409" xr:uid="{00000000-0005-0000-0000-000096060000}"/>
    <cellStyle name="Cálculo 2 2 7" xfId="1939" xr:uid="{00000000-0005-0000-0000-000097060000}"/>
    <cellStyle name="Cálculo 2 2 8" xfId="1867" xr:uid="{00000000-0005-0000-0000-000098060000}"/>
    <cellStyle name="Cálculo 2 2 9" xfId="1907" xr:uid="{00000000-0005-0000-0000-000099060000}"/>
    <cellStyle name="Cálculo 2 3" xfId="93" xr:uid="{00000000-0005-0000-0000-00009A060000}"/>
    <cellStyle name="Cálculo 2 3 10" xfId="1885" xr:uid="{00000000-0005-0000-0000-00009B060000}"/>
    <cellStyle name="Cálculo 2 3 11" xfId="1924" xr:uid="{00000000-0005-0000-0000-00009C060000}"/>
    <cellStyle name="Cálculo 2 3 12" xfId="2300" xr:uid="{00000000-0005-0000-0000-00009D060000}"/>
    <cellStyle name="Cálculo 2 3 13" xfId="1908" xr:uid="{00000000-0005-0000-0000-00009E060000}"/>
    <cellStyle name="Cálculo 2 3 14" xfId="1935" xr:uid="{00000000-0005-0000-0000-00009F060000}"/>
    <cellStyle name="Cálculo 2 3 15" xfId="2327" xr:uid="{00000000-0005-0000-0000-0000A0060000}"/>
    <cellStyle name="Cálculo 2 3 2" xfId="448" xr:uid="{00000000-0005-0000-0000-0000A1060000}"/>
    <cellStyle name="Cálculo 2 3 2 10" xfId="2839" xr:uid="{00000000-0005-0000-0000-0000A2060000}"/>
    <cellStyle name="Cálculo 2 3 2 11" xfId="2846" xr:uid="{00000000-0005-0000-0000-0000A3060000}"/>
    <cellStyle name="Cálculo 2 3 2 12" xfId="2850" xr:uid="{00000000-0005-0000-0000-0000A4060000}"/>
    <cellStyle name="Cálculo 2 3 2 13" xfId="3278" xr:uid="{00000000-0005-0000-0000-0000A5060000}"/>
    <cellStyle name="Cálculo 2 3 2 14" xfId="3642" xr:uid="{00000000-0005-0000-0000-0000A6060000}"/>
    <cellStyle name="Cálculo 2 3 2 2" xfId="628" xr:uid="{00000000-0005-0000-0000-0000A7060000}"/>
    <cellStyle name="Cálculo 2 3 2 2 2" xfId="803" xr:uid="{00000000-0005-0000-0000-0000A8060000}"/>
    <cellStyle name="Cálculo 2 3 2 2 3" xfId="875" xr:uid="{00000000-0005-0000-0000-0000A9060000}"/>
    <cellStyle name="Cálculo 2 3 2 2 4" xfId="1101" xr:uid="{00000000-0005-0000-0000-0000AA060000}"/>
    <cellStyle name="Cálculo 2 3 2 2 5" xfId="1421" xr:uid="{00000000-0005-0000-0000-0000AB060000}"/>
    <cellStyle name="Cálculo 2 3 2 2 6" xfId="1723" xr:uid="{00000000-0005-0000-0000-0000AC060000}"/>
    <cellStyle name="Cálculo 2 3 2 2 7" xfId="3064" xr:uid="{00000000-0005-0000-0000-0000AD060000}"/>
    <cellStyle name="Cálculo 2 3 2 2 8" xfId="4061" xr:uid="{00000000-0005-0000-0000-0000AE060000}"/>
    <cellStyle name="Cálculo 2 3 2 3" xfId="753" xr:uid="{00000000-0005-0000-0000-0000AF060000}"/>
    <cellStyle name="Cálculo 2 3 2 4" xfId="835" xr:uid="{00000000-0005-0000-0000-0000B0060000}"/>
    <cellStyle name="Cálculo 2 3 2 5" xfId="952" xr:uid="{00000000-0005-0000-0000-0000B1060000}"/>
    <cellStyle name="Cálculo 2 3 2 6" xfId="1203" xr:uid="{00000000-0005-0000-0000-0000B2060000}"/>
    <cellStyle name="Cálculo 2 3 2 7" xfId="1262" xr:uid="{00000000-0005-0000-0000-0000B3060000}"/>
    <cellStyle name="Cálculo 2 3 2 8" xfId="1831" xr:uid="{00000000-0005-0000-0000-0000B4060000}"/>
    <cellStyle name="Cálculo 2 3 2 9" xfId="2557" xr:uid="{00000000-0005-0000-0000-0000B5060000}"/>
    <cellStyle name="Cálculo 2 3 3" xfId="507" xr:uid="{00000000-0005-0000-0000-0000B6060000}"/>
    <cellStyle name="Cálculo 2 3 3 10" xfId="3946" xr:uid="{00000000-0005-0000-0000-0000B7060000}"/>
    <cellStyle name="Cálculo 2 3 3 2" xfId="682" xr:uid="{00000000-0005-0000-0000-0000B8060000}"/>
    <cellStyle name="Cálculo 2 3 3 2 2" xfId="817" xr:uid="{00000000-0005-0000-0000-0000B9060000}"/>
    <cellStyle name="Cálculo 2 3 3 2 3" xfId="887" xr:uid="{00000000-0005-0000-0000-0000BA060000}"/>
    <cellStyle name="Cálculo 2 3 3 2 4" xfId="1149" xr:uid="{00000000-0005-0000-0000-0000BB060000}"/>
    <cellStyle name="Cálculo 2 3 3 2 5" xfId="1472" xr:uid="{00000000-0005-0000-0000-0000BC060000}"/>
    <cellStyle name="Cálculo 2 3 3 2 6" xfId="1774" xr:uid="{00000000-0005-0000-0000-0000BD060000}"/>
    <cellStyle name="Cálculo 2 3 3 2 7" xfId="3328" xr:uid="{00000000-0005-0000-0000-0000BE060000}"/>
    <cellStyle name="Cálculo 2 3 3 2 8" xfId="4114" xr:uid="{00000000-0005-0000-0000-0000BF060000}"/>
    <cellStyle name="Cálculo 2 3 3 3" xfId="767" xr:uid="{00000000-0005-0000-0000-0000C0060000}"/>
    <cellStyle name="Cálculo 2 3 3 4" xfId="846" xr:uid="{00000000-0005-0000-0000-0000C1060000}"/>
    <cellStyle name="Cálculo 2 3 3 5" xfId="1000" xr:uid="{00000000-0005-0000-0000-0000C2060000}"/>
    <cellStyle name="Cálculo 2 3 3 6" xfId="1212" xr:uid="{00000000-0005-0000-0000-0000C3060000}"/>
    <cellStyle name="Cálculo 2 3 3 7" xfId="1314" xr:uid="{00000000-0005-0000-0000-0000C4060000}"/>
    <cellStyle name="Cálculo 2 3 3 8" xfId="1839" xr:uid="{00000000-0005-0000-0000-0000C5060000}"/>
    <cellStyle name="Cálculo 2 3 3 9" xfId="3310" xr:uid="{00000000-0005-0000-0000-0000C6060000}"/>
    <cellStyle name="Cálculo 2 3 4" xfId="549" xr:uid="{00000000-0005-0000-0000-0000C7060000}"/>
    <cellStyle name="Cálculo 2 3 4 2" xfId="784" xr:uid="{00000000-0005-0000-0000-0000C8060000}"/>
    <cellStyle name="Cálculo 2 3 4 3" xfId="862" xr:uid="{00000000-0005-0000-0000-0000C9060000}"/>
    <cellStyle name="Cálculo 2 3 4 4" xfId="1032" xr:uid="{00000000-0005-0000-0000-0000CA060000}"/>
    <cellStyle name="Cálculo 2 3 4 5" xfId="1349" xr:uid="{00000000-0005-0000-0000-0000CB060000}"/>
    <cellStyle name="Cálculo 2 3 4 6" xfId="1651" xr:uid="{00000000-0005-0000-0000-0000CC060000}"/>
    <cellStyle name="Cálculo 2 3 4 7" xfId="3126" xr:uid="{00000000-0005-0000-0000-0000CD060000}"/>
    <cellStyle name="Cálculo 2 3 4 8" xfId="3985" xr:uid="{00000000-0005-0000-0000-0000CE060000}"/>
    <cellStyle name="Cálculo 2 3 5" xfId="793" xr:uid="{00000000-0005-0000-0000-0000CF060000}"/>
    <cellStyle name="Cálculo 2 3 6" xfId="408" xr:uid="{00000000-0005-0000-0000-0000D0060000}"/>
    <cellStyle name="Cálculo 2 3 7" xfId="1938" xr:uid="{00000000-0005-0000-0000-0000D1060000}"/>
    <cellStyle name="Cálculo 2 3 8" xfId="1868" xr:uid="{00000000-0005-0000-0000-0000D2060000}"/>
    <cellStyle name="Cálculo 2 3 9" xfId="1906" xr:uid="{00000000-0005-0000-0000-0000D3060000}"/>
    <cellStyle name="Cálculo 2 4" xfId="425" xr:uid="{00000000-0005-0000-0000-0000D4060000}"/>
    <cellStyle name="Cálculo 2 4 10" xfId="2821" xr:uid="{00000000-0005-0000-0000-0000D5060000}"/>
    <cellStyle name="Cálculo 2 4 11" xfId="2796" xr:uid="{00000000-0005-0000-0000-0000D6060000}"/>
    <cellStyle name="Cálculo 2 4 12" xfId="2827" xr:uid="{00000000-0005-0000-0000-0000D7060000}"/>
    <cellStyle name="Cálculo 2 4 13" xfId="3268" xr:uid="{00000000-0005-0000-0000-0000D8060000}"/>
    <cellStyle name="Cálculo 2 4 14" xfId="3638" xr:uid="{00000000-0005-0000-0000-0000D9060000}"/>
    <cellStyle name="Cálculo 2 4 2" xfId="615" xr:uid="{00000000-0005-0000-0000-0000DA060000}"/>
    <cellStyle name="Cálculo 2 4 2 2" xfId="799" xr:uid="{00000000-0005-0000-0000-0000DB060000}"/>
    <cellStyle name="Cálculo 2 4 2 3" xfId="872" xr:uid="{00000000-0005-0000-0000-0000DC060000}"/>
    <cellStyle name="Cálculo 2 4 2 4" xfId="1088" xr:uid="{00000000-0005-0000-0000-0000DD060000}"/>
    <cellStyle name="Cálculo 2 4 2 5" xfId="1408" xr:uid="{00000000-0005-0000-0000-0000DE060000}"/>
    <cellStyle name="Cálculo 2 4 2 6" xfId="1710" xr:uid="{00000000-0005-0000-0000-0000DF060000}"/>
    <cellStyle name="Cálculo 2 4 2 7" xfId="3076" xr:uid="{00000000-0005-0000-0000-0000E0060000}"/>
    <cellStyle name="Cálculo 2 4 2 8" xfId="4048" xr:uid="{00000000-0005-0000-0000-0000E1060000}"/>
    <cellStyle name="Cálculo 2 4 3" xfId="748" xr:uid="{00000000-0005-0000-0000-0000E2060000}"/>
    <cellStyle name="Cálculo 2 4 4" xfId="830" xr:uid="{00000000-0005-0000-0000-0000E3060000}"/>
    <cellStyle name="Cálculo 2 4 5" xfId="939" xr:uid="{00000000-0005-0000-0000-0000E4060000}"/>
    <cellStyle name="Cálculo 2 4 6" xfId="934" xr:uid="{00000000-0005-0000-0000-0000E5060000}"/>
    <cellStyle name="Cálculo 2 4 7" xfId="1249" xr:uid="{00000000-0005-0000-0000-0000E6060000}"/>
    <cellStyle name="Cálculo 2 4 8" xfId="1543" xr:uid="{00000000-0005-0000-0000-0000E7060000}"/>
    <cellStyle name="Cálculo 2 4 9" xfId="2558" xr:uid="{00000000-0005-0000-0000-0000E8060000}"/>
    <cellStyle name="Cálculo 2 5" xfId="504" xr:uid="{00000000-0005-0000-0000-0000E9060000}"/>
    <cellStyle name="Cálculo 2 5 10" xfId="3944" xr:uid="{00000000-0005-0000-0000-0000EA060000}"/>
    <cellStyle name="Cálculo 2 5 2" xfId="680" xr:uid="{00000000-0005-0000-0000-0000EB060000}"/>
    <cellStyle name="Cálculo 2 5 2 2" xfId="815" xr:uid="{00000000-0005-0000-0000-0000EC060000}"/>
    <cellStyle name="Cálculo 2 5 2 3" xfId="885" xr:uid="{00000000-0005-0000-0000-0000ED060000}"/>
    <cellStyle name="Cálculo 2 5 2 4" xfId="1147" xr:uid="{00000000-0005-0000-0000-0000EE060000}"/>
    <cellStyle name="Cálculo 2 5 2 5" xfId="1470" xr:uid="{00000000-0005-0000-0000-0000EF060000}"/>
    <cellStyle name="Cálculo 2 5 2 6" xfId="1772" xr:uid="{00000000-0005-0000-0000-0000F0060000}"/>
    <cellStyle name="Cálculo 2 5 2 7" xfId="3326" xr:uid="{00000000-0005-0000-0000-0000F1060000}"/>
    <cellStyle name="Cálculo 2 5 2 8" xfId="4112" xr:uid="{00000000-0005-0000-0000-0000F2060000}"/>
    <cellStyle name="Cálculo 2 5 3" xfId="765" xr:uid="{00000000-0005-0000-0000-0000F3060000}"/>
    <cellStyle name="Cálculo 2 5 4" xfId="844" xr:uid="{00000000-0005-0000-0000-0000F4060000}"/>
    <cellStyle name="Cálculo 2 5 5" xfId="998" xr:uid="{00000000-0005-0000-0000-0000F5060000}"/>
    <cellStyle name="Cálculo 2 5 6" xfId="1210" xr:uid="{00000000-0005-0000-0000-0000F6060000}"/>
    <cellStyle name="Cálculo 2 5 7" xfId="1312" xr:uid="{00000000-0005-0000-0000-0000F7060000}"/>
    <cellStyle name="Cálculo 2 5 8" xfId="1837" xr:uid="{00000000-0005-0000-0000-0000F8060000}"/>
    <cellStyle name="Cálculo 2 5 9" xfId="3308" xr:uid="{00000000-0005-0000-0000-0000F9060000}"/>
    <cellStyle name="Cálculo 2 6" xfId="547" xr:uid="{00000000-0005-0000-0000-0000FA060000}"/>
    <cellStyle name="Cálculo 2 6 2" xfId="782" xr:uid="{00000000-0005-0000-0000-0000FB060000}"/>
    <cellStyle name="Cálculo 2 6 3" xfId="860" xr:uid="{00000000-0005-0000-0000-0000FC060000}"/>
    <cellStyle name="Cálculo 2 6 4" xfId="1030" xr:uid="{00000000-0005-0000-0000-0000FD060000}"/>
    <cellStyle name="Cálculo 2 6 5" xfId="1347" xr:uid="{00000000-0005-0000-0000-0000FE060000}"/>
    <cellStyle name="Cálculo 2 6 6" xfId="1649" xr:uid="{00000000-0005-0000-0000-0000FF060000}"/>
    <cellStyle name="Cálculo 2 6 7" xfId="3128" xr:uid="{00000000-0005-0000-0000-000000070000}"/>
    <cellStyle name="Cálculo 2 6 8" xfId="3983" xr:uid="{00000000-0005-0000-0000-000001070000}"/>
    <cellStyle name="Cálculo 2 7" xfId="418" xr:uid="{00000000-0005-0000-0000-000002070000}"/>
    <cellStyle name="Cálculo 2 8" xfId="814" xr:uid="{00000000-0005-0000-0000-000003070000}"/>
    <cellStyle name="Cálculo 2 9" xfId="1940" xr:uid="{00000000-0005-0000-0000-000004070000}"/>
    <cellStyle name="Celda de comprobación 2" xfId="2138" xr:uid="{00000000-0005-0000-0000-000005070000}"/>
    <cellStyle name="Celda vinculada 2" xfId="2139" xr:uid="{00000000-0005-0000-0000-000006070000}"/>
    <cellStyle name="Célula de Verificação" xfId="336" builtinId="23" customBuiltin="1"/>
    <cellStyle name="Célula de Verificação 2" xfId="94" xr:uid="{00000000-0005-0000-0000-000008070000}"/>
    <cellStyle name="Célula Vinculada" xfId="335" builtinId="24" customBuiltin="1"/>
    <cellStyle name="Célula Vinculada 2" xfId="95" xr:uid="{00000000-0005-0000-0000-00000A070000}"/>
    <cellStyle name="Check Cell" xfId="2140" xr:uid="{00000000-0005-0000-0000-00000B070000}"/>
    <cellStyle name="Collegamento ipertestuale" xfId="96" xr:uid="{00000000-0005-0000-0000-00000C070000}"/>
    <cellStyle name="Comma [00]" xfId="97" xr:uid="{00000000-0005-0000-0000-00000D070000}"/>
    <cellStyle name="Comma 10" xfId="98" xr:uid="{00000000-0005-0000-0000-00000E070000}"/>
    <cellStyle name="Comma 11" xfId="99" xr:uid="{00000000-0005-0000-0000-00000F070000}"/>
    <cellStyle name="Comma 12" xfId="100" xr:uid="{00000000-0005-0000-0000-000010070000}"/>
    <cellStyle name="Comma 13" xfId="101" xr:uid="{00000000-0005-0000-0000-000011070000}"/>
    <cellStyle name="Comma 14" xfId="102" xr:uid="{00000000-0005-0000-0000-000012070000}"/>
    <cellStyle name="Comma 15" xfId="103" xr:uid="{00000000-0005-0000-0000-000013070000}"/>
    <cellStyle name="Comma 16" xfId="104" xr:uid="{00000000-0005-0000-0000-000014070000}"/>
    <cellStyle name="Comma 17" xfId="105" xr:uid="{00000000-0005-0000-0000-000015070000}"/>
    <cellStyle name="Comma 18" xfId="106" xr:uid="{00000000-0005-0000-0000-000016070000}"/>
    <cellStyle name="Comma 19" xfId="107" xr:uid="{00000000-0005-0000-0000-000017070000}"/>
    <cellStyle name="Comma 2" xfId="108" xr:uid="{00000000-0005-0000-0000-000018070000}"/>
    <cellStyle name="Comma 20" xfId="109" xr:uid="{00000000-0005-0000-0000-000019070000}"/>
    <cellStyle name="Comma 21" xfId="110" xr:uid="{00000000-0005-0000-0000-00001A070000}"/>
    <cellStyle name="Comma 22" xfId="111" xr:uid="{00000000-0005-0000-0000-00001B070000}"/>
    <cellStyle name="Comma 23" xfId="112" xr:uid="{00000000-0005-0000-0000-00001C070000}"/>
    <cellStyle name="Comma 24" xfId="113" xr:uid="{00000000-0005-0000-0000-00001D070000}"/>
    <cellStyle name="Comma 25" xfId="114" xr:uid="{00000000-0005-0000-0000-00001E070000}"/>
    <cellStyle name="Comma 26" xfId="115" xr:uid="{00000000-0005-0000-0000-00001F070000}"/>
    <cellStyle name="Comma 27" xfId="116" xr:uid="{00000000-0005-0000-0000-000020070000}"/>
    <cellStyle name="Comma 28" xfId="117" xr:uid="{00000000-0005-0000-0000-000021070000}"/>
    <cellStyle name="Comma 29" xfId="118" xr:uid="{00000000-0005-0000-0000-000022070000}"/>
    <cellStyle name="Comma 3" xfId="119" xr:uid="{00000000-0005-0000-0000-000023070000}"/>
    <cellStyle name="Comma 30" xfId="120" xr:uid="{00000000-0005-0000-0000-000024070000}"/>
    <cellStyle name="Comma 31" xfId="121" xr:uid="{00000000-0005-0000-0000-000025070000}"/>
    <cellStyle name="Comma 32" xfId="122" xr:uid="{00000000-0005-0000-0000-000026070000}"/>
    <cellStyle name="Comma 33" xfId="123" xr:uid="{00000000-0005-0000-0000-000027070000}"/>
    <cellStyle name="Comma 34" xfId="124" xr:uid="{00000000-0005-0000-0000-000028070000}"/>
    <cellStyle name="Comma 35" xfId="125" xr:uid="{00000000-0005-0000-0000-000029070000}"/>
    <cellStyle name="Comma 36" xfId="126" xr:uid="{00000000-0005-0000-0000-00002A070000}"/>
    <cellStyle name="Comma 4" xfId="127" xr:uid="{00000000-0005-0000-0000-00002B070000}"/>
    <cellStyle name="Comma 5" xfId="128" xr:uid="{00000000-0005-0000-0000-00002C070000}"/>
    <cellStyle name="Comma 6" xfId="129" xr:uid="{00000000-0005-0000-0000-00002D070000}"/>
    <cellStyle name="Comma 7" xfId="130" xr:uid="{00000000-0005-0000-0000-00002E070000}"/>
    <cellStyle name="Comma 8" xfId="131" xr:uid="{00000000-0005-0000-0000-00002F070000}"/>
    <cellStyle name="Comma 9" xfId="132" xr:uid="{00000000-0005-0000-0000-000030070000}"/>
    <cellStyle name="Currency [00]" xfId="133" xr:uid="{00000000-0005-0000-0000-000031070000}"/>
    <cellStyle name="Currency_DOAR01P07" xfId="19" xr:uid="{00000000-0005-0000-0000-000032070000}"/>
    <cellStyle name="Date" xfId="134" xr:uid="{00000000-0005-0000-0000-000033070000}"/>
    <cellStyle name="Date Short" xfId="135" xr:uid="{00000000-0005-0000-0000-000034070000}"/>
    <cellStyle name="DESCRIÇÃO" xfId="136" xr:uid="{00000000-0005-0000-0000-000035070000}"/>
    <cellStyle name="DESCRIÇÃO 2" xfId="426" xr:uid="{00000000-0005-0000-0000-000036070000}"/>
    <cellStyle name="DESCRIÇÃO 2 2" xfId="831" xr:uid="{00000000-0005-0000-0000-000037070000}"/>
    <cellStyle name="DESCRIÇÃO 2 3" xfId="916" xr:uid="{00000000-0005-0000-0000-000038070000}"/>
    <cellStyle name="DESCRIÇÃO 2 4" xfId="2559" xr:uid="{00000000-0005-0000-0000-000039070000}"/>
    <cellStyle name="DESCRIÇÃO 2 5" xfId="2777" xr:uid="{00000000-0005-0000-0000-00003A070000}"/>
    <cellStyle name="DESCRIÇÃO 2 6" xfId="2822" xr:uid="{00000000-0005-0000-0000-00003B070000}"/>
    <cellStyle name="DESCRIÇÃO 2 7" xfId="2848" xr:uid="{00000000-0005-0000-0000-00003C070000}"/>
    <cellStyle name="DESCRIÇÃO 2 8" xfId="3091" xr:uid="{00000000-0005-0000-0000-00003D070000}"/>
    <cellStyle name="DESCRIÇÃO 2 9" xfId="3888" xr:uid="{00000000-0005-0000-0000-00003E070000}"/>
    <cellStyle name="DESCRIÇÃO 3" xfId="492" xr:uid="{00000000-0005-0000-0000-00003F070000}"/>
    <cellStyle name="DESCRIÇÃO 3 2" xfId="668" xr:uid="{00000000-0005-0000-0000-000040070000}"/>
    <cellStyle name="DESCRIÇÃO 3 2 2" xfId="812" xr:uid="{00000000-0005-0000-0000-000041070000}"/>
    <cellStyle name="DESCRIÇÃO 3 2 3" xfId="3022" xr:uid="{00000000-0005-0000-0000-000042070000}"/>
    <cellStyle name="DESCRIÇÃO 3 3" xfId="763" xr:uid="{00000000-0005-0000-0000-000043070000}"/>
    <cellStyle name="DESCRIÇÃO 3 4" xfId="1209" xr:uid="{00000000-0005-0000-0000-000044070000}"/>
    <cellStyle name="DESCRIÇÃO 3 5" xfId="1300" xr:uid="{00000000-0005-0000-0000-000045070000}"/>
    <cellStyle name="DESCRIÇÃO 3 6" xfId="3167" xr:uid="{00000000-0005-0000-0000-000046070000}"/>
    <cellStyle name="DESCRIÇÃO 4" xfId="535" xr:uid="{00000000-0005-0000-0000-000047070000}"/>
    <cellStyle name="DESCRIÇÃO 4 2" xfId="780" xr:uid="{00000000-0005-0000-0000-000048070000}"/>
    <cellStyle name="DESCRIÇÃO 4 3" xfId="3142" xr:uid="{00000000-0005-0000-0000-000049070000}"/>
    <cellStyle name="DESCRIÇÃO 5" xfId="2299" xr:uid="{00000000-0005-0000-0000-00004A070000}"/>
    <cellStyle name="DESCRIÇÃO 6" xfId="3090" xr:uid="{00000000-0005-0000-0000-00004B070000}"/>
    <cellStyle name="Design" xfId="137" xr:uid="{00000000-0005-0000-0000-00004C070000}"/>
    <cellStyle name="Encabezado 4 2" xfId="2141" xr:uid="{00000000-0005-0000-0000-00004D070000}"/>
    <cellStyle name="Ênfase1" xfId="340" builtinId="29" customBuiltin="1"/>
    <cellStyle name="Ênfase1 2" xfId="138" xr:uid="{00000000-0005-0000-0000-00004F070000}"/>
    <cellStyle name="Ênfase2" xfId="344" builtinId="33" customBuiltin="1"/>
    <cellStyle name="Ênfase2 2" xfId="139" xr:uid="{00000000-0005-0000-0000-000051070000}"/>
    <cellStyle name="Ênfase3" xfId="348" builtinId="37" customBuiltin="1"/>
    <cellStyle name="Ênfase3 2" xfId="140" xr:uid="{00000000-0005-0000-0000-000053070000}"/>
    <cellStyle name="Ênfase4" xfId="352" builtinId="41" customBuiltin="1"/>
    <cellStyle name="Ênfase4 2" xfId="141" xr:uid="{00000000-0005-0000-0000-000055070000}"/>
    <cellStyle name="Ênfase5" xfId="356" builtinId="45" customBuiltin="1"/>
    <cellStyle name="Ênfase5 2" xfId="142" xr:uid="{00000000-0005-0000-0000-000057070000}"/>
    <cellStyle name="Ênfase6" xfId="360" builtinId="49" customBuiltin="1"/>
    <cellStyle name="Ênfase6 2" xfId="143" xr:uid="{00000000-0005-0000-0000-000059070000}"/>
    <cellStyle name="Énfasis1 2" xfId="2142" xr:uid="{00000000-0005-0000-0000-00005A070000}"/>
    <cellStyle name="Énfasis2 2" xfId="2143" xr:uid="{00000000-0005-0000-0000-00005B070000}"/>
    <cellStyle name="Énfasis3 2" xfId="2144" xr:uid="{00000000-0005-0000-0000-00005C070000}"/>
    <cellStyle name="Énfasis4 2" xfId="2145" xr:uid="{00000000-0005-0000-0000-00005D070000}"/>
    <cellStyle name="Énfasis5 2" xfId="2146" xr:uid="{00000000-0005-0000-0000-00005E070000}"/>
    <cellStyle name="Énfasis6 2" xfId="2147" xr:uid="{00000000-0005-0000-0000-00005F070000}"/>
    <cellStyle name="Enter Currency (0)" xfId="144" xr:uid="{00000000-0005-0000-0000-000060070000}"/>
    <cellStyle name="Enter Currency (2)" xfId="145" xr:uid="{00000000-0005-0000-0000-000061070000}"/>
    <cellStyle name="Enter Units (0)" xfId="146" xr:uid="{00000000-0005-0000-0000-000062070000}"/>
    <cellStyle name="Enter Units (1)" xfId="147" xr:uid="{00000000-0005-0000-0000-000063070000}"/>
    <cellStyle name="Enter Units (2)" xfId="148" xr:uid="{00000000-0005-0000-0000-000064070000}"/>
    <cellStyle name="Entrada" xfId="332" builtinId="20" customBuiltin="1"/>
    <cellStyle name="Entrada 2" xfId="149" xr:uid="{00000000-0005-0000-0000-000066070000}"/>
    <cellStyle name="Entrada 2 10" xfId="2295" xr:uid="{00000000-0005-0000-0000-000067070000}"/>
    <cellStyle name="Entrada 2 11" xfId="1955" xr:uid="{00000000-0005-0000-0000-000068070000}"/>
    <cellStyle name="Entrada 2 12" xfId="2249" xr:uid="{00000000-0005-0000-0000-000069070000}"/>
    <cellStyle name="Entrada 2 13" xfId="1876" xr:uid="{00000000-0005-0000-0000-00006A070000}"/>
    <cellStyle name="Entrada 2 14" xfId="1902" xr:uid="{00000000-0005-0000-0000-00006B070000}"/>
    <cellStyle name="Entrada 2 15" xfId="1898" xr:uid="{00000000-0005-0000-0000-00006C070000}"/>
    <cellStyle name="Entrada 2 16" xfId="1877" xr:uid="{00000000-0005-0000-0000-00006D070000}"/>
    <cellStyle name="Entrada 2 17" xfId="2337" xr:uid="{00000000-0005-0000-0000-00006E070000}"/>
    <cellStyle name="Entrada 2 2" xfId="150" xr:uid="{00000000-0005-0000-0000-00006F070000}"/>
    <cellStyle name="Entrada 2 2 10" xfId="2248" xr:uid="{00000000-0005-0000-0000-000070070000}"/>
    <cellStyle name="Entrada 2 2 11" xfId="1875" xr:uid="{00000000-0005-0000-0000-000071070000}"/>
    <cellStyle name="Entrada 2 2 12" xfId="1903" xr:uid="{00000000-0005-0000-0000-000072070000}"/>
    <cellStyle name="Entrada 2 2 13" xfId="1897" xr:uid="{00000000-0005-0000-0000-000073070000}"/>
    <cellStyle name="Entrada 2 2 14" xfId="1944" xr:uid="{00000000-0005-0000-0000-000074070000}"/>
    <cellStyle name="Entrada 2 2 15" xfId="2336" xr:uid="{00000000-0005-0000-0000-000075070000}"/>
    <cellStyle name="Entrada 2 2 2" xfId="449" xr:uid="{00000000-0005-0000-0000-000076070000}"/>
    <cellStyle name="Entrada 2 2 2 10" xfId="2840" xr:uid="{00000000-0005-0000-0000-000077070000}"/>
    <cellStyle name="Entrada 2 2 2 11" xfId="2832" xr:uid="{00000000-0005-0000-0000-000078070000}"/>
    <cellStyle name="Entrada 2 2 2 12" xfId="2851" xr:uid="{00000000-0005-0000-0000-000079070000}"/>
    <cellStyle name="Entrada 2 2 2 13" xfId="3279" xr:uid="{00000000-0005-0000-0000-00007A070000}"/>
    <cellStyle name="Entrada 2 2 2 14" xfId="3643" xr:uid="{00000000-0005-0000-0000-00007B070000}"/>
    <cellStyle name="Entrada 2 2 2 2" xfId="629" xr:uid="{00000000-0005-0000-0000-00007C070000}"/>
    <cellStyle name="Entrada 2 2 2 2 2" xfId="804" xr:uid="{00000000-0005-0000-0000-00007D070000}"/>
    <cellStyle name="Entrada 2 2 2 2 3" xfId="876" xr:uid="{00000000-0005-0000-0000-00007E070000}"/>
    <cellStyle name="Entrada 2 2 2 2 4" xfId="1102" xr:uid="{00000000-0005-0000-0000-00007F070000}"/>
    <cellStyle name="Entrada 2 2 2 2 5" xfId="1422" xr:uid="{00000000-0005-0000-0000-000080070000}"/>
    <cellStyle name="Entrada 2 2 2 2 6" xfId="1724" xr:uid="{00000000-0005-0000-0000-000081070000}"/>
    <cellStyle name="Entrada 2 2 2 2 7" xfId="3063" xr:uid="{00000000-0005-0000-0000-000082070000}"/>
    <cellStyle name="Entrada 2 2 2 2 8" xfId="4062" xr:uid="{00000000-0005-0000-0000-000083070000}"/>
    <cellStyle name="Entrada 2 2 2 3" xfId="754" xr:uid="{00000000-0005-0000-0000-000084070000}"/>
    <cellStyle name="Entrada 2 2 2 4" xfId="836" xr:uid="{00000000-0005-0000-0000-000085070000}"/>
    <cellStyle name="Entrada 2 2 2 5" xfId="953" xr:uid="{00000000-0005-0000-0000-000086070000}"/>
    <cellStyle name="Entrada 2 2 2 6" xfId="1204" xr:uid="{00000000-0005-0000-0000-000087070000}"/>
    <cellStyle name="Entrada 2 2 2 7" xfId="1263" xr:uid="{00000000-0005-0000-0000-000088070000}"/>
    <cellStyle name="Entrada 2 2 2 8" xfId="1832" xr:uid="{00000000-0005-0000-0000-000089070000}"/>
    <cellStyle name="Entrada 2 2 2 9" xfId="2560" xr:uid="{00000000-0005-0000-0000-00008A070000}"/>
    <cellStyle name="Entrada 2 2 3" xfId="508" xr:uid="{00000000-0005-0000-0000-00008B070000}"/>
    <cellStyle name="Entrada 2 2 3 10" xfId="3947" xr:uid="{00000000-0005-0000-0000-00008C070000}"/>
    <cellStyle name="Entrada 2 2 3 2" xfId="683" xr:uid="{00000000-0005-0000-0000-00008D070000}"/>
    <cellStyle name="Entrada 2 2 3 2 2" xfId="818" xr:uid="{00000000-0005-0000-0000-00008E070000}"/>
    <cellStyle name="Entrada 2 2 3 2 3" xfId="888" xr:uid="{00000000-0005-0000-0000-00008F070000}"/>
    <cellStyle name="Entrada 2 2 3 2 4" xfId="1150" xr:uid="{00000000-0005-0000-0000-000090070000}"/>
    <cellStyle name="Entrada 2 2 3 2 5" xfId="1473" xr:uid="{00000000-0005-0000-0000-000091070000}"/>
    <cellStyle name="Entrada 2 2 3 2 6" xfId="1775" xr:uid="{00000000-0005-0000-0000-000092070000}"/>
    <cellStyle name="Entrada 2 2 3 2 7" xfId="3329" xr:uid="{00000000-0005-0000-0000-000093070000}"/>
    <cellStyle name="Entrada 2 2 3 2 8" xfId="4115" xr:uid="{00000000-0005-0000-0000-000094070000}"/>
    <cellStyle name="Entrada 2 2 3 3" xfId="768" xr:uid="{00000000-0005-0000-0000-000095070000}"/>
    <cellStyle name="Entrada 2 2 3 4" xfId="847" xr:uid="{00000000-0005-0000-0000-000096070000}"/>
    <cellStyle name="Entrada 2 2 3 5" xfId="1001" xr:uid="{00000000-0005-0000-0000-000097070000}"/>
    <cellStyle name="Entrada 2 2 3 6" xfId="1213" xr:uid="{00000000-0005-0000-0000-000098070000}"/>
    <cellStyle name="Entrada 2 2 3 7" xfId="1315" xr:uid="{00000000-0005-0000-0000-000099070000}"/>
    <cellStyle name="Entrada 2 2 3 8" xfId="1840" xr:uid="{00000000-0005-0000-0000-00009A070000}"/>
    <cellStyle name="Entrada 2 2 3 9" xfId="3311" xr:uid="{00000000-0005-0000-0000-00009B070000}"/>
    <cellStyle name="Entrada 2 2 4" xfId="550" xr:uid="{00000000-0005-0000-0000-00009C070000}"/>
    <cellStyle name="Entrada 2 2 4 2" xfId="785" xr:uid="{00000000-0005-0000-0000-00009D070000}"/>
    <cellStyle name="Entrada 2 2 4 3" xfId="863" xr:uid="{00000000-0005-0000-0000-00009E070000}"/>
    <cellStyle name="Entrada 2 2 4 4" xfId="1033" xr:uid="{00000000-0005-0000-0000-00009F070000}"/>
    <cellStyle name="Entrada 2 2 4 5" xfId="1350" xr:uid="{00000000-0005-0000-0000-0000A0070000}"/>
    <cellStyle name="Entrada 2 2 4 6" xfId="1652" xr:uid="{00000000-0005-0000-0000-0000A1070000}"/>
    <cellStyle name="Entrada 2 2 4 7" xfId="3125" xr:uid="{00000000-0005-0000-0000-0000A2070000}"/>
    <cellStyle name="Entrada 2 2 4 8" xfId="3986" xr:uid="{00000000-0005-0000-0000-0000A3070000}"/>
    <cellStyle name="Entrada 2 2 5" xfId="795" xr:uid="{00000000-0005-0000-0000-0000A4070000}"/>
    <cellStyle name="Entrada 2 2 6" xfId="898" xr:uid="{00000000-0005-0000-0000-0000A5070000}"/>
    <cellStyle name="Entrada 2 2 7" xfId="1912" xr:uid="{00000000-0005-0000-0000-0000A6070000}"/>
    <cellStyle name="Entrada 2 2 8" xfId="2294" xr:uid="{00000000-0005-0000-0000-0000A7070000}"/>
    <cellStyle name="Entrada 2 2 9" xfId="1954" xr:uid="{00000000-0005-0000-0000-0000A8070000}"/>
    <cellStyle name="Entrada 2 3" xfId="151" xr:uid="{00000000-0005-0000-0000-0000A9070000}"/>
    <cellStyle name="Entrada 2 3 10" xfId="1929" xr:uid="{00000000-0005-0000-0000-0000AA070000}"/>
    <cellStyle name="Entrada 2 3 11" xfId="1874" xr:uid="{00000000-0005-0000-0000-0000AB070000}"/>
    <cellStyle name="Entrada 2 3 12" xfId="1904" xr:uid="{00000000-0005-0000-0000-0000AC070000}"/>
    <cellStyle name="Entrada 2 3 13" xfId="2323" xr:uid="{00000000-0005-0000-0000-0000AD070000}"/>
    <cellStyle name="Entrada 2 3 14" xfId="1945" xr:uid="{00000000-0005-0000-0000-0000AE070000}"/>
    <cellStyle name="Entrada 2 3 15" xfId="2335" xr:uid="{00000000-0005-0000-0000-0000AF070000}"/>
    <cellStyle name="Entrada 2 3 2" xfId="450" xr:uid="{00000000-0005-0000-0000-0000B0070000}"/>
    <cellStyle name="Entrada 2 3 2 10" xfId="2841" xr:uid="{00000000-0005-0000-0000-0000B1070000}"/>
    <cellStyle name="Entrada 2 3 2 11" xfId="2845" xr:uid="{00000000-0005-0000-0000-0000B2070000}"/>
    <cellStyle name="Entrada 2 3 2 12" xfId="2852" xr:uid="{00000000-0005-0000-0000-0000B3070000}"/>
    <cellStyle name="Entrada 2 3 2 13" xfId="3280" xr:uid="{00000000-0005-0000-0000-0000B4070000}"/>
    <cellStyle name="Entrada 2 3 2 14" xfId="3644" xr:uid="{00000000-0005-0000-0000-0000B5070000}"/>
    <cellStyle name="Entrada 2 3 2 2" xfId="630" xr:uid="{00000000-0005-0000-0000-0000B6070000}"/>
    <cellStyle name="Entrada 2 3 2 2 2" xfId="805" xr:uid="{00000000-0005-0000-0000-0000B7070000}"/>
    <cellStyle name="Entrada 2 3 2 2 3" xfId="877" xr:uid="{00000000-0005-0000-0000-0000B8070000}"/>
    <cellStyle name="Entrada 2 3 2 2 4" xfId="1103" xr:uid="{00000000-0005-0000-0000-0000B9070000}"/>
    <cellStyle name="Entrada 2 3 2 2 5" xfId="1423" xr:uid="{00000000-0005-0000-0000-0000BA070000}"/>
    <cellStyle name="Entrada 2 3 2 2 6" xfId="1725" xr:uid="{00000000-0005-0000-0000-0000BB070000}"/>
    <cellStyle name="Entrada 2 3 2 2 7" xfId="3062" xr:uid="{00000000-0005-0000-0000-0000BC070000}"/>
    <cellStyle name="Entrada 2 3 2 2 8" xfId="4063" xr:uid="{00000000-0005-0000-0000-0000BD070000}"/>
    <cellStyle name="Entrada 2 3 2 3" xfId="755" xr:uid="{00000000-0005-0000-0000-0000BE070000}"/>
    <cellStyle name="Entrada 2 3 2 4" xfId="837" xr:uid="{00000000-0005-0000-0000-0000BF070000}"/>
    <cellStyle name="Entrada 2 3 2 5" xfId="954" xr:uid="{00000000-0005-0000-0000-0000C0070000}"/>
    <cellStyle name="Entrada 2 3 2 6" xfId="1205" xr:uid="{00000000-0005-0000-0000-0000C1070000}"/>
    <cellStyle name="Entrada 2 3 2 7" xfId="1264" xr:uid="{00000000-0005-0000-0000-0000C2070000}"/>
    <cellStyle name="Entrada 2 3 2 8" xfId="1833" xr:uid="{00000000-0005-0000-0000-0000C3070000}"/>
    <cellStyle name="Entrada 2 3 2 9" xfId="2561" xr:uid="{00000000-0005-0000-0000-0000C4070000}"/>
    <cellStyle name="Entrada 2 3 3" xfId="509" xr:uid="{00000000-0005-0000-0000-0000C5070000}"/>
    <cellStyle name="Entrada 2 3 3 10" xfId="3948" xr:uid="{00000000-0005-0000-0000-0000C6070000}"/>
    <cellStyle name="Entrada 2 3 3 2" xfId="684" xr:uid="{00000000-0005-0000-0000-0000C7070000}"/>
    <cellStyle name="Entrada 2 3 3 2 2" xfId="819" xr:uid="{00000000-0005-0000-0000-0000C8070000}"/>
    <cellStyle name="Entrada 2 3 3 2 3" xfId="889" xr:uid="{00000000-0005-0000-0000-0000C9070000}"/>
    <cellStyle name="Entrada 2 3 3 2 4" xfId="1151" xr:uid="{00000000-0005-0000-0000-0000CA070000}"/>
    <cellStyle name="Entrada 2 3 3 2 5" xfId="1474" xr:uid="{00000000-0005-0000-0000-0000CB070000}"/>
    <cellStyle name="Entrada 2 3 3 2 6" xfId="1776" xr:uid="{00000000-0005-0000-0000-0000CC070000}"/>
    <cellStyle name="Entrada 2 3 3 2 7" xfId="3330" xr:uid="{00000000-0005-0000-0000-0000CD070000}"/>
    <cellStyle name="Entrada 2 3 3 2 8" xfId="4116" xr:uid="{00000000-0005-0000-0000-0000CE070000}"/>
    <cellStyle name="Entrada 2 3 3 3" xfId="769" xr:uid="{00000000-0005-0000-0000-0000CF070000}"/>
    <cellStyle name="Entrada 2 3 3 4" xfId="848" xr:uid="{00000000-0005-0000-0000-0000D0070000}"/>
    <cellStyle name="Entrada 2 3 3 5" xfId="1002" xr:uid="{00000000-0005-0000-0000-0000D1070000}"/>
    <cellStyle name="Entrada 2 3 3 6" xfId="1214" xr:uid="{00000000-0005-0000-0000-0000D2070000}"/>
    <cellStyle name="Entrada 2 3 3 7" xfId="1316" xr:uid="{00000000-0005-0000-0000-0000D3070000}"/>
    <cellStyle name="Entrada 2 3 3 8" xfId="1841" xr:uid="{00000000-0005-0000-0000-0000D4070000}"/>
    <cellStyle name="Entrada 2 3 3 9" xfId="3312" xr:uid="{00000000-0005-0000-0000-0000D5070000}"/>
    <cellStyle name="Entrada 2 3 4" xfId="551" xr:uid="{00000000-0005-0000-0000-0000D6070000}"/>
    <cellStyle name="Entrada 2 3 4 2" xfId="786" xr:uid="{00000000-0005-0000-0000-0000D7070000}"/>
    <cellStyle name="Entrada 2 3 4 3" xfId="864" xr:uid="{00000000-0005-0000-0000-0000D8070000}"/>
    <cellStyle name="Entrada 2 3 4 4" xfId="1034" xr:uid="{00000000-0005-0000-0000-0000D9070000}"/>
    <cellStyle name="Entrada 2 3 4 5" xfId="1351" xr:uid="{00000000-0005-0000-0000-0000DA070000}"/>
    <cellStyle name="Entrada 2 3 4 6" xfId="1653" xr:uid="{00000000-0005-0000-0000-0000DB070000}"/>
    <cellStyle name="Entrada 2 3 4 7" xfId="3124" xr:uid="{00000000-0005-0000-0000-0000DC070000}"/>
    <cellStyle name="Entrada 2 3 4 8" xfId="3987" xr:uid="{00000000-0005-0000-0000-0000DD070000}"/>
    <cellStyle name="Entrada 2 3 5" xfId="797" xr:uid="{00000000-0005-0000-0000-0000DE070000}"/>
    <cellStyle name="Entrada 2 3 6" xfId="827" xr:uid="{00000000-0005-0000-0000-0000DF070000}"/>
    <cellStyle name="Entrada 2 3 7" xfId="1911" xr:uid="{00000000-0005-0000-0000-0000E0070000}"/>
    <cellStyle name="Entrada 2 3 8" xfId="2293" xr:uid="{00000000-0005-0000-0000-0000E1070000}"/>
    <cellStyle name="Entrada 2 3 9" xfId="1952" xr:uid="{00000000-0005-0000-0000-0000E2070000}"/>
    <cellStyle name="Entrada 2 4" xfId="427" xr:uid="{00000000-0005-0000-0000-0000E3070000}"/>
    <cellStyle name="Entrada 2 4 10" xfId="2823" xr:uid="{00000000-0005-0000-0000-0000E4070000}"/>
    <cellStyle name="Entrada 2 4 11" xfId="2797" xr:uid="{00000000-0005-0000-0000-0000E5070000}"/>
    <cellStyle name="Entrada 2 4 12" xfId="2794" xr:uid="{00000000-0005-0000-0000-0000E6070000}"/>
    <cellStyle name="Entrada 2 4 13" xfId="3269" xr:uid="{00000000-0005-0000-0000-0000E7070000}"/>
    <cellStyle name="Entrada 2 4 14" xfId="3639" xr:uid="{00000000-0005-0000-0000-0000E8070000}"/>
    <cellStyle name="Entrada 2 4 2" xfId="616" xr:uid="{00000000-0005-0000-0000-0000E9070000}"/>
    <cellStyle name="Entrada 2 4 2 2" xfId="800" xr:uid="{00000000-0005-0000-0000-0000EA070000}"/>
    <cellStyle name="Entrada 2 4 2 3" xfId="873" xr:uid="{00000000-0005-0000-0000-0000EB070000}"/>
    <cellStyle name="Entrada 2 4 2 4" xfId="1089" xr:uid="{00000000-0005-0000-0000-0000EC070000}"/>
    <cellStyle name="Entrada 2 4 2 5" xfId="1409" xr:uid="{00000000-0005-0000-0000-0000ED070000}"/>
    <cellStyle name="Entrada 2 4 2 6" xfId="1711" xr:uid="{00000000-0005-0000-0000-0000EE070000}"/>
    <cellStyle name="Entrada 2 4 2 7" xfId="3075" xr:uid="{00000000-0005-0000-0000-0000EF070000}"/>
    <cellStyle name="Entrada 2 4 2 8" xfId="4049" xr:uid="{00000000-0005-0000-0000-0000F0070000}"/>
    <cellStyle name="Entrada 2 4 3" xfId="749" xr:uid="{00000000-0005-0000-0000-0000F1070000}"/>
    <cellStyle name="Entrada 2 4 4" xfId="832" xr:uid="{00000000-0005-0000-0000-0000F2070000}"/>
    <cellStyle name="Entrada 2 4 5" xfId="940" xr:uid="{00000000-0005-0000-0000-0000F3070000}"/>
    <cellStyle name="Entrada 2 4 6" xfId="931" xr:uid="{00000000-0005-0000-0000-0000F4070000}"/>
    <cellStyle name="Entrada 2 4 7" xfId="1250" xr:uid="{00000000-0005-0000-0000-0000F5070000}"/>
    <cellStyle name="Entrada 2 4 8" xfId="1542" xr:uid="{00000000-0005-0000-0000-0000F6070000}"/>
    <cellStyle name="Entrada 2 4 9" xfId="2562" xr:uid="{00000000-0005-0000-0000-0000F7070000}"/>
    <cellStyle name="Entrada 2 5" xfId="491" xr:uid="{00000000-0005-0000-0000-0000F8070000}"/>
    <cellStyle name="Entrada 2 5 10" xfId="3932" xr:uid="{00000000-0005-0000-0000-0000F9070000}"/>
    <cellStyle name="Entrada 2 5 2" xfId="667" xr:uid="{00000000-0005-0000-0000-0000FA070000}"/>
    <cellStyle name="Entrada 2 5 2 2" xfId="811" xr:uid="{00000000-0005-0000-0000-0000FB070000}"/>
    <cellStyle name="Entrada 2 5 2 3" xfId="884" xr:uid="{00000000-0005-0000-0000-0000FC070000}"/>
    <cellStyle name="Entrada 2 5 2 4" xfId="1135" xr:uid="{00000000-0005-0000-0000-0000FD070000}"/>
    <cellStyle name="Entrada 2 5 2 5" xfId="1458" xr:uid="{00000000-0005-0000-0000-0000FE070000}"/>
    <cellStyle name="Entrada 2 5 2 6" xfId="1760" xr:uid="{00000000-0005-0000-0000-0000FF070000}"/>
    <cellStyle name="Entrada 2 5 2 7" xfId="3023" xr:uid="{00000000-0005-0000-0000-000000080000}"/>
    <cellStyle name="Entrada 2 5 2 8" xfId="4100" xr:uid="{00000000-0005-0000-0000-000001080000}"/>
    <cellStyle name="Entrada 2 5 3" xfId="762" xr:uid="{00000000-0005-0000-0000-000002080000}"/>
    <cellStyle name="Entrada 2 5 4" xfId="843" xr:uid="{00000000-0005-0000-0000-000003080000}"/>
    <cellStyle name="Entrada 2 5 5" xfId="986" xr:uid="{00000000-0005-0000-0000-000004080000}"/>
    <cellStyle name="Entrada 2 5 6" xfId="1208" xr:uid="{00000000-0005-0000-0000-000005080000}"/>
    <cellStyle name="Entrada 2 5 7" xfId="1299" xr:uid="{00000000-0005-0000-0000-000006080000}"/>
    <cellStyle name="Entrada 2 5 8" xfId="1836" xr:uid="{00000000-0005-0000-0000-000007080000}"/>
    <cellStyle name="Entrada 2 5 9" xfId="3168" xr:uid="{00000000-0005-0000-0000-000008080000}"/>
    <cellStyle name="Entrada 2 6" xfId="534" xr:uid="{00000000-0005-0000-0000-000009080000}"/>
    <cellStyle name="Entrada 2 6 2" xfId="779" xr:uid="{00000000-0005-0000-0000-00000A080000}"/>
    <cellStyle name="Entrada 2 6 3" xfId="858" xr:uid="{00000000-0005-0000-0000-00000B080000}"/>
    <cellStyle name="Entrada 2 6 4" xfId="1018" xr:uid="{00000000-0005-0000-0000-00000C080000}"/>
    <cellStyle name="Entrada 2 6 5" xfId="1335" xr:uid="{00000000-0005-0000-0000-00000D080000}"/>
    <cellStyle name="Entrada 2 6 6" xfId="1637" xr:uid="{00000000-0005-0000-0000-00000E080000}"/>
    <cellStyle name="Entrada 2 6 7" xfId="3143" xr:uid="{00000000-0005-0000-0000-00000F080000}"/>
    <cellStyle name="Entrada 2 6 8" xfId="3971" xr:uid="{00000000-0005-0000-0000-000010080000}"/>
    <cellStyle name="Entrada 2 7" xfId="826" xr:uid="{00000000-0005-0000-0000-000011080000}"/>
    <cellStyle name="Entrada 2 8" xfId="828" xr:uid="{00000000-0005-0000-0000-000012080000}"/>
    <cellStyle name="Entrada 2 9" xfId="1914" xr:uid="{00000000-0005-0000-0000-000013080000}"/>
    <cellStyle name="Estilo 1" xfId="152" xr:uid="{00000000-0005-0000-0000-000014080000}"/>
    <cellStyle name="Euro" xfId="153" xr:uid="{00000000-0005-0000-0000-000015080000}"/>
    <cellStyle name="Euro 2" xfId="154" xr:uid="{00000000-0005-0000-0000-000016080000}"/>
    <cellStyle name="Explanatory Text" xfId="2148" xr:uid="{00000000-0005-0000-0000-000017080000}"/>
    <cellStyle name="Fixed" xfId="155" xr:uid="{00000000-0005-0000-0000-000018080000}"/>
    <cellStyle name="Good" xfId="2149" xr:uid="{00000000-0005-0000-0000-000019080000}"/>
    <cellStyle name="Grey" xfId="156" xr:uid="{00000000-0005-0000-0000-00001A080000}"/>
    <cellStyle name="Header1" xfId="157" xr:uid="{00000000-0005-0000-0000-00001B080000}"/>
    <cellStyle name="Header2" xfId="158" xr:uid="{00000000-0005-0000-0000-00001C080000}"/>
    <cellStyle name="Header2 2" xfId="428" xr:uid="{00000000-0005-0000-0000-00001D080000}"/>
    <cellStyle name="Header2 2 2" xfId="750" xr:uid="{00000000-0005-0000-0000-00001E080000}"/>
    <cellStyle name="Header2 2 3" xfId="1565" xr:uid="{00000000-0005-0000-0000-00001F080000}"/>
    <cellStyle name="Header2 2 4" xfId="2563" xr:uid="{00000000-0005-0000-0000-000020080000}"/>
    <cellStyle name="Header2 2 5" xfId="2824" xr:uid="{00000000-0005-0000-0000-000021080000}"/>
    <cellStyle name="Header2 2 6" xfId="2793" xr:uid="{00000000-0005-0000-0000-000022080000}"/>
    <cellStyle name="Header2 2 7" xfId="3640" xr:uid="{00000000-0005-0000-0000-000023080000}"/>
    <cellStyle name="Header2 3" xfId="896" xr:uid="{00000000-0005-0000-0000-000024080000}"/>
    <cellStyle name="Header2 4" xfId="2292" xr:uid="{00000000-0005-0000-0000-000025080000}"/>
    <cellStyle name="Heading 1" xfId="2150" xr:uid="{00000000-0005-0000-0000-000026080000}"/>
    <cellStyle name="Heading 2" xfId="2151" xr:uid="{00000000-0005-0000-0000-000027080000}"/>
    <cellStyle name="Heading 3" xfId="2152" xr:uid="{00000000-0005-0000-0000-000028080000}"/>
    <cellStyle name="Heading 4" xfId="2153" xr:uid="{00000000-0005-0000-0000-000029080000}"/>
    <cellStyle name="Heading1" xfId="159" xr:uid="{00000000-0005-0000-0000-00002A080000}"/>
    <cellStyle name="Heading2" xfId="160" xr:uid="{00000000-0005-0000-0000-00002B080000}"/>
    <cellStyle name="Hiperlink 2" xfId="411" xr:uid="{00000000-0005-0000-0000-00002C080000}"/>
    <cellStyle name="Hipervínculo 2" xfId="2154" xr:uid="{00000000-0005-0000-0000-00002D080000}"/>
    <cellStyle name="Hyperlink seguido" xfId="161" xr:uid="{00000000-0005-0000-0000-00002E080000}"/>
    <cellStyle name="Incorrecto 2" xfId="2155" xr:uid="{00000000-0005-0000-0000-00002F080000}"/>
    <cellStyle name="Incorreto 2" xfId="162" xr:uid="{00000000-0005-0000-0000-000031080000}"/>
    <cellStyle name="Indefinido" xfId="163" xr:uid="{00000000-0005-0000-0000-000032080000}"/>
    <cellStyle name="Input" xfId="2156" xr:uid="{00000000-0005-0000-0000-000033080000}"/>
    <cellStyle name="Input (%)" xfId="164" xr:uid="{00000000-0005-0000-0000-000034080000}"/>
    <cellStyle name="Input (£m)" xfId="165" xr:uid="{00000000-0005-0000-0000-000035080000}"/>
    <cellStyle name="Input (No)" xfId="166" xr:uid="{00000000-0005-0000-0000-000036080000}"/>
    <cellStyle name="Input [yellow]" xfId="167" xr:uid="{00000000-0005-0000-0000-000037080000}"/>
    <cellStyle name="Input [yellow] 2" xfId="429" xr:uid="{00000000-0005-0000-0000-000038080000}"/>
    <cellStyle name="Input [yellow] 2 2" xfId="833" xr:uid="{00000000-0005-0000-0000-000039080000}"/>
    <cellStyle name="Input [yellow] 2 3" xfId="917" xr:uid="{00000000-0005-0000-0000-00003A080000}"/>
    <cellStyle name="Input [yellow] 2 4" xfId="2825" xr:uid="{00000000-0005-0000-0000-00003B080000}"/>
    <cellStyle name="Input [yellow] 2 5" xfId="2798" xr:uid="{00000000-0005-0000-0000-00003C080000}"/>
    <cellStyle name="Input [yellow] 3" xfId="410" xr:uid="{00000000-0005-0000-0000-00003D080000}"/>
    <cellStyle name="Input 10" xfId="168" xr:uid="{00000000-0005-0000-0000-00003E080000}"/>
    <cellStyle name="Input 11" xfId="169" xr:uid="{00000000-0005-0000-0000-00003F080000}"/>
    <cellStyle name="Input 12" xfId="170" xr:uid="{00000000-0005-0000-0000-000040080000}"/>
    <cellStyle name="Input 13" xfId="171" xr:uid="{00000000-0005-0000-0000-000041080000}"/>
    <cellStyle name="Input 14" xfId="172" xr:uid="{00000000-0005-0000-0000-000042080000}"/>
    <cellStyle name="Input 15" xfId="173" xr:uid="{00000000-0005-0000-0000-000043080000}"/>
    <cellStyle name="Input 16" xfId="174" xr:uid="{00000000-0005-0000-0000-000044080000}"/>
    <cellStyle name="Input 17" xfId="175" xr:uid="{00000000-0005-0000-0000-000045080000}"/>
    <cellStyle name="Input 18" xfId="176" xr:uid="{00000000-0005-0000-0000-000046080000}"/>
    <cellStyle name="Input 19" xfId="177" xr:uid="{00000000-0005-0000-0000-000047080000}"/>
    <cellStyle name="Input 2" xfId="178" xr:uid="{00000000-0005-0000-0000-000048080000}"/>
    <cellStyle name="Input 20" xfId="179" xr:uid="{00000000-0005-0000-0000-000049080000}"/>
    <cellStyle name="Input 21" xfId="180" xr:uid="{00000000-0005-0000-0000-00004A080000}"/>
    <cellStyle name="Input 22" xfId="181" xr:uid="{00000000-0005-0000-0000-00004B080000}"/>
    <cellStyle name="Input 23" xfId="182" xr:uid="{00000000-0005-0000-0000-00004C080000}"/>
    <cellStyle name="Input 24" xfId="183" xr:uid="{00000000-0005-0000-0000-00004D080000}"/>
    <cellStyle name="Input 25" xfId="184" xr:uid="{00000000-0005-0000-0000-00004E080000}"/>
    <cellStyle name="Input 26" xfId="185" xr:uid="{00000000-0005-0000-0000-00004F080000}"/>
    <cellStyle name="Input 27" xfId="186" xr:uid="{00000000-0005-0000-0000-000050080000}"/>
    <cellStyle name="Input 28" xfId="187" xr:uid="{00000000-0005-0000-0000-000051080000}"/>
    <cellStyle name="Input 29" xfId="188" xr:uid="{00000000-0005-0000-0000-000052080000}"/>
    <cellStyle name="Input 3" xfId="189" xr:uid="{00000000-0005-0000-0000-000053080000}"/>
    <cellStyle name="Input 30" xfId="190" xr:uid="{00000000-0005-0000-0000-000054080000}"/>
    <cellStyle name="Input 31" xfId="191" xr:uid="{00000000-0005-0000-0000-000055080000}"/>
    <cellStyle name="Input 32" xfId="192" xr:uid="{00000000-0005-0000-0000-000056080000}"/>
    <cellStyle name="Input 33" xfId="193" xr:uid="{00000000-0005-0000-0000-000057080000}"/>
    <cellStyle name="Input 34" xfId="194" xr:uid="{00000000-0005-0000-0000-000058080000}"/>
    <cellStyle name="Input 35" xfId="195" xr:uid="{00000000-0005-0000-0000-000059080000}"/>
    <cellStyle name="Input 36" xfId="2284" xr:uid="{00000000-0005-0000-0000-00005A080000}"/>
    <cellStyle name="Input 37" xfId="2268" xr:uid="{00000000-0005-0000-0000-00005B080000}"/>
    <cellStyle name="Input 38" xfId="2278" xr:uid="{00000000-0005-0000-0000-00005C080000}"/>
    <cellStyle name="Input 39" xfId="2273" xr:uid="{00000000-0005-0000-0000-00005D080000}"/>
    <cellStyle name="Input 4" xfId="196" xr:uid="{00000000-0005-0000-0000-00005E080000}"/>
    <cellStyle name="Input 40" xfId="2275" xr:uid="{00000000-0005-0000-0000-00005F080000}"/>
    <cellStyle name="Input 41" xfId="1917" xr:uid="{00000000-0005-0000-0000-000060080000}"/>
    <cellStyle name="Input 42" xfId="2277" xr:uid="{00000000-0005-0000-0000-000061080000}"/>
    <cellStyle name="Input 43" xfId="1930" xr:uid="{00000000-0005-0000-0000-000062080000}"/>
    <cellStyle name="Input 44" xfId="1958" xr:uid="{00000000-0005-0000-0000-000063080000}"/>
    <cellStyle name="Input 45" xfId="2263" xr:uid="{00000000-0005-0000-0000-000064080000}"/>
    <cellStyle name="Input 46" xfId="2260" xr:uid="{00000000-0005-0000-0000-000065080000}"/>
    <cellStyle name="Input 47" xfId="2274" xr:uid="{00000000-0005-0000-0000-000066080000}"/>
    <cellStyle name="Input 48" xfId="2502" xr:uid="{00000000-0005-0000-0000-000067080000}"/>
    <cellStyle name="Input 49" xfId="2731" xr:uid="{00000000-0005-0000-0000-000068080000}"/>
    <cellStyle name="Input 5" xfId="197" xr:uid="{00000000-0005-0000-0000-000069080000}"/>
    <cellStyle name="Input 50" xfId="3141" xr:uid="{00000000-0005-0000-0000-00006A080000}"/>
    <cellStyle name="Input 51" xfId="3048" xr:uid="{00000000-0005-0000-0000-00006B080000}"/>
    <cellStyle name="Input 52" xfId="3072" xr:uid="{00000000-0005-0000-0000-00006C080000}"/>
    <cellStyle name="Input 53" xfId="2883" xr:uid="{00000000-0005-0000-0000-00006D080000}"/>
    <cellStyle name="Input 54" xfId="3179" xr:uid="{00000000-0005-0000-0000-00006E080000}"/>
    <cellStyle name="Input 55" xfId="3530" xr:uid="{00000000-0005-0000-0000-00006F080000}"/>
    <cellStyle name="Input 56" xfId="3528" xr:uid="{00000000-0005-0000-0000-000070080000}"/>
    <cellStyle name="Input 57" xfId="3529" xr:uid="{00000000-0005-0000-0000-000071080000}"/>
    <cellStyle name="Input 58" xfId="3793" xr:uid="{00000000-0005-0000-0000-000072080000}"/>
    <cellStyle name="Input 6" xfId="198" xr:uid="{00000000-0005-0000-0000-000073080000}"/>
    <cellStyle name="Input 7" xfId="199" xr:uid="{00000000-0005-0000-0000-000074080000}"/>
    <cellStyle name="Input 8" xfId="200" xr:uid="{00000000-0005-0000-0000-000075080000}"/>
    <cellStyle name="Input 9" xfId="201" xr:uid="{00000000-0005-0000-0000-000076080000}"/>
    <cellStyle name="Key Metric Header" xfId="2" xr:uid="{00000000-0005-0000-0000-000077080000}"/>
    <cellStyle name="Key Metric Percentage" xfId="3" xr:uid="{00000000-0005-0000-0000-000078080000}"/>
    <cellStyle name="Key Metric Value" xfId="4" xr:uid="{00000000-0005-0000-0000-000079080000}"/>
    <cellStyle name="Link Currency (0)" xfId="202" xr:uid="{00000000-0005-0000-0000-00007A080000}"/>
    <cellStyle name="Link Currency (2)" xfId="203" xr:uid="{00000000-0005-0000-0000-00007B080000}"/>
    <cellStyle name="Link Units (0)" xfId="204" xr:uid="{00000000-0005-0000-0000-00007C080000}"/>
    <cellStyle name="Link Units (1)" xfId="205" xr:uid="{00000000-0005-0000-0000-00007D080000}"/>
    <cellStyle name="Link Units (2)" xfId="206" xr:uid="{00000000-0005-0000-0000-00007E080000}"/>
    <cellStyle name="Linked Cell" xfId="2157" xr:uid="{00000000-0005-0000-0000-00007F080000}"/>
    <cellStyle name="MacroCode" xfId="207" xr:uid="{00000000-0005-0000-0000-000080080000}"/>
    <cellStyle name="Migliaia (0)_00_REV" xfId="208" xr:uid="{00000000-0005-0000-0000-000081080000}"/>
    <cellStyle name="Migliaia_Capital Expenditures" xfId="209" xr:uid="{00000000-0005-0000-0000-000082080000}"/>
    <cellStyle name="Mike" xfId="210" xr:uid="{00000000-0005-0000-0000-000083080000}"/>
    <cellStyle name="Millares [0]_Diablos" xfId="211" xr:uid="{00000000-0005-0000-0000-000084080000}"/>
    <cellStyle name="Millares 10" xfId="2158" xr:uid="{00000000-0005-0000-0000-000085080000}"/>
    <cellStyle name="Millares 11" xfId="2159" xr:uid="{00000000-0005-0000-0000-000086080000}"/>
    <cellStyle name="Millares 12" xfId="2160" xr:uid="{00000000-0005-0000-0000-000087080000}"/>
    <cellStyle name="Millares 13" xfId="2161" xr:uid="{00000000-0005-0000-0000-000088080000}"/>
    <cellStyle name="Millares 14" xfId="2162" xr:uid="{00000000-0005-0000-0000-000089080000}"/>
    <cellStyle name="Millares 2" xfId="2163" xr:uid="{00000000-0005-0000-0000-00008A080000}"/>
    <cellStyle name="Millares 2 2" xfId="2164" xr:uid="{00000000-0005-0000-0000-00008B080000}"/>
    <cellStyle name="Millares 2 2 2" xfId="2503" xr:uid="{00000000-0005-0000-0000-00008C080000}"/>
    <cellStyle name="Millares 2 2 3" xfId="2732" xr:uid="{00000000-0005-0000-0000-00008D080000}"/>
    <cellStyle name="Millares 2 2 4" xfId="3178" xr:uid="{00000000-0005-0000-0000-00008E080000}"/>
    <cellStyle name="Millares 2 2 5" xfId="3532" xr:uid="{00000000-0005-0000-0000-00008F080000}"/>
    <cellStyle name="Millares 2 2 6" xfId="3794" xr:uid="{00000000-0005-0000-0000-000090080000}"/>
    <cellStyle name="Millares 3" xfId="2165" xr:uid="{00000000-0005-0000-0000-000091080000}"/>
    <cellStyle name="Millares 4" xfId="2166" xr:uid="{00000000-0005-0000-0000-000092080000}"/>
    <cellStyle name="Millares 5" xfId="2167" xr:uid="{00000000-0005-0000-0000-000093080000}"/>
    <cellStyle name="Millares 6" xfId="2168" xr:uid="{00000000-0005-0000-0000-000094080000}"/>
    <cellStyle name="Millares 7" xfId="2169" xr:uid="{00000000-0005-0000-0000-000095080000}"/>
    <cellStyle name="Millares 8" xfId="2170" xr:uid="{00000000-0005-0000-0000-000096080000}"/>
    <cellStyle name="Millares 9" xfId="2171" xr:uid="{00000000-0005-0000-0000-000097080000}"/>
    <cellStyle name="Millares_Diablos" xfId="212" xr:uid="{00000000-0005-0000-0000-000098080000}"/>
    <cellStyle name="Moeda [0] 2" xfId="213" xr:uid="{00000000-0005-0000-0000-000099080000}"/>
    <cellStyle name="Moeda 10" xfId="1893" xr:uid="{00000000-0005-0000-0000-00009A080000}"/>
    <cellStyle name="Moeda 11" xfId="1890" xr:uid="{00000000-0005-0000-0000-00009B080000}"/>
    <cellStyle name="Moeda 12" xfId="2288" xr:uid="{00000000-0005-0000-0000-00009C080000}"/>
    <cellStyle name="Moeda 13" xfId="2261" xr:uid="{00000000-0005-0000-0000-00009D080000}"/>
    <cellStyle name="Moeda 14" xfId="1937" xr:uid="{00000000-0005-0000-0000-00009E080000}"/>
    <cellStyle name="Moeda 15" xfId="1870" xr:uid="{00000000-0005-0000-0000-00009F080000}"/>
    <cellStyle name="Moeda 16" xfId="2290" xr:uid="{00000000-0005-0000-0000-0000A0080000}"/>
    <cellStyle name="Moeda 17" xfId="2308" xr:uid="{00000000-0005-0000-0000-0000A1080000}"/>
    <cellStyle name="Moeda 18" xfId="2291" xr:uid="{00000000-0005-0000-0000-0000A2080000}"/>
    <cellStyle name="Moeda 19" xfId="1886" xr:uid="{00000000-0005-0000-0000-0000A3080000}"/>
    <cellStyle name="Moeda 2" xfId="214" xr:uid="{00000000-0005-0000-0000-0000A4080000}"/>
    <cellStyle name="Moeda 20" xfId="2252" xr:uid="{00000000-0005-0000-0000-0000A5080000}"/>
    <cellStyle name="Moeda 21" xfId="1916" xr:uid="{00000000-0005-0000-0000-0000A6080000}"/>
    <cellStyle name="Moeda 22" xfId="2357" xr:uid="{00000000-0005-0000-0000-0000A7080000}"/>
    <cellStyle name="Moeda 23" xfId="2587" xr:uid="{00000000-0005-0000-0000-0000A8080000}"/>
    <cellStyle name="Moeda 24" xfId="3180" xr:uid="{00000000-0005-0000-0000-0000A9080000}"/>
    <cellStyle name="Moeda 25" xfId="2933" xr:uid="{00000000-0005-0000-0000-0000AA080000}"/>
    <cellStyle name="Moeda 26" xfId="3133" xr:uid="{00000000-0005-0000-0000-0000AB080000}"/>
    <cellStyle name="Moeda 27" xfId="3263" xr:uid="{00000000-0005-0000-0000-0000AC080000}"/>
    <cellStyle name="Moeda 28" xfId="3264" xr:uid="{00000000-0005-0000-0000-0000AD080000}"/>
    <cellStyle name="Moeda 29" xfId="3533" xr:uid="{00000000-0005-0000-0000-0000AE080000}"/>
    <cellStyle name="Moeda 3" xfId="451" xr:uid="{00000000-0005-0000-0000-0000AF080000}"/>
    <cellStyle name="Moeda 30" xfId="3526" xr:uid="{00000000-0005-0000-0000-0000B0080000}"/>
    <cellStyle name="Moeda 31" xfId="3531" xr:uid="{00000000-0005-0000-0000-0000B1080000}"/>
    <cellStyle name="Moeda 32" xfId="3795" xr:uid="{00000000-0005-0000-0000-0000B2080000}"/>
    <cellStyle name="Moeda 4" xfId="730" xr:uid="{00000000-0005-0000-0000-0000B3080000}"/>
    <cellStyle name="Moeda 4 2" xfId="1191" xr:uid="{00000000-0005-0000-0000-0000B4080000}"/>
    <cellStyle name="Moeda 4 3" xfId="1516" xr:uid="{00000000-0005-0000-0000-0000B5080000}"/>
    <cellStyle name="Moeda 4 4" xfId="1818" xr:uid="{00000000-0005-0000-0000-0000B6080000}"/>
    <cellStyle name="Moeda 4 5" xfId="3369" xr:uid="{00000000-0005-0000-0000-0000B7080000}"/>
    <cellStyle name="Moeda 4 6" xfId="4162" xr:uid="{00000000-0005-0000-0000-0000B8080000}"/>
    <cellStyle name="Moeda 5" xfId="420" xr:uid="{00000000-0005-0000-0000-0000B9080000}"/>
    <cellStyle name="Moeda 6" xfId="897" xr:uid="{00000000-0005-0000-0000-0000BA080000}"/>
    <cellStyle name="Moeda 7" xfId="880" xr:uid="{00000000-0005-0000-0000-0000BB080000}"/>
    <cellStyle name="Moeda 8" xfId="899" xr:uid="{00000000-0005-0000-0000-0000BC080000}"/>
    <cellStyle name="Moeda 9" xfId="1905" xr:uid="{00000000-0005-0000-0000-0000BD080000}"/>
    <cellStyle name="Moneda [0]_AUG30T~2" xfId="215" xr:uid="{00000000-0005-0000-0000-0000BE080000}"/>
    <cellStyle name="Moneda 10" xfId="2172" xr:uid="{00000000-0005-0000-0000-0000BF080000}"/>
    <cellStyle name="Moneda 11" xfId="2173" xr:uid="{00000000-0005-0000-0000-0000C0080000}"/>
    <cellStyle name="Moneda 12" xfId="2174" xr:uid="{00000000-0005-0000-0000-0000C1080000}"/>
    <cellStyle name="Moneda 13" xfId="2175" xr:uid="{00000000-0005-0000-0000-0000C2080000}"/>
    <cellStyle name="Moneda 2" xfId="2176" xr:uid="{00000000-0005-0000-0000-0000C3080000}"/>
    <cellStyle name="Moneda 3" xfId="2177" xr:uid="{00000000-0005-0000-0000-0000C4080000}"/>
    <cellStyle name="Moneda 4" xfId="2178" xr:uid="{00000000-0005-0000-0000-0000C5080000}"/>
    <cellStyle name="Moneda 5" xfId="2179" xr:uid="{00000000-0005-0000-0000-0000C6080000}"/>
    <cellStyle name="Moneda 6" xfId="2180" xr:uid="{00000000-0005-0000-0000-0000C7080000}"/>
    <cellStyle name="Moneda 7" xfId="2181" xr:uid="{00000000-0005-0000-0000-0000C8080000}"/>
    <cellStyle name="Moneda 8" xfId="2182" xr:uid="{00000000-0005-0000-0000-0000C9080000}"/>
    <cellStyle name="Moneda 9" xfId="2183" xr:uid="{00000000-0005-0000-0000-0000CA080000}"/>
    <cellStyle name="Moneda_AUG30T~2" xfId="216" xr:uid="{00000000-0005-0000-0000-0000CB080000}"/>
    <cellStyle name="Neutra 2" xfId="217" xr:uid="{00000000-0005-0000-0000-0000CD080000}"/>
    <cellStyle name="Neutral 2" xfId="2184" xr:uid="{00000000-0005-0000-0000-0000CE080000}"/>
    <cellStyle name="Neutro" xfId="331" builtinId="28" customBuiltin="1"/>
    <cellStyle name="no dec" xfId="218" xr:uid="{00000000-0005-0000-0000-0000CF080000}"/>
    <cellStyle name="Non_definito" xfId="219" xr:uid="{00000000-0005-0000-0000-0000D0080000}"/>
    <cellStyle name="Normal" xfId="0" builtinId="0"/>
    <cellStyle name="Normal - Style1" xfId="220" xr:uid="{00000000-0005-0000-0000-0000D2080000}"/>
    <cellStyle name="Normal (%)" xfId="221" xr:uid="{00000000-0005-0000-0000-0000D3080000}"/>
    <cellStyle name="Normal (£m)" xfId="222" xr:uid="{00000000-0005-0000-0000-0000D4080000}"/>
    <cellStyle name="Normal (No)" xfId="223" xr:uid="{00000000-0005-0000-0000-0000D5080000}"/>
    <cellStyle name="Normal (x)" xfId="224" xr:uid="{00000000-0005-0000-0000-0000D6080000}"/>
    <cellStyle name="Normal 10" xfId="225" xr:uid="{00000000-0005-0000-0000-0000D7080000}"/>
    <cellStyle name="Normal 10 2" xfId="2185" xr:uid="{00000000-0005-0000-0000-0000D8080000}"/>
    <cellStyle name="Normal 11" xfId="226" xr:uid="{00000000-0005-0000-0000-0000D9080000}"/>
    <cellStyle name="Normal 11 2" xfId="452" xr:uid="{00000000-0005-0000-0000-0000DA080000}"/>
    <cellStyle name="Normal 12" xfId="227" xr:uid="{00000000-0005-0000-0000-0000DB080000}"/>
    <cellStyle name="Normal 12 2" xfId="2186" xr:uid="{00000000-0005-0000-0000-0000DC080000}"/>
    <cellStyle name="Normal 12 2 2" xfId="2504" xr:uid="{00000000-0005-0000-0000-0000DD080000}"/>
    <cellStyle name="Normal 12 2 3" xfId="2733" xr:uid="{00000000-0005-0000-0000-0000DE080000}"/>
    <cellStyle name="Normal 12 2 4" xfId="3181" xr:uid="{00000000-0005-0000-0000-0000DF080000}"/>
    <cellStyle name="Normal 12 2 5" xfId="3534" xr:uid="{00000000-0005-0000-0000-0000E0080000}"/>
    <cellStyle name="Normal 12 2 6" xfId="3796" xr:uid="{00000000-0005-0000-0000-0000E1080000}"/>
    <cellStyle name="Normal 13" xfId="228" xr:uid="{00000000-0005-0000-0000-0000E2080000}"/>
    <cellStyle name="Normal 14" xfId="229" xr:uid="{00000000-0005-0000-0000-0000E3080000}"/>
    <cellStyle name="Normal 15" xfId="230" xr:uid="{00000000-0005-0000-0000-0000E4080000}"/>
    <cellStyle name="Normal 16" xfId="231" xr:uid="{00000000-0005-0000-0000-0000E5080000}"/>
    <cellStyle name="Normal 17" xfId="232" xr:uid="{00000000-0005-0000-0000-0000E6080000}"/>
    <cellStyle name="Normal 18" xfId="233" xr:uid="{00000000-0005-0000-0000-0000E7080000}"/>
    <cellStyle name="Normal 19" xfId="234" xr:uid="{00000000-0005-0000-0000-0000E8080000}"/>
    <cellStyle name="Normal 2" xfId="6" xr:uid="{00000000-0005-0000-0000-0000E9080000}"/>
    <cellStyle name="Normal 2 10" xfId="11" xr:uid="{00000000-0005-0000-0000-0000EA080000}"/>
    <cellStyle name="Normal 2 11" xfId="20" xr:uid="{00000000-0005-0000-0000-0000EB080000}"/>
    <cellStyle name="Normal 2 12" xfId="21" xr:uid="{00000000-0005-0000-0000-0000EC080000}"/>
    <cellStyle name="Normal 2 13" xfId="22" xr:uid="{00000000-0005-0000-0000-0000ED080000}"/>
    <cellStyle name="Normal 2 14" xfId="23" xr:uid="{00000000-0005-0000-0000-0000EE080000}"/>
    <cellStyle name="Normal 2 15" xfId="24" xr:uid="{00000000-0005-0000-0000-0000EF080000}"/>
    <cellStyle name="Normal 2 16" xfId="25" xr:uid="{00000000-0005-0000-0000-0000F0080000}"/>
    <cellStyle name="Normal 2 17" xfId="26" xr:uid="{00000000-0005-0000-0000-0000F1080000}"/>
    <cellStyle name="Normal 2 18" xfId="27" xr:uid="{00000000-0005-0000-0000-0000F2080000}"/>
    <cellStyle name="Normal 2 19" xfId="28" xr:uid="{00000000-0005-0000-0000-0000F3080000}"/>
    <cellStyle name="Normal 2 2" xfId="29" xr:uid="{00000000-0005-0000-0000-0000F4080000}"/>
    <cellStyle name="Normal 2 2 2" xfId="235" xr:uid="{00000000-0005-0000-0000-0000F5080000}"/>
    <cellStyle name="Normal 2 20" xfId="30" xr:uid="{00000000-0005-0000-0000-0000F6080000}"/>
    <cellStyle name="Normal 2 21" xfId="31" xr:uid="{00000000-0005-0000-0000-0000F7080000}"/>
    <cellStyle name="Normal 2 22" xfId="32" xr:uid="{00000000-0005-0000-0000-0000F8080000}"/>
    <cellStyle name="Normal 2 23" xfId="33" xr:uid="{00000000-0005-0000-0000-0000F9080000}"/>
    <cellStyle name="Normal 2 24" xfId="34" xr:uid="{00000000-0005-0000-0000-0000FA080000}"/>
    <cellStyle name="Normal 2 25" xfId="35" xr:uid="{00000000-0005-0000-0000-0000FB080000}"/>
    <cellStyle name="Normal 2 26" xfId="36" xr:uid="{00000000-0005-0000-0000-0000FC080000}"/>
    <cellStyle name="Normal 2 27" xfId="37" xr:uid="{00000000-0005-0000-0000-0000FD080000}"/>
    <cellStyle name="Normal 2 28" xfId="38" xr:uid="{00000000-0005-0000-0000-0000FE080000}"/>
    <cellStyle name="Normal 2 29" xfId="39" xr:uid="{00000000-0005-0000-0000-0000FF080000}"/>
    <cellStyle name="Normal 2 3" xfId="40" xr:uid="{00000000-0005-0000-0000-000000090000}"/>
    <cellStyle name="Normal 2 3 10" xfId="3535" xr:uid="{00000000-0005-0000-0000-000001090000}"/>
    <cellStyle name="Normal 2 3 11" xfId="3797" xr:uid="{00000000-0005-0000-0000-000002090000}"/>
    <cellStyle name="Normal 2 3 2" xfId="430" xr:uid="{00000000-0005-0000-0000-000003090000}"/>
    <cellStyle name="Normal 2 3 2 2" xfId="617" xr:uid="{00000000-0005-0000-0000-000004090000}"/>
    <cellStyle name="Normal 2 3 2 2 2" xfId="1090" xr:uid="{00000000-0005-0000-0000-000005090000}"/>
    <cellStyle name="Normal 2 3 2 2 3" xfId="1410" xr:uid="{00000000-0005-0000-0000-000006090000}"/>
    <cellStyle name="Normal 2 3 2 2 4" xfId="1712" xr:uid="{00000000-0005-0000-0000-000007090000}"/>
    <cellStyle name="Normal 2 3 2 2 5" xfId="3074" xr:uid="{00000000-0005-0000-0000-000008090000}"/>
    <cellStyle name="Normal 2 3 2 2 6" xfId="4050" xr:uid="{00000000-0005-0000-0000-000009090000}"/>
    <cellStyle name="Normal 2 3 2 3" xfId="941" xr:uid="{00000000-0005-0000-0000-00000A090000}"/>
    <cellStyle name="Normal 2 3 2 4" xfId="1251" xr:uid="{00000000-0005-0000-0000-00000B090000}"/>
    <cellStyle name="Normal 2 3 2 5" xfId="1566" xr:uid="{00000000-0005-0000-0000-00000C090000}"/>
    <cellStyle name="Normal 2 3 2 6" xfId="2826" xr:uid="{00000000-0005-0000-0000-00000D090000}"/>
    <cellStyle name="Normal 2 3 2 7" xfId="3270" xr:uid="{00000000-0005-0000-0000-00000E090000}"/>
    <cellStyle name="Normal 2 3 2 8" xfId="3626" xr:uid="{00000000-0005-0000-0000-00000F090000}"/>
    <cellStyle name="Normal 2 3 2 9" xfId="3889" xr:uid="{00000000-0005-0000-0000-000010090000}"/>
    <cellStyle name="Normal 2 3 3" xfId="493" xr:uid="{00000000-0005-0000-0000-000011090000}"/>
    <cellStyle name="Normal 2 3 3 2" xfId="669" xr:uid="{00000000-0005-0000-0000-000012090000}"/>
    <cellStyle name="Normal 2 3 3 2 2" xfId="1136" xr:uid="{00000000-0005-0000-0000-000013090000}"/>
    <cellStyle name="Normal 2 3 3 2 3" xfId="1459" xr:uid="{00000000-0005-0000-0000-000014090000}"/>
    <cellStyle name="Normal 2 3 3 2 4" xfId="1761" xr:uid="{00000000-0005-0000-0000-000015090000}"/>
    <cellStyle name="Normal 2 3 3 2 5" xfId="3021" xr:uid="{00000000-0005-0000-0000-000016090000}"/>
    <cellStyle name="Normal 2 3 3 2 6" xfId="4101" xr:uid="{00000000-0005-0000-0000-000017090000}"/>
    <cellStyle name="Normal 2 3 3 3" xfId="987" xr:uid="{00000000-0005-0000-0000-000018090000}"/>
    <cellStyle name="Normal 2 3 3 4" xfId="1301" xr:uid="{00000000-0005-0000-0000-000019090000}"/>
    <cellStyle name="Normal 2 3 3 5" xfId="1608" xr:uid="{00000000-0005-0000-0000-00001A090000}"/>
    <cellStyle name="Normal 2 3 3 6" xfId="3166" xr:uid="{00000000-0005-0000-0000-00001B090000}"/>
    <cellStyle name="Normal 2 3 3 7" xfId="3933" xr:uid="{00000000-0005-0000-0000-00001C090000}"/>
    <cellStyle name="Normal 2 3 4" xfId="536" xr:uid="{00000000-0005-0000-0000-00001D090000}"/>
    <cellStyle name="Normal 2 3 4 2" xfId="706" xr:uid="{00000000-0005-0000-0000-00001E090000}"/>
    <cellStyle name="Normal 2 3 4 2 2" xfId="1167" xr:uid="{00000000-0005-0000-0000-00001F090000}"/>
    <cellStyle name="Normal 2 3 4 2 3" xfId="1492" xr:uid="{00000000-0005-0000-0000-000020090000}"/>
    <cellStyle name="Normal 2 3 4 2 4" xfId="1794" xr:uid="{00000000-0005-0000-0000-000021090000}"/>
    <cellStyle name="Normal 2 3 4 2 5" xfId="3345" xr:uid="{00000000-0005-0000-0000-000022090000}"/>
    <cellStyle name="Normal 2 3 4 2 6" xfId="4138" xr:uid="{00000000-0005-0000-0000-000023090000}"/>
    <cellStyle name="Normal 2 3 4 3" xfId="1019" xr:uid="{00000000-0005-0000-0000-000024090000}"/>
    <cellStyle name="Normal 2 3 4 4" xfId="1336" xr:uid="{00000000-0005-0000-0000-000025090000}"/>
    <cellStyle name="Normal 2 3 4 5" xfId="1638" xr:uid="{00000000-0005-0000-0000-000026090000}"/>
    <cellStyle name="Normal 2 3 4 6" xfId="3140" xr:uid="{00000000-0005-0000-0000-000027090000}"/>
    <cellStyle name="Normal 2 3 4 7" xfId="3972" xr:uid="{00000000-0005-0000-0000-000028090000}"/>
    <cellStyle name="Normal 2 3 5" xfId="731" xr:uid="{00000000-0005-0000-0000-000029090000}"/>
    <cellStyle name="Normal 2 3 5 2" xfId="1192" xr:uid="{00000000-0005-0000-0000-00002A090000}"/>
    <cellStyle name="Normal 2 3 5 3" xfId="1517" xr:uid="{00000000-0005-0000-0000-00002B090000}"/>
    <cellStyle name="Normal 2 3 5 4" xfId="1819" xr:uid="{00000000-0005-0000-0000-00002C090000}"/>
    <cellStyle name="Normal 2 3 5 5" xfId="3370" xr:uid="{00000000-0005-0000-0000-00002D090000}"/>
    <cellStyle name="Normal 2 3 5 6" xfId="4163" xr:uid="{00000000-0005-0000-0000-00002E090000}"/>
    <cellStyle name="Normal 2 3 6" xfId="1913" xr:uid="{00000000-0005-0000-0000-00002F090000}"/>
    <cellStyle name="Normal 2 3 7" xfId="2358" xr:uid="{00000000-0005-0000-0000-000030090000}"/>
    <cellStyle name="Normal 2 3 8" xfId="2588" xr:uid="{00000000-0005-0000-0000-000031090000}"/>
    <cellStyle name="Normal 2 3 9" xfId="3182" xr:uid="{00000000-0005-0000-0000-000032090000}"/>
    <cellStyle name="Normal 2 30" xfId="41" xr:uid="{00000000-0005-0000-0000-000033090000}"/>
    <cellStyle name="Normal 2 4" xfId="42" xr:uid="{00000000-0005-0000-0000-000034090000}"/>
    <cellStyle name="Normal 2 5" xfId="43" xr:uid="{00000000-0005-0000-0000-000035090000}"/>
    <cellStyle name="Normal 2 6" xfId="44" xr:uid="{00000000-0005-0000-0000-000036090000}"/>
    <cellStyle name="Normal 2 7" xfId="45" xr:uid="{00000000-0005-0000-0000-000037090000}"/>
    <cellStyle name="Normal 2 8" xfId="46" xr:uid="{00000000-0005-0000-0000-000038090000}"/>
    <cellStyle name="Normal 2 9" xfId="47" xr:uid="{00000000-0005-0000-0000-000039090000}"/>
    <cellStyle name="Normal 2_Analise de sensibilidade  Divida R$ mil" xfId="236" xr:uid="{00000000-0005-0000-0000-00003A090000}"/>
    <cellStyle name="Normal 20" xfId="237" xr:uid="{00000000-0005-0000-0000-00003B090000}"/>
    <cellStyle name="Normal 21" xfId="238" xr:uid="{00000000-0005-0000-0000-00003C090000}"/>
    <cellStyle name="Normal 22" xfId="239" xr:uid="{00000000-0005-0000-0000-00003D090000}"/>
    <cellStyle name="Normal 23" xfId="240" xr:uid="{00000000-0005-0000-0000-00003E090000}"/>
    <cellStyle name="Normal 24" xfId="241" xr:uid="{00000000-0005-0000-0000-00003F090000}"/>
    <cellStyle name="Normal 25" xfId="242" xr:uid="{00000000-0005-0000-0000-000040090000}"/>
    <cellStyle name="Normal 26" xfId="243" xr:uid="{00000000-0005-0000-0000-000041090000}"/>
    <cellStyle name="Normal 27" xfId="244" xr:uid="{00000000-0005-0000-0000-000042090000}"/>
    <cellStyle name="Normal 28" xfId="245" xr:uid="{00000000-0005-0000-0000-000043090000}"/>
    <cellStyle name="Normal 29" xfId="246" xr:uid="{00000000-0005-0000-0000-000044090000}"/>
    <cellStyle name="Normal 3" xfId="12" xr:uid="{00000000-0005-0000-0000-000045090000}"/>
    <cellStyle name="Normal 3 10" xfId="1531" xr:uid="{00000000-0005-0000-0000-000046090000}"/>
    <cellStyle name="Normal 3 11" xfId="2781" xr:uid="{00000000-0005-0000-0000-000047090000}"/>
    <cellStyle name="Normal 3 12" xfId="3596" xr:uid="{00000000-0005-0000-0000-000048090000}"/>
    <cellStyle name="Normal 3 13" xfId="3858" xr:uid="{00000000-0005-0000-0000-000049090000}"/>
    <cellStyle name="Normal 3 14" xfId="368" xr:uid="{00000000-0005-0000-0000-00004A090000}"/>
    <cellStyle name="Normal 3 2" xfId="247" xr:uid="{00000000-0005-0000-0000-00004B090000}"/>
    <cellStyle name="Normal 3 2 2" xfId="2187" xr:uid="{00000000-0005-0000-0000-00004C090000}"/>
    <cellStyle name="Normal 3 2 2 2" xfId="2188" xr:uid="{00000000-0005-0000-0000-00004D090000}"/>
    <cellStyle name="Normal 3 2 2 2 2" xfId="2506" xr:uid="{00000000-0005-0000-0000-00004E090000}"/>
    <cellStyle name="Normal 3 2 2 2 3" xfId="2735" xr:uid="{00000000-0005-0000-0000-00004F090000}"/>
    <cellStyle name="Normal 3 2 2 2 4" xfId="3184" xr:uid="{00000000-0005-0000-0000-000050090000}"/>
    <cellStyle name="Normal 3 2 2 2 5" xfId="3537" xr:uid="{00000000-0005-0000-0000-000051090000}"/>
    <cellStyle name="Normal 3 2 2 2 6" xfId="3799" xr:uid="{00000000-0005-0000-0000-000052090000}"/>
    <cellStyle name="Normal 3 2 2 3" xfId="2505" xr:uid="{00000000-0005-0000-0000-000053090000}"/>
    <cellStyle name="Normal 3 2 2 4" xfId="2734" xr:uid="{00000000-0005-0000-0000-000054090000}"/>
    <cellStyle name="Normal 3 2 2 5" xfId="3183" xr:uid="{00000000-0005-0000-0000-000055090000}"/>
    <cellStyle name="Normal 3 2 2 6" xfId="3536" xr:uid="{00000000-0005-0000-0000-000056090000}"/>
    <cellStyle name="Normal 3 2 2 7" xfId="3798" xr:uid="{00000000-0005-0000-0000-000057090000}"/>
    <cellStyle name="Normal 3 2 3" xfId="2189" xr:uid="{00000000-0005-0000-0000-000058090000}"/>
    <cellStyle name="Normal 3 2 4" xfId="2190" xr:uid="{00000000-0005-0000-0000-000059090000}"/>
    <cellStyle name="Normal 3 2 4 2" xfId="2507" xr:uid="{00000000-0005-0000-0000-00005A090000}"/>
    <cellStyle name="Normal 3 2 4 3" xfId="2736" xr:uid="{00000000-0005-0000-0000-00005B090000}"/>
    <cellStyle name="Normal 3 2 4 4" xfId="3185" xr:uid="{00000000-0005-0000-0000-00005C090000}"/>
    <cellStyle name="Normal 3 2 4 5" xfId="3538" xr:uid="{00000000-0005-0000-0000-00005D090000}"/>
    <cellStyle name="Normal 3 2 4 6" xfId="3800" xr:uid="{00000000-0005-0000-0000-00005E090000}"/>
    <cellStyle name="Normal 3 3" xfId="248" xr:uid="{00000000-0005-0000-0000-00005F090000}"/>
    <cellStyle name="Normal 3 3 2" xfId="2191" xr:uid="{00000000-0005-0000-0000-000060090000}"/>
    <cellStyle name="Normal 3 3 2 2" xfId="2508" xr:uid="{00000000-0005-0000-0000-000061090000}"/>
    <cellStyle name="Normal 3 3 2 3" xfId="2737" xr:uid="{00000000-0005-0000-0000-000062090000}"/>
    <cellStyle name="Normal 3 3 2 4" xfId="3186" xr:uid="{00000000-0005-0000-0000-000063090000}"/>
    <cellStyle name="Normal 3 3 2 5" xfId="3539" xr:uid="{00000000-0005-0000-0000-000064090000}"/>
    <cellStyle name="Normal 3 3 2 6" xfId="3801" xr:uid="{00000000-0005-0000-0000-000065090000}"/>
    <cellStyle name="Normal 3 4" xfId="431" xr:uid="{00000000-0005-0000-0000-000066090000}"/>
    <cellStyle name="Normal 3 4 2" xfId="2192" xr:uid="{00000000-0005-0000-0000-000067090000}"/>
    <cellStyle name="Normal 3 5" xfId="561" xr:uid="{00000000-0005-0000-0000-000068090000}"/>
    <cellStyle name="Normal 3 5 10" xfId="3802" xr:uid="{00000000-0005-0000-0000-000069090000}"/>
    <cellStyle name="Normal 3 5 11" xfId="3997" xr:uid="{00000000-0005-0000-0000-00006A090000}"/>
    <cellStyle name="Normal 3 5 2" xfId="1038" xr:uid="{00000000-0005-0000-0000-00006B090000}"/>
    <cellStyle name="Normal 3 5 3" xfId="1357" xr:uid="{00000000-0005-0000-0000-00006C090000}"/>
    <cellStyle name="Normal 3 5 4" xfId="1659" xr:uid="{00000000-0005-0000-0000-00006D090000}"/>
    <cellStyle name="Normal 3 5 5" xfId="2193" xr:uid="{00000000-0005-0000-0000-00006E090000}"/>
    <cellStyle name="Normal 3 5 6" xfId="2509" xr:uid="{00000000-0005-0000-0000-00006F090000}"/>
    <cellStyle name="Normal 3 5 7" xfId="2738" xr:uid="{00000000-0005-0000-0000-000070090000}"/>
    <cellStyle name="Normal 3 5 8" xfId="3187" xr:uid="{00000000-0005-0000-0000-000071090000}"/>
    <cellStyle name="Normal 3 5 9" xfId="3540" xr:uid="{00000000-0005-0000-0000-000072090000}"/>
    <cellStyle name="Normal 3 6" xfId="583" xr:uid="{00000000-0005-0000-0000-000073090000}"/>
    <cellStyle name="Normal 3 6 2" xfId="1057" xr:uid="{00000000-0005-0000-0000-000074090000}"/>
    <cellStyle name="Normal 3 6 3" xfId="1376" xr:uid="{00000000-0005-0000-0000-000075090000}"/>
    <cellStyle name="Normal 3 6 4" xfId="1678" xr:uid="{00000000-0005-0000-0000-000076090000}"/>
    <cellStyle name="Normal 3 6 5" xfId="3098" xr:uid="{00000000-0005-0000-0000-000077090000}"/>
    <cellStyle name="Normal 3 6 6" xfId="4016" xr:uid="{00000000-0005-0000-0000-000078090000}"/>
    <cellStyle name="Normal 3 7" xfId="390" xr:uid="{00000000-0005-0000-0000-000079090000}"/>
    <cellStyle name="Normal 3 8" xfId="903" xr:uid="{00000000-0005-0000-0000-00007A090000}"/>
    <cellStyle name="Normal 3 9" xfId="1218" xr:uid="{00000000-0005-0000-0000-00007B090000}"/>
    <cellStyle name="Normal 30" xfId="249" xr:uid="{00000000-0005-0000-0000-00007C090000}"/>
    <cellStyle name="Normal 31" xfId="250" xr:uid="{00000000-0005-0000-0000-00007D090000}"/>
    <cellStyle name="Normal 32" xfId="251" xr:uid="{00000000-0005-0000-0000-00007E090000}"/>
    <cellStyle name="Normal 33" xfId="252" xr:uid="{00000000-0005-0000-0000-00007F090000}"/>
    <cellStyle name="Normal 34" xfId="253" xr:uid="{00000000-0005-0000-0000-000080090000}"/>
    <cellStyle name="Normal 35" xfId="254" xr:uid="{00000000-0005-0000-0000-000081090000}"/>
    <cellStyle name="Normal 36" xfId="255" xr:uid="{00000000-0005-0000-0000-000082090000}"/>
    <cellStyle name="Normal 37" xfId="256" xr:uid="{00000000-0005-0000-0000-000083090000}"/>
    <cellStyle name="Normal 38" xfId="257" xr:uid="{00000000-0005-0000-0000-000084090000}"/>
    <cellStyle name="Normal 39" xfId="258" xr:uid="{00000000-0005-0000-0000-000085090000}"/>
    <cellStyle name="Normal 4" xfId="18" xr:uid="{00000000-0005-0000-0000-000086090000}"/>
    <cellStyle name="Normal 4 10" xfId="3599" xr:uid="{00000000-0005-0000-0000-000087090000}"/>
    <cellStyle name="Normal 4 11" xfId="3861" xr:uid="{00000000-0005-0000-0000-000088090000}"/>
    <cellStyle name="Normal 4 12" xfId="371" xr:uid="{00000000-0005-0000-0000-000089090000}"/>
    <cellStyle name="Normal 4 2" xfId="259" xr:uid="{00000000-0005-0000-0000-00008A090000}"/>
    <cellStyle name="Normal 4 3" xfId="564" xr:uid="{00000000-0005-0000-0000-00008B090000}"/>
    <cellStyle name="Normal 4 3 10" xfId="3803" xr:uid="{00000000-0005-0000-0000-00008C090000}"/>
    <cellStyle name="Normal 4 3 11" xfId="4000" xr:uid="{00000000-0005-0000-0000-00008D090000}"/>
    <cellStyle name="Normal 4 3 2" xfId="1041" xr:uid="{00000000-0005-0000-0000-00008E090000}"/>
    <cellStyle name="Normal 4 3 3" xfId="1360" xr:uid="{00000000-0005-0000-0000-00008F090000}"/>
    <cellStyle name="Normal 4 3 4" xfId="1662" xr:uid="{00000000-0005-0000-0000-000090090000}"/>
    <cellStyle name="Normal 4 3 5" xfId="2246" xr:uid="{00000000-0005-0000-0000-000091090000}"/>
    <cellStyle name="Normal 4 3 6" xfId="2549" xr:uid="{00000000-0005-0000-0000-000092090000}"/>
    <cellStyle name="Normal 4 3 7" xfId="2774" xr:uid="{00000000-0005-0000-0000-000093090000}"/>
    <cellStyle name="Normal 4 3 8" xfId="3188" xr:uid="{00000000-0005-0000-0000-000094090000}"/>
    <cellStyle name="Normal 4 3 9" xfId="3541" xr:uid="{00000000-0005-0000-0000-000095090000}"/>
    <cellStyle name="Normal 4 4" xfId="586" xr:uid="{00000000-0005-0000-0000-000096090000}"/>
    <cellStyle name="Normal 4 4 2" xfId="1060" xr:uid="{00000000-0005-0000-0000-000097090000}"/>
    <cellStyle name="Normal 4 4 3" xfId="1379" xr:uid="{00000000-0005-0000-0000-000098090000}"/>
    <cellStyle name="Normal 4 4 4" xfId="1681" xr:uid="{00000000-0005-0000-0000-000099090000}"/>
    <cellStyle name="Normal 4 4 5" xfId="3095" xr:uid="{00000000-0005-0000-0000-00009A090000}"/>
    <cellStyle name="Normal 4 4 6" xfId="4019" xr:uid="{00000000-0005-0000-0000-00009B090000}"/>
    <cellStyle name="Normal 4 5" xfId="393" xr:uid="{00000000-0005-0000-0000-00009C090000}"/>
    <cellStyle name="Normal 4 6" xfId="906" xr:uid="{00000000-0005-0000-0000-00009D090000}"/>
    <cellStyle name="Normal 4 7" xfId="1221" xr:uid="{00000000-0005-0000-0000-00009E090000}"/>
    <cellStyle name="Normal 4 8" xfId="1534" xr:uid="{00000000-0005-0000-0000-00009F090000}"/>
    <cellStyle name="Normal 4 9" xfId="2784" xr:uid="{00000000-0005-0000-0000-0000A0090000}"/>
    <cellStyle name="Normal 40" xfId="260" xr:uid="{00000000-0005-0000-0000-0000A1090000}"/>
    <cellStyle name="Normal 41" xfId="261" xr:uid="{00000000-0005-0000-0000-0000A2090000}"/>
    <cellStyle name="Normal 42" xfId="262" xr:uid="{00000000-0005-0000-0000-0000A3090000}"/>
    <cellStyle name="Normal 42 2" xfId="263" xr:uid="{00000000-0005-0000-0000-0000A4090000}"/>
    <cellStyle name="Normal 43" xfId="264" xr:uid="{00000000-0005-0000-0000-0000A5090000}"/>
    <cellStyle name="Normal 43 2" xfId="412" xr:uid="{00000000-0005-0000-0000-0000A6090000}"/>
    <cellStyle name="Normal 44" xfId="324" xr:uid="{00000000-0005-0000-0000-0000A7090000}"/>
    <cellStyle name="Normal 44 10" xfId="3177" xr:uid="{00000000-0005-0000-0000-0000A8090000}"/>
    <cellStyle name="Normal 44 11" xfId="3611" xr:uid="{00000000-0005-0000-0000-0000A9090000}"/>
    <cellStyle name="Normal 44 12" xfId="3873" xr:uid="{00000000-0005-0000-0000-0000AA090000}"/>
    <cellStyle name="Normal 44 13" xfId="386" xr:uid="{00000000-0005-0000-0000-0000AB090000}"/>
    <cellStyle name="Normal 44 14" xfId="4175" xr:uid="{F84EA2F5-74E9-4381-9D08-C1F7D93B07FD}"/>
    <cellStyle name="Normal 44 2" xfId="505" xr:uid="{00000000-0005-0000-0000-0000AC090000}"/>
    <cellStyle name="Normal 44 3" xfId="579" xr:uid="{00000000-0005-0000-0000-0000AD090000}"/>
    <cellStyle name="Normal 44 3 2" xfId="1053" xr:uid="{00000000-0005-0000-0000-0000AE090000}"/>
    <cellStyle name="Normal 44 3 3" xfId="1372" xr:uid="{00000000-0005-0000-0000-0000AF090000}"/>
    <cellStyle name="Normal 44 3 4" xfId="1674" xr:uid="{00000000-0005-0000-0000-0000B0090000}"/>
    <cellStyle name="Normal 44 3 5" xfId="3102" xr:uid="{00000000-0005-0000-0000-0000B1090000}"/>
    <cellStyle name="Normal 44 3 6" xfId="4012" xr:uid="{00000000-0005-0000-0000-0000B2090000}"/>
    <cellStyle name="Normal 44 4" xfId="599" xr:uid="{00000000-0005-0000-0000-0000B3090000}"/>
    <cellStyle name="Normal 44 4 2" xfId="1073" xr:uid="{00000000-0005-0000-0000-0000B4090000}"/>
    <cellStyle name="Normal 44 4 3" xfId="1392" xr:uid="{00000000-0005-0000-0000-0000B5090000}"/>
    <cellStyle name="Normal 44 4 4" xfId="1694" xr:uid="{00000000-0005-0000-0000-0000B6090000}"/>
    <cellStyle name="Normal 44 4 5" xfId="3323" xr:uid="{00000000-0005-0000-0000-0000B7090000}"/>
    <cellStyle name="Normal 44 4 6" xfId="4032" xr:uid="{00000000-0005-0000-0000-0000B8090000}"/>
    <cellStyle name="Normal 44 5" xfId="419" xr:uid="{00000000-0005-0000-0000-0000B9090000}"/>
    <cellStyle name="Normal 44 6" xfId="922" xr:uid="{00000000-0005-0000-0000-0000BA090000}"/>
    <cellStyle name="Normal 44 7" xfId="1233" xr:uid="{00000000-0005-0000-0000-0000BB090000}"/>
    <cellStyle name="Normal 44 8" xfId="1549" xr:uid="{00000000-0005-0000-0000-0000BC090000}"/>
    <cellStyle name="Normal 44 9" xfId="2805" xr:uid="{00000000-0005-0000-0000-0000BD090000}"/>
    <cellStyle name="Normal 45" xfId="421" xr:uid="{00000000-0005-0000-0000-0000BE090000}"/>
    <cellStyle name="Normal 45 10" xfId="3886" xr:uid="{00000000-0005-0000-0000-0000BF090000}"/>
    <cellStyle name="Normal 45 2" xfId="612" xr:uid="{00000000-0005-0000-0000-0000C0090000}"/>
    <cellStyle name="Normal 45 2 2" xfId="1086" xr:uid="{00000000-0005-0000-0000-0000C1090000}"/>
    <cellStyle name="Normal 45 2 3" xfId="1405" xr:uid="{00000000-0005-0000-0000-0000C2090000}"/>
    <cellStyle name="Normal 45 2 4" xfId="1707" xr:uid="{00000000-0005-0000-0000-0000C3090000}"/>
    <cellStyle name="Normal 45 2 5" xfId="3079" xr:uid="{00000000-0005-0000-0000-0000C4090000}"/>
    <cellStyle name="Normal 45 2 6" xfId="4045" xr:uid="{00000000-0005-0000-0000-0000C5090000}"/>
    <cellStyle name="Normal 45 3" xfId="743" xr:uid="{00000000-0005-0000-0000-0000C6090000}"/>
    <cellStyle name="Normal 45 4" xfId="937" xr:uid="{00000000-0005-0000-0000-0000C7090000}"/>
    <cellStyle name="Normal 45 5" xfId="1246" xr:uid="{00000000-0005-0000-0000-0000C8090000}"/>
    <cellStyle name="Normal 45 6" xfId="1563" xr:uid="{00000000-0005-0000-0000-0000C9090000}"/>
    <cellStyle name="Normal 45 7" xfId="2818" xr:uid="{00000000-0005-0000-0000-0000CA090000}"/>
    <cellStyle name="Normal 45 8" xfId="3265" xr:uid="{00000000-0005-0000-0000-0000CB090000}"/>
    <cellStyle name="Normal 45 9" xfId="3624" xr:uid="{00000000-0005-0000-0000-0000CC090000}"/>
    <cellStyle name="Normal 46" xfId="442" xr:uid="{00000000-0005-0000-0000-0000CD090000}"/>
    <cellStyle name="Normal 46 10" xfId="3189" xr:uid="{00000000-0005-0000-0000-0000CE090000}"/>
    <cellStyle name="Normal 46 11" xfId="3542" xr:uid="{00000000-0005-0000-0000-0000CF090000}"/>
    <cellStyle name="Normal 46 12" xfId="3632" xr:uid="{00000000-0005-0000-0000-0000D0090000}"/>
    <cellStyle name="Normal 46 13" xfId="3804" xr:uid="{00000000-0005-0000-0000-0000D1090000}"/>
    <cellStyle name="Normal 46 14" xfId="3895" xr:uid="{00000000-0005-0000-0000-0000D2090000}"/>
    <cellStyle name="Normal 46 2" xfId="623" xr:uid="{00000000-0005-0000-0000-0000D3090000}"/>
    <cellStyle name="Normal 46 2 2" xfId="1096" xr:uid="{00000000-0005-0000-0000-0000D4090000}"/>
    <cellStyle name="Normal 46 2 3" xfId="1416" xr:uid="{00000000-0005-0000-0000-0000D5090000}"/>
    <cellStyle name="Normal 46 2 4" xfId="1718" xr:uid="{00000000-0005-0000-0000-0000D6090000}"/>
    <cellStyle name="Normal 46 2 5" xfId="3069" xr:uid="{00000000-0005-0000-0000-0000D7090000}"/>
    <cellStyle name="Normal 46 2 6" xfId="4056" xr:uid="{00000000-0005-0000-0000-0000D8090000}"/>
    <cellStyle name="Normal 46 3" xfId="947" xr:uid="{00000000-0005-0000-0000-0000D9090000}"/>
    <cellStyle name="Normal 46 4" xfId="1257" xr:uid="{00000000-0005-0000-0000-0000DA090000}"/>
    <cellStyle name="Normal 46 5" xfId="1572" xr:uid="{00000000-0005-0000-0000-0000DB090000}"/>
    <cellStyle name="Normal 46 6" xfId="2247" xr:uid="{00000000-0005-0000-0000-0000DC090000}"/>
    <cellStyle name="Normal 46 7" xfId="2550" xr:uid="{00000000-0005-0000-0000-0000DD090000}"/>
    <cellStyle name="Normal 46 8" xfId="2775" xr:uid="{00000000-0005-0000-0000-0000DE090000}"/>
    <cellStyle name="Normal 46 9" xfId="2834" xr:uid="{00000000-0005-0000-0000-0000DF090000}"/>
    <cellStyle name="Normal 47" xfId="458" xr:uid="{00000000-0005-0000-0000-0000E0090000}"/>
    <cellStyle name="Normal 47 2" xfId="634" xr:uid="{00000000-0005-0000-0000-0000E1090000}"/>
    <cellStyle name="Normal 47 2 2" xfId="1105" xr:uid="{00000000-0005-0000-0000-0000E2090000}"/>
    <cellStyle name="Normal 47 2 3" xfId="1427" xr:uid="{00000000-0005-0000-0000-0000E3090000}"/>
    <cellStyle name="Normal 47 2 4" xfId="1729" xr:uid="{00000000-0005-0000-0000-0000E4090000}"/>
    <cellStyle name="Normal 47 2 5" xfId="3058" xr:uid="{00000000-0005-0000-0000-0000E5090000}"/>
    <cellStyle name="Normal 47 2 6" xfId="4067" xr:uid="{00000000-0005-0000-0000-0000E6090000}"/>
    <cellStyle name="Normal 47 3" xfId="956" xr:uid="{00000000-0005-0000-0000-0000E7090000}"/>
    <cellStyle name="Normal 47 4" xfId="1268" xr:uid="{00000000-0005-0000-0000-0000E8090000}"/>
    <cellStyle name="Normal 47 5" xfId="1577" xr:uid="{00000000-0005-0000-0000-0000E9090000}"/>
    <cellStyle name="Normal 47 6" xfId="2551" xr:uid="{00000000-0005-0000-0000-0000EA090000}"/>
    <cellStyle name="Normal 47 7" xfId="3284" xr:uid="{00000000-0005-0000-0000-0000EB090000}"/>
    <cellStyle name="Normal 47 8" xfId="3900" xr:uid="{00000000-0005-0000-0000-0000EC090000}"/>
    <cellStyle name="Normal 48" xfId="474" xr:uid="{00000000-0005-0000-0000-0000ED090000}"/>
    <cellStyle name="Normal 48 2" xfId="650" xr:uid="{00000000-0005-0000-0000-0000EE090000}"/>
    <cellStyle name="Normal 48 2 2" xfId="1121" xr:uid="{00000000-0005-0000-0000-0000EF090000}"/>
    <cellStyle name="Normal 48 2 3" xfId="1443" xr:uid="{00000000-0005-0000-0000-0000F0090000}"/>
    <cellStyle name="Normal 48 2 4" xfId="1745" xr:uid="{00000000-0005-0000-0000-0000F1090000}"/>
    <cellStyle name="Normal 48 2 5" xfId="3041" xr:uid="{00000000-0005-0000-0000-0000F2090000}"/>
    <cellStyle name="Normal 48 2 6" xfId="4083" xr:uid="{00000000-0005-0000-0000-0000F3090000}"/>
    <cellStyle name="Normal 48 3" xfId="972" xr:uid="{00000000-0005-0000-0000-0000F4090000}"/>
    <cellStyle name="Normal 48 4" xfId="1284" xr:uid="{00000000-0005-0000-0000-0000F5090000}"/>
    <cellStyle name="Normal 48 5" xfId="1593" xr:uid="{00000000-0005-0000-0000-0000F6090000}"/>
    <cellStyle name="Normal 48 6" xfId="2552" xr:uid="{00000000-0005-0000-0000-0000F7090000}"/>
    <cellStyle name="Normal 48 7" xfId="3293" xr:uid="{00000000-0005-0000-0000-0000F8090000}"/>
    <cellStyle name="Normal 48 8" xfId="3916" xr:uid="{00000000-0005-0000-0000-0000F9090000}"/>
    <cellStyle name="Normal 49" xfId="499" xr:uid="{00000000-0005-0000-0000-0000FA090000}"/>
    <cellStyle name="Normal 49 2" xfId="675" xr:uid="{00000000-0005-0000-0000-0000FB090000}"/>
    <cellStyle name="Normal 49 2 2" xfId="1142" xr:uid="{00000000-0005-0000-0000-0000FC090000}"/>
    <cellStyle name="Normal 49 2 3" xfId="1465" xr:uid="{00000000-0005-0000-0000-0000FD090000}"/>
    <cellStyle name="Normal 49 2 4" xfId="1767" xr:uid="{00000000-0005-0000-0000-0000FE090000}"/>
    <cellStyle name="Normal 49 2 5" xfId="3015" xr:uid="{00000000-0005-0000-0000-0000FF090000}"/>
    <cellStyle name="Normal 49 2 6" xfId="4107" xr:uid="{00000000-0005-0000-0000-0000000A0000}"/>
    <cellStyle name="Normal 49 3" xfId="993" xr:uid="{00000000-0005-0000-0000-0000010A0000}"/>
    <cellStyle name="Normal 49 4" xfId="1307" xr:uid="{00000000-0005-0000-0000-0000020A0000}"/>
    <cellStyle name="Normal 49 5" xfId="1614" xr:uid="{00000000-0005-0000-0000-0000030A0000}"/>
    <cellStyle name="Normal 49 6" xfId="2553" xr:uid="{00000000-0005-0000-0000-0000040A0000}"/>
    <cellStyle name="Normal 49 7" xfId="3162" xr:uid="{00000000-0005-0000-0000-0000050A0000}"/>
    <cellStyle name="Normal 49 8" xfId="3939" xr:uid="{00000000-0005-0000-0000-0000060A0000}"/>
    <cellStyle name="Normal 5" xfId="50" xr:uid="{00000000-0005-0000-0000-0000070A0000}"/>
    <cellStyle name="Normal 5 10" xfId="3237" xr:uid="{00000000-0005-0000-0000-0000080A0000}"/>
    <cellStyle name="Normal 5 11" xfId="3600" xr:uid="{00000000-0005-0000-0000-0000090A0000}"/>
    <cellStyle name="Normal 5 12" xfId="3862" xr:uid="{00000000-0005-0000-0000-00000A0A0000}"/>
    <cellStyle name="Normal 5 13" xfId="372" xr:uid="{00000000-0005-0000-0000-00000B0A0000}"/>
    <cellStyle name="Normal 5 2" xfId="432" xr:uid="{00000000-0005-0000-0000-00000C0A0000}"/>
    <cellStyle name="Normal 5 3" xfId="565" xr:uid="{00000000-0005-0000-0000-00000D0A0000}"/>
    <cellStyle name="Normal 5 3 2" xfId="1042" xr:uid="{00000000-0005-0000-0000-00000E0A0000}"/>
    <cellStyle name="Normal 5 3 3" xfId="1361" xr:uid="{00000000-0005-0000-0000-00000F0A0000}"/>
    <cellStyle name="Normal 5 3 4" xfId="1663" xr:uid="{00000000-0005-0000-0000-0000100A0000}"/>
    <cellStyle name="Normal 5 3 5" xfId="3112" xr:uid="{00000000-0005-0000-0000-0000110A0000}"/>
    <cellStyle name="Normal 5 3 6" xfId="4001" xr:uid="{00000000-0005-0000-0000-0000120A0000}"/>
    <cellStyle name="Normal 5 4" xfId="587" xr:uid="{00000000-0005-0000-0000-0000130A0000}"/>
    <cellStyle name="Normal 5 4 2" xfId="1061" xr:uid="{00000000-0005-0000-0000-0000140A0000}"/>
    <cellStyle name="Normal 5 4 3" xfId="1380" xr:uid="{00000000-0005-0000-0000-0000150A0000}"/>
    <cellStyle name="Normal 5 4 4" xfId="1682" xr:uid="{00000000-0005-0000-0000-0000160A0000}"/>
    <cellStyle name="Normal 5 4 5" xfId="3094" xr:uid="{00000000-0005-0000-0000-0000170A0000}"/>
    <cellStyle name="Normal 5 4 6" xfId="4020" xr:uid="{00000000-0005-0000-0000-0000180A0000}"/>
    <cellStyle name="Normal 5 5" xfId="394" xr:uid="{00000000-0005-0000-0000-0000190A0000}"/>
    <cellStyle name="Normal 5 6" xfId="907" xr:uid="{00000000-0005-0000-0000-00001A0A0000}"/>
    <cellStyle name="Normal 5 7" xfId="1222" xr:uid="{00000000-0005-0000-0000-00001B0A0000}"/>
    <cellStyle name="Normal 5 8" xfId="1535" xr:uid="{00000000-0005-0000-0000-00001C0A0000}"/>
    <cellStyle name="Normal 5 9" xfId="2785" xr:uid="{00000000-0005-0000-0000-00001D0A0000}"/>
    <cellStyle name="Normal 50" xfId="516" xr:uid="{00000000-0005-0000-0000-00001E0A0000}"/>
    <cellStyle name="Normal 50 2" xfId="691" xr:uid="{00000000-0005-0000-0000-00001F0A0000}"/>
    <cellStyle name="Normal 50 2 2" xfId="1152" xr:uid="{00000000-0005-0000-0000-0000200A0000}"/>
    <cellStyle name="Normal 50 2 3" xfId="1477" xr:uid="{00000000-0005-0000-0000-0000210A0000}"/>
    <cellStyle name="Normal 50 2 4" xfId="1779" xr:uid="{00000000-0005-0000-0000-0000220A0000}"/>
    <cellStyle name="Normal 50 2 5" xfId="3337" xr:uid="{00000000-0005-0000-0000-0000230A0000}"/>
    <cellStyle name="Normal 50 2 6" xfId="4123" xr:uid="{00000000-0005-0000-0000-0000240A0000}"/>
    <cellStyle name="Normal 50 3" xfId="1003" xr:uid="{00000000-0005-0000-0000-0000250A0000}"/>
    <cellStyle name="Normal 50 4" xfId="1319" xr:uid="{00000000-0005-0000-0000-0000260A0000}"/>
    <cellStyle name="Normal 50 5" xfId="1621" xr:uid="{00000000-0005-0000-0000-0000270A0000}"/>
    <cellStyle name="Normal 50 6" xfId="2554" xr:uid="{00000000-0005-0000-0000-0000280A0000}"/>
    <cellStyle name="Normal 50 7" xfId="3161" xr:uid="{00000000-0005-0000-0000-0000290A0000}"/>
    <cellStyle name="Normal 50 8" xfId="3953" xr:uid="{00000000-0005-0000-0000-00002A0A0000}"/>
    <cellStyle name="Normal 51" xfId="517" xr:uid="{00000000-0005-0000-0000-00002B0A0000}"/>
    <cellStyle name="Normal 51 2" xfId="692" xr:uid="{00000000-0005-0000-0000-00002C0A0000}"/>
    <cellStyle name="Normal 51 2 2" xfId="1153" xr:uid="{00000000-0005-0000-0000-00002D0A0000}"/>
    <cellStyle name="Normal 51 2 3" xfId="1478" xr:uid="{00000000-0005-0000-0000-00002E0A0000}"/>
    <cellStyle name="Normal 51 2 4" xfId="1780" xr:uid="{00000000-0005-0000-0000-00002F0A0000}"/>
    <cellStyle name="Normal 51 2 5" xfId="3010" xr:uid="{00000000-0005-0000-0000-0000300A0000}"/>
    <cellStyle name="Normal 51 2 6" xfId="4124" xr:uid="{00000000-0005-0000-0000-0000310A0000}"/>
    <cellStyle name="Normal 51 3" xfId="1004" xr:uid="{00000000-0005-0000-0000-0000320A0000}"/>
    <cellStyle name="Normal 51 4" xfId="1320" xr:uid="{00000000-0005-0000-0000-0000330A0000}"/>
    <cellStyle name="Normal 51 5" xfId="1622" xr:uid="{00000000-0005-0000-0000-0000340A0000}"/>
    <cellStyle name="Normal 51 6" xfId="3259" xr:uid="{00000000-0005-0000-0000-0000350A0000}"/>
    <cellStyle name="Normal 51 7" xfId="3160" xr:uid="{00000000-0005-0000-0000-0000360A0000}"/>
    <cellStyle name="Normal 51 8" xfId="3954" xr:uid="{00000000-0005-0000-0000-0000370A0000}"/>
    <cellStyle name="Normal 52" xfId="542" xr:uid="{00000000-0005-0000-0000-0000380A0000}"/>
    <cellStyle name="Normal 52 2" xfId="712" xr:uid="{00000000-0005-0000-0000-0000390A0000}"/>
    <cellStyle name="Normal 52 2 2" xfId="1173" xr:uid="{00000000-0005-0000-0000-00003A0A0000}"/>
    <cellStyle name="Normal 52 2 3" xfId="1498" xr:uid="{00000000-0005-0000-0000-00003B0A0000}"/>
    <cellStyle name="Normal 52 2 4" xfId="1800" xr:uid="{00000000-0005-0000-0000-00003C0A0000}"/>
    <cellStyle name="Normal 52 2 5" xfId="3351" xr:uid="{00000000-0005-0000-0000-00003D0A0000}"/>
    <cellStyle name="Normal 52 2 6" xfId="4144" xr:uid="{00000000-0005-0000-0000-00003E0A0000}"/>
    <cellStyle name="Normal 52 3" xfId="1025" xr:uid="{00000000-0005-0000-0000-00003F0A0000}"/>
    <cellStyle name="Normal 52 4" xfId="1342" xr:uid="{00000000-0005-0000-0000-0000400A0000}"/>
    <cellStyle name="Normal 52 5" xfId="1644" xr:uid="{00000000-0005-0000-0000-0000410A0000}"/>
    <cellStyle name="Normal 52 6" xfId="3134" xr:uid="{00000000-0005-0000-0000-0000420A0000}"/>
    <cellStyle name="Normal 52 7" xfId="3978" xr:uid="{00000000-0005-0000-0000-0000430A0000}"/>
    <cellStyle name="Normal 53" xfId="598" xr:uid="{00000000-0005-0000-0000-0000440A0000}"/>
    <cellStyle name="Normal 53 2" xfId="1072" xr:uid="{00000000-0005-0000-0000-0000450A0000}"/>
    <cellStyle name="Normal 53 3" xfId="1391" xr:uid="{00000000-0005-0000-0000-0000460A0000}"/>
    <cellStyle name="Normal 53 4" xfId="1693" xr:uid="{00000000-0005-0000-0000-0000470A0000}"/>
    <cellStyle name="Normal 53 5" xfId="3322" xr:uid="{00000000-0005-0000-0000-0000480A0000}"/>
    <cellStyle name="Normal 53 6" xfId="4031" xr:uid="{00000000-0005-0000-0000-0000490A0000}"/>
    <cellStyle name="Normal 54" xfId="717" xr:uid="{00000000-0005-0000-0000-00004A0A0000}"/>
    <cellStyle name="Normal 54 2" xfId="1178" xr:uid="{00000000-0005-0000-0000-00004B0A0000}"/>
    <cellStyle name="Normal 54 3" xfId="1503" xr:uid="{00000000-0005-0000-0000-00004C0A0000}"/>
    <cellStyle name="Normal 54 4" xfId="1805" xr:uid="{00000000-0005-0000-0000-00004D0A0000}"/>
    <cellStyle name="Normal 54 5" xfId="3356" xr:uid="{00000000-0005-0000-0000-00004E0A0000}"/>
    <cellStyle name="Normal 54 6" xfId="4149" xr:uid="{00000000-0005-0000-0000-00004F0A0000}"/>
    <cellStyle name="Normal 55" xfId="794" xr:uid="{00000000-0005-0000-0000-0000500A0000}"/>
    <cellStyle name="Normal 56" xfId="801" xr:uid="{00000000-0005-0000-0000-0000510A0000}"/>
    <cellStyle name="Normal 57" xfId="859" xr:uid="{00000000-0005-0000-0000-0000520A0000}"/>
    <cellStyle name="Normal 58" xfId="796" xr:uid="{00000000-0005-0000-0000-0000530A0000}"/>
    <cellStyle name="Normal 59" xfId="1548" xr:uid="{00000000-0005-0000-0000-0000540A0000}"/>
    <cellStyle name="Normal 6" xfId="53" xr:uid="{00000000-0005-0000-0000-0000550A0000}"/>
    <cellStyle name="Normal 6 10" xfId="1925" xr:uid="{00000000-0005-0000-0000-0000560A0000}"/>
    <cellStyle name="Normal 6 11" xfId="2359" xr:uid="{00000000-0005-0000-0000-0000570A0000}"/>
    <cellStyle name="Normal 6 12" xfId="2589" xr:uid="{00000000-0005-0000-0000-0000580A0000}"/>
    <cellStyle name="Normal 6 13" xfId="3190" xr:uid="{00000000-0005-0000-0000-0000590A0000}"/>
    <cellStyle name="Normal 6 14" xfId="3543" xr:uid="{00000000-0005-0000-0000-00005A0A0000}"/>
    <cellStyle name="Normal 6 15" xfId="3805" xr:uid="{00000000-0005-0000-0000-00005B0A0000}"/>
    <cellStyle name="Normal 6 16" xfId="375" xr:uid="{00000000-0005-0000-0000-00005C0A0000}"/>
    <cellStyle name="Normal 6 2" xfId="265" xr:uid="{00000000-0005-0000-0000-00005D0A0000}"/>
    <cellStyle name="Normal 6 2 10" xfId="1229" xr:uid="{00000000-0005-0000-0000-00005E0A0000}"/>
    <cellStyle name="Normal 6 2 11" xfId="1544" xr:uid="{00000000-0005-0000-0000-00005F0A0000}"/>
    <cellStyle name="Normal 6 2 12" xfId="1926" xr:uid="{00000000-0005-0000-0000-0000600A0000}"/>
    <cellStyle name="Normal 6 2 13" xfId="2360" xr:uid="{00000000-0005-0000-0000-0000610A0000}"/>
    <cellStyle name="Normal 6 2 14" xfId="2590" xr:uid="{00000000-0005-0000-0000-0000620A0000}"/>
    <cellStyle name="Normal 6 2 15" xfId="2795" xr:uid="{00000000-0005-0000-0000-0000630A0000}"/>
    <cellStyle name="Normal 6 2 16" xfId="3191" xr:uid="{00000000-0005-0000-0000-0000640A0000}"/>
    <cellStyle name="Normal 6 2 17" xfId="3544" xr:uid="{00000000-0005-0000-0000-0000650A0000}"/>
    <cellStyle name="Normal 6 2 18" xfId="3607" xr:uid="{00000000-0005-0000-0000-0000660A0000}"/>
    <cellStyle name="Normal 6 2 19" xfId="3806" xr:uid="{00000000-0005-0000-0000-0000670A0000}"/>
    <cellStyle name="Normal 6 2 2" xfId="434" xr:uid="{00000000-0005-0000-0000-0000680A0000}"/>
    <cellStyle name="Normal 6 2 2 10" xfId="3192" xr:uid="{00000000-0005-0000-0000-0000690A0000}"/>
    <cellStyle name="Normal 6 2 2 11" xfId="3545" xr:uid="{00000000-0005-0000-0000-00006A0A0000}"/>
    <cellStyle name="Normal 6 2 2 12" xfId="3628" xr:uid="{00000000-0005-0000-0000-00006B0A0000}"/>
    <cellStyle name="Normal 6 2 2 13" xfId="3807" xr:uid="{00000000-0005-0000-0000-00006C0A0000}"/>
    <cellStyle name="Normal 6 2 2 14" xfId="3891" xr:uid="{00000000-0005-0000-0000-00006D0A0000}"/>
    <cellStyle name="Normal 6 2 2 2" xfId="619" xr:uid="{00000000-0005-0000-0000-00006E0A0000}"/>
    <cellStyle name="Normal 6 2 2 2 10" xfId="3808" xr:uid="{00000000-0005-0000-0000-00006F0A0000}"/>
    <cellStyle name="Normal 6 2 2 2 11" xfId="4052" xr:uid="{00000000-0005-0000-0000-0000700A0000}"/>
    <cellStyle name="Normal 6 2 2 2 2" xfId="1092" xr:uid="{00000000-0005-0000-0000-0000710A0000}"/>
    <cellStyle name="Normal 6 2 2 2 3" xfId="1412" xr:uid="{00000000-0005-0000-0000-0000720A0000}"/>
    <cellStyle name="Normal 6 2 2 2 4" xfId="1714" xr:uid="{00000000-0005-0000-0000-0000730A0000}"/>
    <cellStyle name="Normal 6 2 2 2 5" xfId="2195" xr:uid="{00000000-0005-0000-0000-0000740A0000}"/>
    <cellStyle name="Normal 6 2 2 2 6" xfId="2511" xr:uid="{00000000-0005-0000-0000-0000750A0000}"/>
    <cellStyle name="Normal 6 2 2 2 7" xfId="2740" xr:uid="{00000000-0005-0000-0000-0000760A0000}"/>
    <cellStyle name="Normal 6 2 2 2 8" xfId="3193" xr:uid="{00000000-0005-0000-0000-0000770A0000}"/>
    <cellStyle name="Normal 6 2 2 2 9" xfId="3546" xr:uid="{00000000-0005-0000-0000-0000780A0000}"/>
    <cellStyle name="Normal 6 2 2 3" xfId="943" xr:uid="{00000000-0005-0000-0000-0000790A0000}"/>
    <cellStyle name="Normal 6 2 2 4" xfId="1253" xr:uid="{00000000-0005-0000-0000-00007A0A0000}"/>
    <cellStyle name="Normal 6 2 2 5" xfId="1568" xr:uid="{00000000-0005-0000-0000-00007B0A0000}"/>
    <cellStyle name="Normal 6 2 2 6" xfId="2194" xr:uid="{00000000-0005-0000-0000-00007C0A0000}"/>
    <cellStyle name="Normal 6 2 2 7" xfId="2510" xr:uid="{00000000-0005-0000-0000-00007D0A0000}"/>
    <cellStyle name="Normal 6 2 2 8" xfId="2739" xr:uid="{00000000-0005-0000-0000-00007E0A0000}"/>
    <cellStyle name="Normal 6 2 2 9" xfId="2829" xr:uid="{00000000-0005-0000-0000-00007F0A0000}"/>
    <cellStyle name="Normal 6 2 20" xfId="3869" xr:uid="{00000000-0005-0000-0000-0000800A0000}"/>
    <cellStyle name="Normal 6 2 21" xfId="382" xr:uid="{00000000-0005-0000-0000-0000810A0000}"/>
    <cellStyle name="Normal 6 2 3" xfId="495" xr:uid="{00000000-0005-0000-0000-0000820A0000}"/>
    <cellStyle name="Normal 6 2 3 10" xfId="3547" xr:uid="{00000000-0005-0000-0000-0000830A0000}"/>
    <cellStyle name="Normal 6 2 3 11" xfId="3809" xr:uid="{00000000-0005-0000-0000-0000840A0000}"/>
    <cellStyle name="Normal 6 2 3 12" xfId="3935" xr:uid="{00000000-0005-0000-0000-0000850A0000}"/>
    <cellStyle name="Normal 6 2 3 2" xfId="671" xr:uid="{00000000-0005-0000-0000-0000860A0000}"/>
    <cellStyle name="Normal 6 2 3 2 2" xfId="1138" xr:uid="{00000000-0005-0000-0000-0000870A0000}"/>
    <cellStyle name="Normal 6 2 3 2 3" xfId="1461" xr:uid="{00000000-0005-0000-0000-0000880A0000}"/>
    <cellStyle name="Normal 6 2 3 2 4" xfId="1763" xr:uid="{00000000-0005-0000-0000-0000890A0000}"/>
    <cellStyle name="Normal 6 2 3 2 5" xfId="3019" xr:uid="{00000000-0005-0000-0000-00008A0A0000}"/>
    <cellStyle name="Normal 6 2 3 2 6" xfId="4103" xr:uid="{00000000-0005-0000-0000-00008B0A0000}"/>
    <cellStyle name="Normal 6 2 3 3" xfId="989" xr:uid="{00000000-0005-0000-0000-00008C0A0000}"/>
    <cellStyle name="Normal 6 2 3 4" xfId="1303" xr:uid="{00000000-0005-0000-0000-00008D0A0000}"/>
    <cellStyle name="Normal 6 2 3 5" xfId="1610" xr:uid="{00000000-0005-0000-0000-00008E0A0000}"/>
    <cellStyle name="Normal 6 2 3 6" xfId="2196" xr:uid="{00000000-0005-0000-0000-00008F0A0000}"/>
    <cellStyle name="Normal 6 2 3 7" xfId="2512" xr:uid="{00000000-0005-0000-0000-0000900A0000}"/>
    <cellStyle name="Normal 6 2 3 8" xfId="2741" xr:uid="{00000000-0005-0000-0000-0000910A0000}"/>
    <cellStyle name="Normal 6 2 3 9" xfId="3194" xr:uid="{00000000-0005-0000-0000-0000920A0000}"/>
    <cellStyle name="Normal 6 2 4" xfId="538" xr:uid="{00000000-0005-0000-0000-0000930A0000}"/>
    <cellStyle name="Normal 6 2 4 2" xfId="708" xr:uid="{00000000-0005-0000-0000-0000940A0000}"/>
    <cellStyle name="Normal 6 2 4 2 2" xfId="1169" xr:uid="{00000000-0005-0000-0000-0000950A0000}"/>
    <cellStyle name="Normal 6 2 4 2 3" xfId="1494" xr:uid="{00000000-0005-0000-0000-0000960A0000}"/>
    <cellStyle name="Normal 6 2 4 2 4" xfId="1796" xr:uid="{00000000-0005-0000-0000-0000970A0000}"/>
    <cellStyle name="Normal 6 2 4 2 5" xfId="3347" xr:uid="{00000000-0005-0000-0000-0000980A0000}"/>
    <cellStyle name="Normal 6 2 4 2 6" xfId="4140" xr:uid="{00000000-0005-0000-0000-0000990A0000}"/>
    <cellStyle name="Normal 6 2 4 3" xfId="1021" xr:uid="{00000000-0005-0000-0000-00009A0A0000}"/>
    <cellStyle name="Normal 6 2 4 4" xfId="1338" xr:uid="{00000000-0005-0000-0000-00009B0A0000}"/>
    <cellStyle name="Normal 6 2 4 5" xfId="1640" xr:uid="{00000000-0005-0000-0000-00009C0A0000}"/>
    <cellStyle name="Normal 6 2 4 6" xfId="3138" xr:uid="{00000000-0005-0000-0000-00009D0A0000}"/>
    <cellStyle name="Normal 6 2 4 7" xfId="3974" xr:uid="{00000000-0005-0000-0000-00009E0A0000}"/>
    <cellStyle name="Normal 6 2 5" xfId="575" xr:uid="{00000000-0005-0000-0000-00009F0A0000}"/>
    <cellStyle name="Normal 6 2 5 2" xfId="1049" xr:uid="{00000000-0005-0000-0000-0000A00A0000}"/>
    <cellStyle name="Normal 6 2 5 3" xfId="1368" xr:uid="{00000000-0005-0000-0000-0000A10A0000}"/>
    <cellStyle name="Normal 6 2 5 4" xfId="1670" xr:uid="{00000000-0005-0000-0000-0000A20A0000}"/>
    <cellStyle name="Normal 6 2 5 5" xfId="3106" xr:uid="{00000000-0005-0000-0000-0000A30A0000}"/>
    <cellStyle name="Normal 6 2 5 6" xfId="4008" xr:uid="{00000000-0005-0000-0000-0000A40A0000}"/>
    <cellStyle name="Normal 6 2 6" xfId="594" xr:uid="{00000000-0005-0000-0000-0000A50A0000}"/>
    <cellStyle name="Normal 6 2 6 2" xfId="1068" xr:uid="{00000000-0005-0000-0000-0000A60A0000}"/>
    <cellStyle name="Normal 6 2 6 3" xfId="1387" xr:uid="{00000000-0005-0000-0000-0000A70A0000}"/>
    <cellStyle name="Normal 6 2 6 4" xfId="1689" xr:uid="{00000000-0005-0000-0000-0000A80A0000}"/>
    <cellStyle name="Normal 6 2 6 5" xfId="3318" xr:uid="{00000000-0005-0000-0000-0000A90A0000}"/>
    <cellStyle name="Normal 6 2 6 6" xfId="4027" xr:uid="{00000000-0005-0000-0000-0000AA0A0000}"/>
    <cellStyle name="Normal 6 2 7" xfId="733" xr:uid="{00000000-0005-0000-0000-0000AB0A0000}"/>
    <cellStyle name="Normal 6 2 7 2" xfId="1194" xr:uid="{00000000-0005-0000-0000-0000AC0A0000}"/>
    <cellStyle name="Normal 6 2 7 3" xfId="1519" xr:uid="{00000000-0005-0000-0000-0000AD0A0000}"/>
    <cellStyle name="Normal 6 2 7 4" xfId="1821" xr:uid="{00000000-0005-0000-0000-0000AE0A0000}"/>
    <cellStyle name="Normal 6 2 7 5" xfId="3372" xr:uid="{00000000-0005-0000-0000-0000AF0A0000}"/>
    <cellStyle name="Normal 6 2 7 6" xfId="4165" xr:uid="{00000000-0005-0000-0000-0000B00A0000}"/>
    <cellStyle name="Normal 6 2 8" xfId="414" xr:uid="{00000000-0005-0000-0000-0000B10A0000}"/>
    <cellStyle name="Normal 6 2 9" xfId="918" xr:uid="{00000000-0005-0000-0000-0000B20A0000}"/>
    <cellStyle name="Normal 6 3" xfId="14" xr:uid="{00000000-0005-0000-0000-0000B30A0000}"/>
    <cellStyle name="Normal 6 3 10" xfId="2513" xr:uid="{00000000-0005-0000-0000-0000B40A0000}"/>
    <cellStyle name="Normal 6 3 11" xfId="2742" xr:uid="{00000000-0005-0000-0000-0000B50A0000}"/>
    <cellStyle name="Normal 6 3 12" xfId="2782" xr:uid="{00000000-0005-0000-0000-0000B60A0000}"/>
    <cellStyle name="Normal 6 3 13" xfId="3195" xr:uid="{00000000-0005-0000-0000-0000B70A0000}"/>
    <cellStyle name="Normal 6 3 14" xfId="3548" xr:uid="{00000000-0005-0000-0000-0000B80A0000}"/>
    <cellStyle name="Normal 6 3 15" xfId="3597" xr:uid="{00000000-0005-0000-0000-0000B90A0000}"/>
    <cellStyle name="Normal 6 3 16" xfId="3810" xr:uid="{00000000-0005-0000-0000-0000BA0A0000}"/>
    <cellStyle name="Normal 6 3 17" xfId="3859" xr:uid="{00000000-0005-0000-0000-0000BB0A0000}"/>
    <cellStyle name="Normal 6 3 18" xfId="369" xr:uid="{00000000-0005-0000-0000-0000BC0A0000}"/>
    <cellStyle name="Normal 6 3 2" xfId="15" xr:uid="{00000000-0005-0000-0000-0000BD0A0000}"/>
    <cellStyle name="Normal 6 3 2 10" xfId="2743" xr:uid="{00000000-0005-0000-0000-0000BE0A0000}"/>
    <cellStyle name="Normal 6 3 2 11" xfId="2783" xr:uid="{00000000-0005-0000-0000-0000BF0A0000}"/>
    <cellStyle name="Normal 6 3 2 12" xfId="3196" xr:uid="{00000000-0005-0000-0000-0000C00A0000}"/>
    <cellStyle name="Normal 6 3 2 13" xfId="3549" xr:uid="{00000000-0005-0000-0000-0000C10A0000}"/>
    <cellStyle name="Normal 6 3 2 14" xfId="3598" xr:uid="{00000000-0005-0000-0000-0000C20A0000}"/>
    <cellStyle name="Normal 6 3 2 15" xfId="3811" xr:uid="{00000000-0005-0000-0000-0000C30A0000}"/>
    <cellStyle name="Normal 6 3 2 16" xfId="3860" xr:uid="{00000000-0005-0000-0000-0000C40A0000}"/>
    <cellStyle name="Normal 6 3 2 17" xfId="370" xr:uid="{00000000-0005-0000-0000-0000C50A0000}"/>
    <cellStyle name="Normal 6 3 2 2" xfId="563" xr:uid="{00000000-0005-0000-0000-0000C60A0000}"/>
    <cellStyle name="Normal 6 3 2 2 2" xfId="1040" xr:uid="{00000000-0005-0000-0000-0000C70A0000}"/>
    <cellStyle name="Normal 6 3 2 2 3" xfId="1359" xr:uid="{00000000-0005-0000-0000-0000C80A0000}"/>
    <cellStyle name="Normal 6 3 2 2 4" xfId="1661" xr:uid="{00000000-0005-0000-0000-0000C90A0000}"/>
    <cellStyle name="Normal 6 3 2 2 5" xfId="3113" xr:uid="{00000000-0005-0000-0000-0000CA0A0000}"/>
    <cellStyle name="Normal 6 3 2 2 6" xfId="3999" xr:uid="{00000000-0005-0000-0000-0000CB0A0000}"/>
    <cellStyle name="Normal 6 3 2 3" xfId="585" xr:uid="{00000000-0005-0000-0000-0000CC0A0000}"/>
    <cellStyle name="Normal 6 3 2 3 2" xfId="1059" xr:uid="{00000000-0005-0000-0000-0000CD0A0000}"/>
    <cellStyle name="Normal 6 3 2 3 3" xfId="1378" xr:uid="{00000000-0005-0000-0000-0000CE0A0000}"/>
    <cellStyle name="Normal 6 3 2 3 4" xfId="1680" xr:uid="{00000000-0005-0000-0000-0000CF0A0000}"/>
    <cellStyle name="Normal 6 3 2 3 5" xfId="3096" xr:uid="{00000000-0005-0000-0000-0000D00A0000}"/>
    <cellStyle name="Normal 6 3 2 3 6" xfId="4018" xr:uid="{00000000-0005-0000-0000-0000D10A0000}"/>
    <cellStyle name="Normal 6 3 2 4" xfId="392" xr:uid="{00000000-0005-0000-0000-0000D20A0000}"/>
    <cellStyle name="Normal 6 3 2 5" xfId="905" xr:uid="{00000000-0005-0000-0000-0000D30A0000}"/>
    <cellStyle name="Normal 6 3 2 6" xfId="1220" xr:uid="{00000000-0005-0000-0000-0000D40A0000}"/>
    <cellStyle name="Normal 6 3 2 7" xfId="1533" xr:uid="{00000000-0005-0000-0000-0000D50A0000}"/>
    <cellStyle name="Normal 6 3 2 8" xfId="2198" xr:uid="{00000000-0005-0000-0000-0000D60A0000}"/>
    <cellStyle name="Normal 6 3 2 9" xfId="2514" xr:uid="{00000000-0005-0000-0000-0000D70A0000}"/>
    <cellStyle name="Normal 6 3 3" xfId="562" xr:uid="{00000000-0005-0000-0000-0000D80A0000}"/>
    <cellStyle name="Normal 6 3 3 2" xfId="1039" xr:uid="{00000000-0005-0000-0000-0000D90A0000}"/>
    <cellStyle name="Normal 6 3 3 3" xfId="1358" xr:uid="{00000000-0005-0000-0000-0000DA0A0000}"/>
    <cellStyle name="Normal 6 3 3 4" xfId="1660" xr:uid="{00000000-0005-0000-0000-0000DB0A0000}"/>
    <cellStyle name="Normal 6 3 3 5" xfId="3114" xr:uid="{00000000-0005-0000-0000-0000DC0A0000}"/>
    <cellStyle name="Normal 6 3 3 6" xfId="3998" xr:uid="{00000000-0005-0000-0000-0000DD0A0000}"/>
    <cellStyle name="Normal 6 3 4" xfId="584" xr:uid="{00000000-0005-0000-0000-0000DE0A0000}"/>
    <cellStyle name="Normal 6 3 4 2" xfId="1058" xr:uid="{00000000-0005-0000-0000-0000DF0A0000}"/>
    <cellStyle name="Normal 6 3 4 3" xfId="1377" xr:uid="{00000000-0005-0000-0000-0000E00A0000}"/>
    <cellStyle name="Normal 6 3 4 4" xfId="1679" xr:uid="{00000000-0005-0000-0000-0000E10A0000}"/>
    <cellStyle name="Normal 6 3 4 5" xfId="3097" xr:uid="{00000000-0005-0000-0000-0000E20A0000}"/>
    <cellStyle name="Normal 6 3 4 6" xfId="4017" xr:uid="{00000000-0005-0000-0000-0000E30A0000}"/>
    <cellStyle name="Normal 6 3 5" xfId="391" xr:uid="{00000000-0005-0000-0000-0000E40A0000}"/>
    <cellStyle name="Normal 6 3 6" xfId="904" xr:uid="{00000000-0005-0000-0000-0000E50A0000}"/>
    <cellStyle name="Normal 6 3 7" xfId="1219" xr:uid="{00000000-0005-0000-0000-0000E60A0000}"/>
    <cellStyle name="Normal 6 3 8" xfId="1532" xr:uid="{00000000-0005-0000-0000-0000E70A0000}"/>
    <cellStyle name="Normal 6 3 9" xfId="2197" xr:uid="{00000000-0005-0000-0000-0000E80A0000}"/>
    <cellStyle name="Normal 6 4" xfId="433" xr:uid="{00000000-0005-0000-0000-0000E90A0000}"/>
    <cellStyle name="Normal 6 4 10" xfId="3197" xr:uid="{00000000-0005-0000-0000-0000EA0A0000}"/>
    <cellStyle name="Normal 6 4 11" xfId="3550" xr:uid="{00000000-0005-0000-0000-0000EB0A0000}"/>
    <cellStyle name="Normal 6 4 12" xfId="3627" xr:uid="{00000000-0005-0000-0000-0000EC0A0000}"/>
    <cellStyle name="Normal 6 4 13" xfId="3812" xr:uid="{00000000-0005-0000-0000-0000ED0A0000}"/>
    <cellStyle name="Normal 6 4 14" xfId="3890" xr:uid="{00000000-0005-0000-0000-0000EE0A0000}"/>
    <cellStyle name="Normal 6 4 2" xfId="618" xr:uid="{00000000-0005-0000-0000-0000EF0A0000}"/>
    <cellStyle name="Normal 6 4 2 2" xfId="1091" xr:uid="{00000000-0005-0000-0000-0000F00A0000}"/>
    <cellStyle name="Normal 6 4 2 3" xfId="1411" xr:uid="{00000000-0005-0000-0000-0000F10A0000}"/>
    <cellStyle name="Normal 6 4 2 4" xfId="1713" xr:uid="{00000000-0005-0000-0000-0000F20A0000}"/>
    <cellStyle name="Normal 6 4 2 5" xfId="3073" xr:uid="{00000000-0005-0000-0000-0000F30A0000}"/>
    <cellStyle name="Normal 6 4 2 6" xfId="4051" xr:uid="{00000000-0005-0000-0000-0000F40A0000}"/>
    <cellStyle name="Normal 6 4 3" xfId="942" xr:uid="{00000000-0005-0000-0000-0000F50A0000}"/>
    <cellStyle name="Normal 6 4 4" xfId="1252" xr:uid="{00000000-0005-0000-0000-0000F60A0000}"/>
    <cellStyle name="Normal 6 4 5" xfId="1567" xr:uid="{00000000-0005-0000-0000-0000F70A0000}"/>
    <cellStyle name="Normal 6 4 6" xfId="2199" xr:uid="{00000000-0005-0000-0000-0000F80A0000}"/>
    <cellStyle name="Normal 6 4 7" xfId="2515" xr:uid="{00000000-0005-0000-0000-0000F90A0000}"/>
    <cellStyle name="Normal 6 4 8" xfId="2744" xr:uid="{00000000-0005-0000-0000-0000FA0A0000}"/>
    <cellStyle name="Normal 6 4 9" xfId="2828" xr:uid="{00000000-0005-0000-0000-0000FB0A0000}"/>
    <cellStyle name="Normal 6 5" xfId="494" xr:uid="{00000000-0005-0000-0000-0000FC0A0000}"/>
    <cellStyle name="Normal 6 5 2" xfId="670" xr:uid="{00000000-0005-0000-0000-0000FD0A0000}"/>
    <cellStyle name="Normal 6 5 2 2" xfId="1137" xr:uid="{00000000-0005-0000-0000-0000FE0A0000}"/>
    <cellStyle name="Normal 6 5 2 3" xfId="1460" xr:uid="{00000000-0005-0000-0000-0000FF0A0000}"/>
    <cellStyle name="Normal 6 5 2 4" xfId="1762" xr:uid="{00000000-0005-0000-0000-0000000B0000}"/>
    <cellStyle name="Normal 6 5 2 5" xfId="3020" xr:uid="{00000000-0005-0000-0000-0000010B0000}"/>
    <cellStyle name="Normal 6 5 2 6" xfId="4102" xr:uid="{00000000-0005-0000-0000-0000020B0000}"/>
    <cellStyle name="Normal 6 5 3" xfId="988" xr:uid="{00000000-0005-0000-0000-0000030B0000}"/>
    <cellStyle name="Normal 6 5 4" xfId="1302" xr:uid="{00000000-0005-0000-0000-0000040B0000}"/>
    <cellStyle name="Normal 6 5 5" xfId="1609" xr:uid="{00000000-0005-0000-0000-0000050B0000}"/>
    <cellStyle name="Normal 6 5 6" xfId="3165" xr:uid="{00000000-0005-0000-0000-0000060B0000}"/>
    <cellStyle name="Normal 6 5 7" xfId="3934" xr:uid="{00000000-0005-0000-0000-0000070B0000}"/>
    <cellStyle name="Normal 6 6" xfId="537" xr:uid="{00000000-0005-0000-0000-0000080B0000}"/>
    <cellStyle name="Normal 6 6 2" xfId="707" xr:uid="{00000000-0005-0000-0000-0000090B0000}"/>
    <cellStyle name="Normal 6 6 2 2" xfId="1168" xr:uid="{00000000-0005-0000-0000-00000A0B0000}"/>
    <cellStyle name="Normal 6 6 2 3" xfId="1493" xr:uid="{00000000-0005-0000-0000-00000B0B0000}"/>
    <cellStyle name="Normal 6 6 2 4" xfId="1795" xr:uid="{00000000-0005-0000-0000-00000C0B0000}"/>
    <cellStyle name="Normal 6 6 2 5" xfId="3346" xr:uid="{00000000-0005-0000-0000-00000D0B0000}"/>
    <cellStyle name="Normal 6 6 2 6" xfId="4139" xr:uid="{00000000-0005-0000-0000-00000E0B0000}"/>
    <cellStyle name="Normal 6 6 3" xfId="1020" xr:uid="{00000000-0005-0000-0000-00000F0B0000}"/>
    <cellStyle name="Normal 6 6 4" xfId="1337" xr:uid="{00000000-0005-0000-0000-0000100B0000}"/>
    <cellStyle name="Normal 6 6 5" xfId="1639" xr:uid="{00000000-0005-0000-0000-0000110B0000}"/>
    <cellStyle name="Normal 6 6 6" xfId="3139" xr:uid="{00000000-0005-0000-0000-0000120B0000}"/>
    <cellStyle name="Normal 6 6 7" xfId="3973" xr:uid="{00000000-0005-0000-0000-0000130B0000}"/>
    <cellStyle name="Normal 6 7" xfId="568" xr:uid="{00000000-0005-0000-0000-0000140B0000}"/>
    <cellStyle name="Normal 6 8" xfId="732" xr:uid="{00000000-0005-0000-0000-0000150B0000}"/>
    <cellStyle name="Normal 6 8 2" xfId="1193" xr:uid="{00000000-0005-0000-0000-0000160B0000}"/>
    <cellStyle name="Normal 6 8 3" xfId="1518" xr:uid="{00000000-0005-0000-0000-0000170B0000}"/>
    <cellStyle name="Normal 6 8 4" xfId="1820" xr:uid="{00000000-0005-0000-0000-0000180B0000}"/>
    <cellStyle name="Normal 6 8 5" xfId="3371" xr:uid="{00000000-0005-0000-0000-0000190B0000}"/>
    <cellStyle name="Normal 6 8 6" xfId="4164" xr:uid="{00000000-0005-0000-0000-00001A0B0000}"/>
    <cellStyle name="Normal 6 9" xfId="397" xr:uid="{00000000-0005-0000-0000-00001B0B0000}"/>
    <cellStyle name="Normal 60" xfId="1843" xr:uid="{00000000-0005-0000-0000-00001C0B0000}"/>
    <cellStyle name="Normal 61" xfId="1956" xr:uid="{00000000-0005-0000-0000-00001D0B0000}"/>
    <cellStyle name="Normal 62" xfId="2255" xr:uid="{00000000-0005-0000-0000-00001E0B0000}"/>
    <cellStyle name="Normal 63" xfId="1922" xr:uid="{00000000-0005-0000-0000-00001F0B0000}"/>
    <cellStyle name="Normal 64" xfId="2298" xr:uid="{00000000-0005-0000-0000-0000200B0000}"/>
    <cellStyle name="Normal 65" xfId="2259" xr:uid="{00000000-0005-0000-0000-0000210B0000}"/>
    <cellStyle name="Normal 66" xfId="2256" xr:uid="{00000000-0005-0000-0000-0000220B0000}"/>
    <cellStyle name="Normal 67" xfId="1920" xr:uid="{00000000-0005-0000-0000-0000230B0000}"/>
    <cellStyle name="Normal 68" xfId="1882" xr:uid="{00000000-0005-0000-0000-0000240B0000}"/>
    <cellStyle name="Normal 69" xfId="1948" xr:uid="{00000000-0005-0000-0000-0000250B0000}"/>
    <cellStyle name="Normal 7" xfId="56" xr:uid="{00000000-0005-0000-0000-0000260B0000}"/>
    <cellStyle name="Normal 7 10" xfId="910" xr:uid="{00000000-0005-0000-0000-0000270B0000}"/>
    <cellStyle name="Normal 7 11" xfId="1225" xr:uid="{00000000-0005-0000-0000-0000280B0000}"/>
    <cellStyle name="Normal 7 12" xfId="1538" xr:uid="{00000000-0005-0000-0000-0000290B0000}"/>
    <cellStyle name="Normal 7 13" xfId="1927" xr:uid="{00000000-0005-0000-0000-00002A0B0000}"/>
    <cellStyle name="Normal 7 14" xfId="2361" xr:uid="{00000000-0005-0000-0000-00002B0B0000}"/>
    <cellStyle name="Normal 7 15" xfId="2591" xr:uid="{00000000-0005-0000-0000-00002C0B0000}"/>
    <cellStyle name="Normal 7 16" xfId="2788" xr:uid="{00000000-0005-0000-0000-00002D0B0000}"/>
    <cellStyle name="Normal 7 17" xfId="3198" xr:uid="{00000000-0005-0000-0000-00002E0B0000}"/>
    <cellStyle name="Normal 7 18" xfId="3551" xr:uid="{00000000-0005-0000-0000-00002F0B0000}"/>
    <cellStyle name="Normal 7 19" xfId="3603" xr:uid="{00000000-0005-0000-0000-0000300B0000}"/>
    <cellStyle name="Normal 7 2" xfId="266" xr:uid="{00000000-0005-0000-0000-0000310B0000}"/>
    <cellStyle name="Normal 7 2 2" xfId="2200" xr:uid="{00000000-0005-0000-0000-0000320B0000}"/>
    <cellStyle name="Normal 7 2 2 2" xfId="2201" xr:uid="{00000000-0005-0000-0000-0000330B0000}"/>
    <cellStyle name="Normal 7 2 2 2 2" xfId="2517" xr:uid="{00000000-0005-0000-0000-0000340B0000}"/>
    <cellStyle name="Normal 7 2 2 2 3" xfId="2746" xr:uid="{00000000-0005-0000-0000-0000350B0000}"/>
    <cellStyle name="Normal 7 2 2 2 4" xfId="3200" xr:uid="{00000000-0005-0000-0000-0000360B0000}"/>
    <cellStyle name="Normal 7 2 2 2 5" xfId="3553" xr:uid="{00000000-0005-0000-0000-0000370B0000}"/>
    <cellStyle name="Normal 7 2 2 2 6" xfId="3815" xr:uid="{00000000-0005-0000-0000-0000380B0000}"/>
    <cellStyle name="Normal 7 2 2 3" xfId="2516" xr:uid="{00000000-0005-0000-0000-0000390B0000}"/>
    <cellStyle name="Normal 7 2 2 4" xfId="2745" xr:uid="{00000000-0005-0000-0000-00003A0B0000}"/>
    <cellStyle name="Normal 7 2 2 5" xfId="3199" xr:uid="{00000000-0005-0000-0000-00003B0B0000}"/>
    <cellStyle name="Normal 7 2 2 6" xfId="3552" xr:uid="{00000000-0005-0000-0000-00003C0B0000}"/>
    <cellStyle name="Normal 7 2 2 7" xfId="3814" xr:uid="{00000000-0005-0000-0000-00003D0B0000}"/>
    <cellStyle name="Normal 7 2 3" xfId="2202" xr:uid="{00000000-0005-0000-0000-00003E0B0000}"/>
    <cellStyle name="Normal 7 2 3 2" xfId="2518" xr:uid="{00000000-0005-0000-0000-00003F0B0000}"/>
    <cellStyle name="Normal 7 2 3 3" xfId="2747" xr:uid="{00000000-0005-0000-0000-0000400B0000}"/>
    <cellStyle name="Normal 7 2 3 4" xfId="3201" xr:uid="{00000000-0005-0000-0000-0000410B0000}"/>
    <cellStyle name="Normal 7 2 3 5" xfId="3554" xr:uid="{00000000-0005-0000-0000-0000420B0000}"/>
    <cellStyle name="Normal 7 2 3 6" xfId="3816" xr:uid="{00000000-0005-0000-0000-0000430B0000}"/>
    <cellStyle name="Normal 7 20" xfId="3813" xr:uid="{00000000-0005-0000-0000-0000440B0000}"/>
    <cellStyle name="Normal 7 21" xfId="3865" xr:uid="{00000000-0005-0000-0000-0000450B0000}"/>
    <cellStyle name="Normal 7 22" xfId="378" xr:uid="{00000000-0005-0000-0000-0000460B0000}"/>
    <cellStyle name="Normal 7 3" xfId="435" xr:uid="{00000000-0005-0000-0000-0000470B0000}"/>
    <cellStyle name="Normal 7 3 10" xfId="3202" xr:uid="{00000000-0005-0000-0000-0000480B0000}"/>
    <cellStyle name="Normal 7 3 11" xfId="3555" xr:uid="{00000000-0005-0000-0000-0000490B0000}"/>
    <cellStyle name="Normal 7 3 12" xfId="3629" xr:uid="{00000000-0005-0000-0000-00004A0B0000}"/>
    <cellStyle name="Normal 7 3 13" xfId="3817" xr:uid="{00000000-0005-0000-0000-00004B0B0000}"/>
    <cellStyle name="Normal 7 3 14" xfId="3892" xr:uid="{00000000-0005-0000-0000-00004C0B0000}"/>
    <cellStyle name="Normal 7 3 2" xfId="620" xr:uid="{00000000-0005-0000-0000-00004D0B0000}"/>
    <cellStyle name="Normal 7 3 2 10" xfId="3818" xr:uid="{00000000-0005-0000-0000-00004E0B0000}"/>
    <cellStyle name="Normal 7 3 2 11" xfId="4053" xr:uid="{00000000-0005-0000-0000-00004F0B0000}"/>
    <cellStyle name="Normal 7 3 2 2" xfId="1093" xr:uid="{00000000-0005-0000-0000-0000500B0000}"/>
    <cellStyle name="Normal 7 3 2 3" xfId="1413" xr:uid="{00000000-0005-0000-0000-0000510B0000}"/>
    <cellStyle name="Normal 7 3 2 4" xfId="1715" xr:uid="{00000000-0005-0000-0000-0000520B0000}"/>
    <cellStyle name="Normal 7 3 2 5" xfId="2204" xr:uid="{00000000-0005-0000-0000-0000530B0000}"/>
    <cellStyle name="Normal 7 3 2 6" xfId="2520" xr:uid="{00000000-0005-0000-0000-0000540B0000}"/>
    <cellStyle name="Normal 7 3 2 7" xfId="2749" xr:uid="{00000000-0005-0000-0000-0000550B0000}"/>
    <cellStyle name="Normal 7 3 2 8" xfId="3203" xr:uid="{00000000-0005-0000-0000-0000560B0000}"/>
    <cellStyle name="Normal 7 3 2 9" xfId="3556" xr:uid="{00000000-0005-0000-0000-0000570B0000}"/>
    <cellStyle name="Normal 7 3 3" xfId="944" xr:uid="{00000000-0005-0000-0000-0000580B0000}"/>
    <cellStyle name="Normal 7 3 4" xfId="1254" xr:uid="{00000000-0005-0000-0000-0000590B0000}"/>
    <cellStyle name="Normal 7 3 5" xfId="1569" xr:uid="{00000000-0005-0000-0000-00005A0B0000}"/>
    <cellStyle name="Normal 7 3 6" xfId="2203" xr:uid="{00000000-0005-0000-0000-00005B0B0000}"/>
    <cellStyle name="Normal 7 3 7" xfId="2519" xr:uid="{00000000-0005-0000-0000-00005C0B0000}"/>
    <cellStyle name="Normal 7 3 8" xfId="2748" xr:uid="{00000000-0005-0000-0000-00005D0B0000}"/>
    <cellStyle name="Normal 7 3 9" xfId="2830" xr:uid="{00000000-0005-0000-0000-00005E0B0000}"/>
    <cellStyle name="Normal 7 4" xfId="496" xr:uid="{00000000-0005-0000-0000-00005F0B0000}"/>
    <cellStyle name="Normal 7 4 10" xfId="3557" xr:uid="{00000000-0005-0000-0000-0000600B0000}"/>
    <cellStyle name="Normal 7 4 11" xfId="3819" xr:uid="{00000000-0005-0000-0000-0000610B0000}"/>
    <cellStyle name="Normal 7 4 12" xfId="3936" xr:uid="{00000000-0005-0000-0000-0000620B0000}"/>
    <cellStyle name="Normal 7 4 2" xfId="672" xr:uid="{00000000-0005-0000-0000-0000630B0000}"/>
    <cellStyle name="Normal 7 4 2 2" xfId="1139" xr:uid="{00000000-0005-0000-0000-0000640B0000}"/>
    <cellStyle name="Normal 7 4 2 3" xfId="1462" xr:uid="{00000000-0005-0000-0000-0000650B0000}"/>
    <cellStyle name="Normal 7 4 2 4" xfId="1764" xr:uid="{00000000-0005-0000-0000-0000660B0000}"/>
    <cellStyle name="Normal 7 4 2 5" xfId="3018" xr:uid="{00000000-0005-0000-0000-0000670B0000}"/>
    <cellStyle name="Normal 7 4 2 6" xfId="4104" xr:uid="{00000000-0005-0000-0000-0000680B0000}"/>
    <cellStyle name="Normal 7 4 3" xfId="990" xr:uid="{00000000-0005-0000-0000-0000690B0000}"/>
    <cellStyle name="Normal 7 4 4" xfId="1304" xr:uid="{00000000-0005-0000-0000-00006A0B0000}"/>
    <cellStyle name="Normal 7 4 5" xfId="1611" xr:uid="{00000000-0005-0000-0000-00006B0B0000}"/>
    <cellStyle name="Normal 7 4 6" xfId="2205" xr:uid="{00000000-0005-0000-0000-00006C0B0000}"/>
    <cellStyle name="Normal 7 4 7" xfId="2521" xr:uid="{00000000-0005-0000-0000-00006D0B0000}"/>
    <cellStyle name="Normal 7 4 8" xfId="2750" xr:uid="{00000000-0005-0000-0000-00006E0B0000}"/>
    <cellStyle name="Normal 7 4 9" xfId="3204" xr:uid="{00000000-0005-0000-0000-00006F0B0000}"/>
    <cellStyle name="Normal 7 5" xfId="539" xr:uid="{00000000-0005-0000-0000-0000700B0000}"/>
    <cellStyle name="Normal 7 5 2" xfId="709" xr:uid="{00000000-0005-0000-0000-0000710B0000}"/>
    <cellStyle name="Normal 7 5 2 2" xfId="1170" xr:uid="{00000000-0005-0000-0000-0000720B0000}"/>
    <cellStyle name="Normal 7 5 2 3" xfId="1495" xr:uid="{00000000-0005-0000-0000-0000730B0000}"/>
    <cellStyle name="Normal 7 5 2 4" xfId="1797" xr:uid="{00000000-0005-0000-0000-0000740B0000}"/>
    <cellStyle name="Normal 7 5 2 5" xfId="3348" xr:uid="{00000000-0005-0000-0000-0000750B0000}"/>
    <cellStyle name="Normal 7 5 2 6" xfId="4141" xr:uid="{00000000-0005-0000-0000-0000760B0000}"/>
    <cellStyle name="Normal 7 5 3" xfId="1022" xr:uid="{00000000-0005-0000-0000-0000770B0000}"/>
    <cellStyle name="Normal 7 5 4" xfId="1339" xr:uid="{00000000-0005-0000-0000-0000780B0000}"/>
    <cellStyle name="Normal 7 5 5" xfId="1641" xr:uid="{00000000-0005-0000-0000-0000790B0000}"/>
    <cellStyle name="Normal 7 5 6" xfId="3137" xr:uid="{00000000-0005-0000-0000-00007A0B0000}"/>
    <cellStyle name="Normal 7 5 7" xfId="3975" xr:uid="{00000000-0005-0000-0000-00007B0B0000}"/>
    <cellStyle name="Normal 7 6" xfId="571" xr:uid="{00000000-0005-0000-0000-00007C0B0000}"/>
    <cellStyle name="Normal 7 6 2" xfId="1045" xr:uid="{00000000-0005-0000-0000-00007D0B0000}"/>
    <cellStyle name="Normal 7 6 3" xfId="1364" xr:uid="{00000000-0005-0000-0000-00007E0B0000}"/>
    <cellStyle name="Normal 7 6 4" xfId="1666" xr:uid="{00000000-0005-0000-0000-00007F0B0000}"/>
    <cellStyle name="Normal 7 6 5" xfId="3109" xr:uid="{00000000-0005-0000-0000-0000800B0000}"/>
    <cellStyle name="Normal 7 6 6" xfId="4004" xr:uid="{00000000-0005-0000-0000-0000810B0000}"/>
    <cellStyle name="Normal 7 7" xfId="590" xr:uid="{00000000-0005-0000-0000-0000820B0000}"/>
    <cellStyle name="Normal 7 7 2" xfId="1064" xr:uid="{00000000-0005-0000-0000-0000830B0000}"/>
    <cellStyle name="Normal 7 7 3" xfId="1383" xr:uid="{00000000-0005-0000-0000-0000840B0000}"/>
    <cellStyle name="Normal 7 7 4" xfId="1685" xr:uid="{00000000-0005-0000-0000-0000850B0000}"/>
    <cellStyle name="Normal 7 7 5" xfId="3315" xr:uid="{00000000-0005-0000-0000-0000860B0000}"/>
    <cellStyle name="Normal 7 7 6" xfId="4023" xr:uid="{00000000-0005-0000-0000-0000870B0000}"/>
    <cellStyle name="Normal 7 8" xfId="734" xr:uid="{00000000-0005-0000-0000-0000880B0000}"/>
    <cellStyle name="Normal 7 8 2" xfId="1195" xr:uid="{00000000-0005-0000-0000-0000890B0000}"/>
    <cellStyle name="Normal 7 8 3" xfId="1520" xr:uid="{00000000-0005-0000-0000-00008A0B0000}"/>
    <cellStyle name="Normal 7 8 4" xfId="1822" xr:uid="{00000000-0005-0000-0000-00008B0B0000}"/>
    <cellStyle name="Normal 7 8 5" xfId="3373" xr:uid="{00000000-0005-0000-0000-00008C0B0000}"/>
    <cellStyle name="Normal 7 8 6" xfId="4166" xr:uid="{00000000-0005-0000-0000-00008D0B0000}"/>
    <cellStyle name="Normal 7 9" xfId="400" xr:uid="{00000000-0005-0000-0000-00008E0B0000}"/>
    <cellStyle name="Normal 70" xfId="1888" xr:uid="{00000000-0005-0000-0000-00008F0B0000}"/>
    <cellStyle name="Normal 71" xfId="2289" xr:uid="{00000000-0005-0000-0000-0000900B0000}"/>
    <cellStyle name="Normal 72" xfId="2285" xr:uid="{00000000-0005-0000-0000-0000910B0000}"/>
    <cellStyle name="Normal 73" xfId="2342" xr:uid="{00000000-0005-0000-0000-0000920B0000}"/>
    <cellStyle name="Normal 74" xfId="2344" xr:uid="{00000000-0005-0000-0000-0000930B0000}"/>
    <cellStyle name="Normal 75" xfId="2574" xr:uid="{00000000-0005-0000-0000-0000940B0000}"/>
    <cellStyle name="Normal 76" xfId="2855" xr:uid="{00000000-0005-0000-0000-0000950B0000}"/>
    <cellStyle name="Normal 77" xfId="3258" xr:uid="{00000000-0005-0000-0000-0000960B0000}"/>
    <cellStyle name="Normal 78" xfId="3273" xr:uid="{00000000-0005-0000-0000-0000970B0000}"/>
    <cellStyle name="Normal 79" xfId="3238" xr:uid="{00000000-0005-0000-0000-0000980B0000}"/>
    <cellStyle name="Normal 8" xfId="59" xr:uid="{00000000-0005-0000-0000-0000990B0000}"/>
    <cellStyle name="Normal 8 10" xfId="3606" xr:uid="{00000000-0005-0000-0000-00009A0B0000}"/>
    <cellStyle name="Normal 8 11" xfId="3868" xr:uid="{00000000-0005-0000-0000-00009B0B0000}"/>
    <cellStyle name="Normal 8 12" xfId="381" xr:uid="{00000000-0005-0000-0000-00009C0B0000}"/>
    <cellStyle name="Normal 8 2" xfId="436" xr:uid="{00000000-0005-0000-0000-00009D0B0000}"/>
    <cellStyle name="Normal 8 2 2" xfId="2207" xr:uid="{00000000-0005-0000-0000-00009E0B0000}"/>
    <cellStyle name="Normal 8 2 2 2" xfId="2208" xr:uid="{00000000-0005-0000-0000-00009F0B0000}"/>
    <cellStyle name="Normal 8 2 2 2 2" xfId="2524" xr:uid="{00000000-0005-0000-0000-0000A00B0000}"/>
    <cellStyle name="Normal 8 2 2 2 3" xfId="2753" xr:uid="{00000000-0005-0000-0000-0000A10B0000}"/>
    <cellStyle name="Normal 8 2 2 2 4" xfId="3207" xr:uid="{00000000-0005-0000-0000-0000A20B0000}"/>
    <cellStyle name="Normal 8 2 2 2 5" xfId="3560" xr:uid="{00000000-0005-0000-0000-0000A30B0000}"/>
    <cellStyle name="Normal 8 2 2 2 6" xfId="3822" xr:uid="{00000000-0005-0000-0000-0000A40B0000}"/>
    <cellStyle name="Normal 8 2 2 3" xfId="2523" xr:uid="{00000000-0005-0000-0000-0000A50B0000}"/>
    <cellStyle name="Normal 8 2 2 4" xfId="2752" xr:uid="{00000000-0005-0000-0000-0000A60B0000}"/>
    <cellStyle name="Normal 8 2 2 5" xfId="3206" xr:uid="{00000000-0005-0000-0000-0000A70B0000}"/>
    <cellStyle name="Normal 8 2 2 6" xfId="3559" xr:uid="{00000000-0005-0000-0000-0000A80B0000}"/>
    <cellStyle name="Normal 8 2 2 7" xfId="3821" xr:uid="{00000000-0005-0000-0000-0000A90B0000}"/>
    <cellStyle name="Normal 8 2 3" xfId="2209" xr:uid="{00000000-0005-0000-0000-0000AA0B0000}"/>
    <cellStyle name="Normal 8 2 3 2" xfId="2525" xr:uid="{00000000-0005-0000-0000-0000AB0B0000}"/>
    <cellStyle name="Normal 8 2 3 3" xfId="2754" xr:uid="{00000000-0005-0000-0000-0000AC0B0000}"/>
    <cellStyle name="Normal 8 2 3 4" xfId="3208" xr:uid="{00000000-0005-0000-0000-0000AD0B0000}"/>
    <cellStyle name="Normal 8 2 3 5" xfId="3561" xr:uid="{00000000-0005-0000-0000-0000AE0B0000}"/>
    <cellStyle name="Normal 8 2 3 6" xfId="3823" xr:uid="{00000000-0005-0000-0000-0000AF0B0000}"/>
    <cellStyle name="Normal 8 2 4" xfId="2206" xr:uid="{00000000-0005-0000-0000-0000B00B0000}"/>
    <cellStyle name="Normal 8 2 5" xfId="2522" xr:uid="{00000000-0005-0000-0000-0000B10B0000}"/>
    <cellStyle name="Normal 8 2 6" xfId="2751" xr:uid="{00000000-0005-0000-0000-0000B20B0000}"/>
    <cellStyle name="Normal 8 2 7" xfId="3205" xr:uid="{00000000-0005-0000-0000-0000B30B0000}"/>
    <cellStyle name="Normal 8 2 8" xfId="3558" xr:uid="{00000000-0005-0000-0000-0000B40B0000}"/>
    <cellStyle name="Normal 8 2 9" xfId="3820" xr:uid="{00000000-0005-0000-0000-0000B50B0000}"/>
    <cellStyle name="Normal 8 3" xfId="574" xr:uid="{00000000-0005-0000-0000-0000B60B0000}"/>
    <cellStyle name="Normal 8 3 10" xfId="3824" xr:uid="{00000000-0005-0000-0000-0000B70B0000}"/>
    <cellStyle name="Normal 8 3 11" xfId="4007" xr:uid="{00000000-0005-0000-0000-0000B80B0000}"/>
    <cellStyle name="Normal 8 3 2" xfId="1048" xr:uid="{00000000-0005-0000-0000-0000B90B0000}"/>
    <cellStyle name="Normal 8 3 2 2" xfId="2211" xr:uid="{00000000-0005-0000-0000-0000BA0B0000}"/>
    <cellStyle name="Normal 8 3 2 3" xfId="2527" xr:uid="{00000000-0005-0000-0000-0000BB0B0000}"/>
    <cellStyle name="Normal 8 3 2 4" xfId="2756" xr:uid="{00000000-0005-0000-0000-0000BC0B0000}"/>
    <cellStyle name="Normal 8 3 2 5" xfId="3210" xr:uid="{00000000-0005-0000-0000-0000BD0B0000}"/>
    <cellStyle name="Normal 8 3 2 6" xfId="3563" xr:uid="{00000000-0005-0000-0000-0000BE0B0000}"/>
    <cellStyle name="Normal 8 3 2 7" xfId="3825" xr:uid="{00000000-0005-0000-0000-0000BF0B0000}"/>
    <cellStyle name="Normal 8 3 3" xfId="1367" xr:uid="{00000000-0005-0000-0000-0000C00B0000}"/>
    <cellStyle name="Normal 8 3 4" xfId="1669" xr:uid="{00000000-0005-0000-0000-0000C10B0000}"/>
    <cellStyle name="Normal 8 3 5" xfId="2210" xr:uid="{00000000-0005-0000-0000-0000C20B0000}"/>
    <cellStyle name="Normal 8 3 6" xfId="2526" xr:uid="{00000000-0005-0000-0000-0000C30B0000}"/>
    <cellStyle name="Normal 8 3 7" xfId="2755" xr:uid="{00000000-0005-0000-0000-0000C40B0000}"/>
    <cellStyle name="Normal 8 3 8" xfId="3209" xr:uid="{00000000-0005-0000-0000-0000C50B0000}"/>
    <cellStyle name="Normal 8 3 9" xfId="3562" xr:uid="{00000000-0005-0000-0000-0000C60B0000}"/>
    <cellStyle name="Normal 8 4" xfId="593" xr:uid="{00000000-0005-0000-0000-0000C70B0000}"/>
    <cellStyle name="Normal 8 4 10" xfId="3826" xr:uid="{00000000-0005-0000-0000-0000C80B0000}"/>
    <cellStyle name="Normal 8 4 11" xfId="4026" xr:uid="{00000000-0005-0000-0000-0000C90B0000}"/>
    <cellStyle name="Normal 8 4 2" xfId="1067" xr:uid="{00000000-0005-0000-0000-0000CA0B0000}"/>
    <cellStyle name="Normal 8 4 3" xfId="1386" xr:uid="{00000000-0005-0000-0000-0000CB0B0000}"/>
    <cellStyle name="Normal 8 4 4" xfId="1688" xr:uid="{00000000-0005-0000-0000-0000CC0B0000}"/>
    <cellStyle name="Normal 8 4 5" xfId="2212" xr:uid="{00000000-0005-0000-0000-0000CD0B0000}"/>
    <cellStyle name="Normal 8 4 6" xfId="2528" xr:uid="{00000000-0005-0000-0000-0000CE0B0000}"/>
    <cellStyle name="Normal 8 4 7" xfId="2757" xr:uid="{00000000-0005-0000-0000-0000CF0B0000}"/>
    <cellStyle name="Normal 8 4 8" xfId="3211" xr:uid="{00000000-0005-0000-0000-0000D00B0000}"/>
    <cellStyle name="Normal 8 4 9" xfId="3564" xr:uid="{00000000-0005-0000-0000-0000D10B0000}"/>
    <cellStyle name="Normal 8 5" xfId="403" xr:uid="{00000000-0005-0000-0000-0000D20B0000}"/>
    <cellStyle name="Normal 8 6" xfId="913" xr:uid="{00000000-0005-0000-0000-0000D30B0000}"/>
    <cellStyle name="Normal 8 7" xfId="1228" xr:uid="{00000000-0005-0000-0000-0000D40B0000}"/>
    <cellStyle name="Normal 8 8" xfId="1541" xr:uid="{00000000-0005-0000-0000-0000D50B0000}"/>
    <cellStyle name="Normal 8 9" xfId="2791" xr:uid="{00000000-0005-0000-0000-0000D60B0000}"/>
    <cellStyle name="Normal 80" xfId="3340" xr:uid="{00000000-0005-0000-0000-0000D70B0000}"/>
    <cellStyle name="Normal 81" xfId="3381" xr:uid="{00000000-0005-0000-0000-0000D80B0000}"/>
    <cellStyle name="Normal 82" xfId="3591" xr:uid="{00000000-0005-0000-0000-0000D90B0000}"/>
    <cellStyle name="Normal 83" xfId="3592" xr:uid="{00000000-0005-0000-0000-0000DA0B0000}"/>
    <cellStyle name="Normal 84" xfId="3647" xr:uid="{00000000-0005-0000-0000-0000DB0B0000}"/>
    <cellStyle name="Normal 85" xfId="3854" xr:uid="{00000000-0005-0000-0000-0000DC0B0000}"/>
    <cellStyle name="Normal 86" xfId="3848" xr:uid="{00000000-0005-0000-0000-0000DD0B0000}"/>
    <cellStyle name="Normal 9" xfId="267" xr:uid="{00000000-0005-0000-0000-0000DE0B0000}"/>
    <cellStyle name="Normal 9 2" xfId="2213" xr:uid="{00000000-0005-0000-0000-0000DF0B0000}"/>
    <cellStyle name="Normal 9 2 2" xfId="2214" xr:uid="{00000000-0005-0000-0000-0000E00B0000}"/>
    <cellStyle name="Normal 9 2 2 2" xfId="2530" xr:uid="{00000000-0005-0000-0000-0000E10B0000}"/>
    <cellStyle name="Normal 9 2 2 3" xfId="2759" xr:uid="{00000000-0005-0000-0000-0000E20B0000}"/>
    <cellStyle name="Normal 9 2 2 4" xfId="3213" xr:uid="{00000000-0005-0000-0000-0000E30B0000}"/>
    <cellStyle name="Normal 9 2 2 5" xfId="3566" xr:uid="{00000000-0005-0000-0000-0000E40B0000}"/>
    <cellStyle name="Normal 9 2 2 6" xfId="3828" xr:uid="{00000000-0005-0000-0000-0000E50B0000}"/>
    <cellStyle name="Normal 9 2 3" xfId="2529" xr:uid="{00000000-0005-0000-0000-0000E60B0000}"/>
    <cellStyle name="Normal 9 2 4" xfId="2758" xr:uid="{00000000-0005-0000-0000-0000E70B0000}"/>
    <cellStyle name="Normal 9 2 5" xfId="3212" xr:uid="{00000000-0005-0000-0000-0000E80B0000}"/>
    <cellStyle name="Normal 9 2 6" xfId="3565" xr:uid="{00000000-0005-0000-0000-0000E90B0000}"/>
    <cellStyle name="Normal 9 2 7" xfId="3827" xr:uid="{00000000-0005-0000-0000-0000EA0B0000}"/>
    <cellStyle name="Normal 9 3" xfId="2215" xr:uid="{00000000-0005-0000-0000-0000EB0B0000}"/>
    <cellStyle name="Normal 9 3 2" xfId="2531" xr:uid="{00000000-0005-0000-0000-0000EC0B0000}"/>
    <cellStyle name="Normal 9 3 3" xfId="2760" xr:uid="{00000000-0005-0000-0000-0000ED0B0000}"/>
    <cellStyle name="Normal 9 3 4" xfId="3214" xr:uid="{00000000-0005-0000-0000-0000EE0B0000}"/>
    <cellStyle name="Normal 9 3 5" xfId="3567" xr:uid="{00000000-0005-0000-0000-0000EF0B0000}"/>
    <cellStyle name="Normal 9 3 6" xfId="3829" xr:uid="{00000000-0005-0000-0000-0000F00B0000}"/>
    <cellStyle name="Normale_ cellular Costs" xfId="268" xr:uid="{00000000-0005-0000-0000-0000F10B0000}"/>
    <cellStyle name="Nota 10" xfId="2592" xr:uid="{00000000-0005-0000-0000-0000F20B0000}"/>
    <cellStyle name="Nota 11" xfId="3215" xr:uid="{00000000-0005-0000-0000-0000F30B0000}"/>
    <cellStyle name="Nota 12" xfId="3568" xr:uid="{00000000-0005-0000-0000-0000F40B0000}"/>
    <cellStyle name="Nota 13" xfId="3830" xr:uid="{00000000-0005-0000-0000-0000F50B0000}"/>
    <cellStyle name="Nota 2" xfId="269" xr:uid="{00000000-0005-0000-0000-0000F60B0000}"/>
    <cellStyle name="Nota 2 10" xfId="2314" xr:uid="{00000000-0005-0000-0000-0000F70B0000}"/>
    <cellStyle name="Nota 2 11" xfId="1891" xr:uid="{00000000-0005-0000-0000-0000F80B0000}"/>
    <cellStyle name="Nota 2 12" xfId="2270" xr:uid="{00000000-0005-0000-0000-0000F90B0000}"/>
    <cellStyle name="Nota 2 13" xfId="2326" xr:uid="{00000000-0005-0000-0000-0000FA0B0000}"/>
    <cellStyle name="Nota 2 2" xfId="270" xr:uid="{00000000-0005-0000-0000-0000FB0B0000}"/>
    <cellStyle name="Nota 2 2 10" xfId="1894" xr:uid="{00000000-0005-0000-0000-0000FC0B0000}"/>
    <cellStyle name="Nota 2 2 11" xfId="2312" xr:uid="{00000000-0005-0000-0000-0000FD0B0000}"/>
    <cellStyle name="Nota 2 2 2" xfId="456" xr:uid="{00000000-0005-0000-0000-0000FE0B0000}"/>
    <cellStyle name="Nota 2 2 2 10" xfId="2801" xr:uid="{00000000-0005-0000-0000-0000FF0B0000}"/>
    <cellStyle name="Nota 2 2 2 11" xfId="2853" xr:uid="{00000000-0005-0000-0000-0000000C0000}"/>
    <cellStyle name="Nota 2 2 2 12" xfId="3282" xr:uid="{00000000-0005-0000-0000-0000010C0000}"/>
    <cellStyle name="Nota 2 2 2 13" xfId="3645" xr:uid="{00000000-0005-0000-0000-0000020C0000}"/>
    <cellStyle name="Nota 2 2 2 2" xfId="632" xr:uid="{00000000-0005-0000-0000-0000030C0000}"/>
    <cellStyle name="Nota 2 2 2 2 2" xfId="806" xr:uid="{00000000-0005-0000-0000-0000040C0000}"/>
    <cellStyle name="Nota 2 2 2 2 3" xfId="878" xr:uid="{00000000-0005-0000-0000-0000050C0000}"/>
    <cellStyle name="Nota 2 2 2 2 4" xfId="1425" xr:uid="{00000000-0005-0000-0000-0000060C0000}"/>
    <cellStyle name="Nota 2 2 2 2 5" xfId="1727" xr:uid="{00000000-0005-0000-0000-0000070C0000}"/>
    <cellStyle name="Nota 2 2 2 2 6" xfId="3060" xr:uid="{00000000-0005-0000-0000-0000080C0000}"/>
    <cellStyle name="Nota 2 2 2 2 7" xfId="4065" xr:uid="{00000000-0005-0000-0000-0000090C0000}"/>
    <cellStyle name="Nota 2 2 2 3" xfId="757" xr:uid="{00000000-0005-0000-0000-00000A0C0000}"/>
    <cellStyle name="Nota 2 2 2 4" xfId="838" xr:uid="{00000000-0005-0000-0000-00000B0C0000}"/>
    <cellStyle name="Nota 2 2 2 5" xfId="1206" xr:uid="{00000000-0005-0000-0000-00000C0C0000}"/>
    <cellStyle name="Nota 2 2 2 6" xfId="1266" xr:uid="{00000000-0005-0000-0000-00000D0C0000}"/>
    <cellStyle name="Nota 2 2 2 7" xfId="1834" xr:uid="{00000000-0005-0000-0000-00000E0C0000}"/>
    <cellStyle name="Nota 2 2 2 8" xfId="2564" xr:uid="{00000000-0005-0000-0000-00000F0C0000}"/>
    <cellStyle name="Nota 2 2 2 9" xfId="2843" xr:uid="{00000000-0005-0000-0000-0000100C0000}"/>
    <cellStyle name="Nota 2 2 3" xfId="510" xr:uid="{00000000-0005-0000-0000-0000110C0000}"/>
    <cellStyle name="Nota 2 2 3 2" xfId="685" xr:uid="{00000000-0005-0000-0000-0000120C0000}"/>
    <cellStyle name="Nota 2 2 3 2 2" xfId="820" xr:uid="{00000000-0005-0000-0000-0000130C0000}"/>
    <cellStyle name="Nota 2 2 3 2 3" xfId="890" xr:uid="{00000000-0005-0000-0000-0000140C0000}"/>
    <cellStyle name="Nota 2 2 3 2 4" xfId="1475" xr:uid="{00000000-0005-0000-0000-0000150C0000}"/>
    <cellStyle name="Nota 2 2 3 2 5" xfId="1777" xr:uid="{00000000-0005-0000-0000-0000160C0000}"/>
    <cellStyle name="Nota 2 2 3 2 6" xfId="3331" xr:uid="{00000000-0005-0000-0000-0000170C0000}"/>
    <cellStyle name="Nota 2 2 3 2 7" xfId="4117" xr:uid="{00000000-0005-0000-0000-0000180C0000}"/>
    <cellStyle name="Nota 2 2 3 3" xfId="770" xr:uid="{00000000-0005-0000-0000-0000190C0000}"/>
    <cellStyle name="Nota 2 2 3 4" xfId="849" xr:uid="{00000000-0005-0000-0000-00001A0C0000}"/>
    <cellStyle name="Nota 2 2 3 5" xfId="1317" xr:uid="{00000000-0005-0000-0000-00001B0C0000}"/>
    <cellStyle name="Nota 2 2 3 6" xfId="1619" xr:uid="{00000000-0005-0000-0000-00001C0C0000}"/>
    <cellStyle name="Nota 2 2 3 7" xfId="3313" xr:uid="{00000000-0005-0000-0000-00001D0C0000}"/>
    <cellStyle name="Nota 2 2 3 8" xfId="3949" xr:uid="{00000000-0005-0000-0000-00001E0C0000}"/>
    <cellStyle name="Nota 2 2 4" xfId="552" xr:uid="{00000000-0005-0000-0000-00001F0C0000}"/>
    <cellStyle name="Nota 2 2 4 2" xfId="787" xr:uid="{00000000-0005-0000-0000-0000200C0000}"/>
    <cellStyle name="Nota 2 2 4 3" xfId="865" xr:uid="{00000000-0005-0000-0000-0000210C0000}"/>
    <cellStyle name="Nota 2 2 4 4" xfId="1352" xr:uid="{00000000-0005-0000-0000-0000220C0000}"/>
    <cellStyle name="Nota 2 2 4 5" xfId="1654" xr:uid="{00000000-0005-0000-0000-0000230C0000}"/>
    <cellStyle name="Nota 2 2 4 6" xfId="3123" xr:uid="{00000000-0005-0000-0000-0000240C0000}"/>
    <cellStyle name="Nota 2 2 4 7" xfId="3988" xr:uid="{00000000-0005-0000-0000-0000250C0000}"/>
    <cellStyle name="Nota 2 2 5" xfId="756" xr:uid="{00000000-0005-0000-0000-0000260C0000}"/>
    <cellStyle name="Nota 2 2 6" xfId="1879" xr:uid="{00000000-0005-0000-0000-0000270C0000}"/>
    <cellStyle name="Nota 2 2 7" xfId="1943" xr:uid="{00000000-0005-0000-0000-0000280C0000}"/>
    <cellStyle name="Nota 2 2 8" xfId="1862" xr:uid="{00000000-0005-0000-0000-0000290C0000}"/>
    <cellStyle name="Nota 2 2 9" xfId="2320" xr:uid="{00000000-0005-0000-0000-00002A0C0000}"/>
    <cellStyle name="Nota 2 3" xfId="271" xr:uid="{00000000-0005-0000-0000-00002B0C0000}"/>
    <cellStyle name="Nota 2 3 10" xfId="1892" xr:uid="{00000000-0005-0000-0000-00002C0C0000}"/>
    <cellStyle name="Nota 2 3 11" xfId="2262" xr:uid="{00000000-0005-0000-0000-00002D0C0000}"/>
    <cellStyle name="Nota 2 3 2" xfId="457" xr:uid="{00000000-0005-0000-0000-00002E0C0000}"/>
    <cellStyle name="Nota 2 3 2 10" xfId="2849" xr:uid="{00000000-0005-0000-0000-00002F0C0000}"/>
    <cellStyle name="Nota 2 3 2 11" xfId="2854" xr:uid="{00000000-0005-0000-0000-0000300C0000}"/>
    <cellStyle name="Nota 2 3 2 12" xfId="3283" xr:uid="{00000000-0005-0000-0000-0000310C0000}"/>
    <cellStyle name="Nota 2 3 2 13" xfId="3646" xr:uid="{00000000-0005-0000-0000-0000320C0000}"/>
    <cellStyle name="Nota 2 3 2 2" xfId="633" xr:uid="{00000000-0005-0000-0000-0000330C0000}"/>
    <cellStyle name="Nota 2 3 2 2 2" xfId="807" xr:uid="{00000000-0005-0000-0000-0000340C0000}"/>
    <cellStyle name="Nota 2 3 2 2 3" xfId="879" xr:uid="{00000000-0005-0000-0000-0000350C0000}"/>
    <cellStyle name="Nota 2 3 2 2 4" xfId="1426" xr:uid="{00000000-0005-0000-0000-0000360C0000}"/>
    <cellStyle name="Nota 2 3 2 2 5" xfId="1728" xr:uid="{00000000-0005-0000-0000-0000370C0000}"/>
    <cellStyle name="Nota 2 3 2 2 6" xfId="3059" xr:uid="{00000000-0005-0000-0000-0000380C0000}"/>
    <cellStyle name="Nota 2 3 2 2 7" xfId="4066" xr:uid="{00000000-0005-0000-0000-0000390C0000}"/>
    <cellStyle name="Nota 2 3 2 3" xfId="758" xr:uid="{00000000-0005-0000-0000-00003A0C0000}"/>
    <cellStyle name="Nota 2 3 2 4" xfId="839" xr:uid="{00000000-0005-0000-0000-00003B0C0000}"/>
    <cellStyle name="Nota 2 3 2 5" xfId="1207" xr:uid="{00000000-0005-0000-0000-00003C0C0000}"/>
    <cellStyle name="Nota 2 3 2 6" xfId="1267" xr:uid="{00000000-0005-0000-0000-00003D0C0000}"/>
    <cellStyle name="Nota 2 3 2 7" xfId="1835" xr:uid="{00000000-0005-0000-0000-00003E0C0000}"/>
    <cellStyle name="Nota 2 3 2 8" xfId="2565" xr:uid="{00000000-0005-0000-0000-00003F0C0000}"/>
    <cellStyle name="Nota 2 3 2 9" xfId="2844" xr:uid="{00000000-0005-0000-0000-0000400C0000}"/>
    <cellStyle name="Nota 2 3 3" xfId="511" xr:uid="{00000000-0005-0000-0000-0000410C0000}"/>
    <cellStyle name="Nota 2 3 3 2" xfId="686" xr:uid="{00000000-0005-0000-0000-0000420C0000}"/>
    <cellStyle name="Nota 2 3 3 2 2" xfId="821" xr:uid="{00000000-0005-0000-0000-0000430C0000}"/>
    <cellStyle name="Nota 2 3 3 2 3" xfId="891" xr:uid="{00000000-0005-0000-0000-0000440C0000}"/>
    <cellStyle name="Nota 2 3 3 2 4" xfId="1476" xr:uid="{00000000-0005-0000-0000-0000450C0000}"/>
    <cellStyle name="Nota 2 3 3 2 5" xfId="1778" xr:uid="{00000000-0005-0000-0000-0000460C0000}"/>
    <cellStyle name="Nota 2 3 3 2 6" xfId="3332" xr:uid="{00000000-0005-0000-0000-0000470C0000}"/>
    <cellStyle name="Nota 2 3 3 2 7" xfId="4118" xr:uid="{00000000-0005-0000-0000-0000480C0000}"/>
    <cellStyle name="Nota 2 3 3 3" xfId="771" xr:uid="{00000000-0005-0000-0000-0000490C0000}"/>
    <cellStyle name="Nota 2 3 3 4" xfId="850" xr:uid="{00000000-0005-0000-0000-00004A0C0000}"/>
    <cellStyle name="Nota 2 3 3 5" xfId="1318" xr:uid="{00000000-0005-0000-0000-00004B0C0000}"/>
    <cellStyle name="Nota 2 3 3 6" xfId="1620" xr:uid="{00000000-0005-0000-0000-00004C0C0000}"/>
    <cellStyle name="Nota 2 3 3 7" xfId="3314" xr:uid="{00000000-0005-0000-0000-00004D0C0000}"/>
    <cellStyle name="Nota 2 3 3 8" xfId="3950" xr:uid="{00000000-0005-0000-0000-00004E0C0000}"/>
    <cellStyle name="Nota 2 3 4" xfId="553" xr:uid="{00000000-0005-0000-0000-00004F0C0000}"/>
    <cellStyle name="Nota 2 3 4 2" xfId="788" xr:uid="{00000000-0005-0000-0000-0000500C0000}"/>
    <cellStyle name="Nota 2 3 4 3" xfId="866" xr:uid="{00000000-0005-0000-0000-0000510C0000}"/>
    <cellStyle name="Nota 2 3 4 4" xfId="1353" xr:uid="{00000000-0005-0000-0000-0000520C0000}"/>
    <cellStyle name="Nota 2 3 4 5" xfId="1655" xr:uid="{00000000-0005-0000-0000-0000530C0000}"/>
    <cellStyle name="Nota 2 3 4 6" xfId="3122" xr:uid="{00000000-0005-0000-0000-0000540C0000}"/>
    <cellStyle name="Nota 2 3 4 7" xfId="3989" xr:uid="{00000000-0005-0000-0000-0000550C0000}"/>
    <cellStyle name="Nota 2 3 5" xfId="406" xr:uid="{00000000-0005-0000-0000-0000560C0000}"/>
    <cellStyle name="Nota 2 3 6" xfId="1878" xr:uid="{00000000-0005-0000-0000-0000570C0000}"/>
    <cellStyle name="Nota 2 3 7" xfId="2306" xr:uid="{00000000-0005-0000-0000-0000580C0000}"/>
    <cellStyle name="Nota 2 3 8" xfId="2313" xr:uid="{00000000-0005-0000-0000-0000590C0000}"/>
    <cellStyle name="Nota 2 3 9" xfId="2319" xr:uid="{00000000-0005-0000-0000-00005A0C0000}"/>
    <cellStyle name="Nota 2 4" xfId="424" xr:uid="{00000000-0005-0000-0000-00005B0C0000}"/>
    <cellStyle name="Nota 2 4 10" xfId="2847" xr:uid="{00000000-0005-0000-0000-00005C0C0000}"/>
    <cellStyle name="Nota 2 4 11" xfId="2802" xr:uid="{00000000-0005-0000-0000-00005D0C0000}"/>
    <cellStyle name="Nota 2 4 12" xfId="3267" xr:uid="{00000000-0005-0000-0000-00005E0C0000}"/>
    <cellStyle name="Nota 2 4 13" xfId="3637" xr:uid="{00000000-0005-0000-0000-00005F0C0000}"/>
    <cellStyle name="Nota 2 4 2" xfId="614" xr:uid="{00000000-0005-0000-0000-0000600C0000}"/>
    <cellStyle name="Nota 2 4 2 2" xfId="798" xr:uid="{00000000-0005-0000-0000-0000610C0000}"/>
    <cellStyle name="Nota 2 4 2 3" xfId="871" xr:uid="{00000000-0005-0000-0000-0000620C0000}"/>
    <cellStyle name="Nota 2 4 2 4" xfId="1407" xr:uid="{00000000-0005-0000-0000-0000630C0000}"/>
    <cellStyle name="Nota 2 4 2 5" xfId="1709" xr:uid="{00000000-0005-0000-0000-0000640C0000}"/>
    <cellStyle name="Nota 2 4 2 6" xfId="3077" xr:uid="{00000000-0005-0000-0000-0000650C0000}"/>
    <cellStyle name="Nota 2 4 2 7" xfId="4047" xr:uid="{00000000-0005-0000-0000-0000660C0000}"/>
    <cellStyle name="Nota 2 4 3" xfId="747" xr:uid="{00000000-0005-0000-0000-0000670C0000}"/>
    <cellStyle name="Nota 2 4 4" xfId="829" xr:uid="{00000000-0005-0000-0000-0000680C0000}"/>
    <cellStyle name="Nota 2 4 5" xfId="915" xr:uid="{00000000-0005-0000-0000-0000690C0000}"/>
    <cellStyle name="Nota 2 4 6" xfId="1248" xr:uid="{00000000-0005-0000-0000-00006A0C0000}"/>
    <cellStyle name="Nota 2 4 7" xfId="1554" xr:uid="{00000000-0005-0000-0000-00006B0C0000}"/>
    <cellStyle name="Nota 2 4 8" xfId="2566" xr:uid="{00000000-0005-0000-0000-00006C0C0000}"/>
    <cellStyle name="Nota 2 4 9" xfId="2820" xr:uid="{00000000-0005-0000-0000-00006D0C0000}"/>
    <cellStyle name="Nota 2 5" xfId="490" xr:uid="{00000000-0005-0000-0000-00006E0C0000}"/>
    <cellStyle name="Nota 2 5 2" xfId="666" xr:uid="{00000000-0005-0000-0000-00006F0C0000}"/>
    <cellStyle name="Nota 2 5 2 2" xfId="810" xr:uid="{00000000-0005-0000-0000-0000700C0000}"/>
    <cellStyle name="Nota 2 5 2 3" xfId="883" xr:uid="{00000000-0005-0000-0000-0000710C0000}"/>
    <cellStyle name="Nota 2 5 2 4" xfId="1457" xr:uid="{00000000-0005-0000-0000-0000720C0000}"/>
    <cellStyle name="Nota 2 5 2 5" xfId="1759" xr:uid="{00000000-0005-0000-0000-0000730C0000}"/>
    <cellStyle name="Nota 2 5 2 6" xfId="3024" xr:uid="{00000000-0005-0000-0000-0000740C0000}"/>
    <cellStyle name="Nota 2 5 2 7" xfId="4099" xr:uid="{00000000-0005-0000-0000-0000750C0000}"/>
    <cellStyle name="Nota 2 5 3" xfId="761" xr:uid="{00000000-0005-0000-0000-0000760C0000}"/>
    <cellStyle name="Nota 2 5 4" xfId="842" xr:uid="{00000000-0005-0000-0000-0000770C0000}"/>
    <cellStyle name="Nota 2 5 5" xfId="1298" xr:uid="{00000000-0005-0000-0000-0000780C0000}"/>
    <cellStyle name="Nota 2 5 6" xfId="1607" xr:uid="{00000000-0005-0000-0000-0000790C0000}"/>
    <cellStyle name="Nota 2 5 7" xfId="3169" xr:uid="{00000000-0005-0000-0000-00007A0C0000}"/>
    <cellStyle name="Nota 2 5 8" xfId="3931" xr:uid="{00000000-0005-0000-0000-00007B0C0000}"/>
    <cellStyle name="Nota 2 6" xfId="533" xr:uid="{00000000-0005-0000-0000-00007C0C0000}"/>
    <cellStyle name="Nota 2 6 2" xfId="778" xr:uid="{00000000-0005-0000-0000-00007D0C0000}"/>
    <cellStyle name="Nota 2 6 3" xfId="857" xr:uid="{00000000-0005-0000-0000-00007E0C0000}"/>
    <cellStyle name="Nota 2 6 4" xfId="1334" xr:uid="{00000000-0005-0000-0000-00007F0C0000}"/>
    <cellStyle name="Nota 2 6 5" xfId="1636" xr:uid="{00000000-0005-0000-0000-0000800C0000}"/>
    <cellStyle name="Nota 2 6 6" xfId="3144" xr:uid="{00000000-0005-0000-0000-0000810C0000}"/>
    <cellStyle name="Nota 2 6 7" xfId="3970" xr:uid="{00000000-0005-0000-0000-0000820C0000}"/>
    <cellStyle name="Nota 2 7" xfId="407" xr:uid="{00000000-0005-0000-0000-0000830C0000}"/>
    <cellStyle name="Nota 2 8" xfId="1880" xr:uid="{00000000-0005-0000-0000-0000840C0000}"/>
    <cellStyle name="Nota 2 9" xfId="1942" xr:uid="{00000000-0005-0000-0000-0000850C0000}"/>
    <cellStyle name="Nota 3" xfId="423" xr:uid="{00000000-0005-0000-0000-0000860C0000}"/>
    <cellStyle name="Nota 3 2" xfId="613" xr:uid="{00000000-0005-0000-0000-0000870C0000}"/>
    <cellStyle name="Nota 3 2 2" xfId="1087" xr:uid="{00000000-0005-0000-0000-0000880C0000}"/>
    <cellStyle name="Nota 3 2 3" xfId="1406" xr:uid="{00000000-0005-0000-0000-0000890C0000}"/>
    <cellStyle name="Nota 3 2 4" xfId="1708" xr:uid="{00000000-0005-0000-0000-00008A0C0000}"/>
    <cellStyle name="Nota 3 2 5" xfId="3078" xr:uid="{00000000-0005-0000-0000-00008B0C0000}"/>
    <cellStyle name="Nota 3 2 6" xfId="4046" xr:uid="{00000000-0005-0000-0000-00008C0C0000}"/>
    <cellStyle name="Nota 3 3" xfId="938" xr:uid="{00000000-0005-0000-0000-00008D0C0000}"/>
    <cellStyle name="Nota 3 4" xfId="1247" xr:uid="{00000000-0005-0000-0000-00008E0C0000}"/>
    <cellStyle name="Nota 3 5" xfId="1564" xr:uid="{00000000-0005-0000-0000-00008F0C0000}"/>
    <cellStyle name="Nota 3 6" xfId="2819" xr:uid="{00000000-0005-0000-0000-0000900C0000}"/>
    <cellStyle name="Nota 3 7" xfId="3266" xr:uid="{00000000-0005-0000-0000-0000910C0000}"/>
    <cellStyle name="Nota 3 8" xfId="3625" xr:uid="{00000000-0005-0000-0000-0000920C0000}"/>
    <cellStyle name="Nota 3 9" xfId="3887" xr:uid="{00000000-0005-0000-0000-0000930C0000}"/>
    <cellStyle name="Nota 4" xfId="461" xr:uid="{00000000-0005-0000-0000-0000940C0000}"/>
    <cellStyle name="Nota 4 2" xfId="637" xr:uid="{00000000-0005-0000-0000-0000950C0000}"/>
    <cellStyle name="Nota 4 2 2" xfId="1108" xr:uid="{00000000-0005-0000-0000-0000960C0000}"/>
    <cellStyle name="Nota 4 2 3" xfId="1430" xr:uid="{00000000-0005-0000-0000-0000970C0000}"/>
    <cellStyle name="Nota 4 2 4" xfId="1732" xr:uid="{00000000-0005-0000-0000-0000980C0000}"/>
    <cellStyle name="Nota 4 2 5" xfId="3055" xr:uid="{00000000-0005-0000-0000-0000990C0000}"/>
    <cellStyle name="Nota 4 2 6" xfId="4070" xr:uid="{00000000-0005-0000-0000-00009A0C0000}"/>
    <cellStyle name="Nota 4 3" xfId="959" xr:uid="{00000000-0005-0000-0000-00009B0C0000}"/>
    <cellStyle name="Nota 4 4" xfId="1271" xr:uid="{00000000-0005-0000-0000-00009C0C0000}"/>
    <cellStyle name="Nota 4 5" xfId="1580" xr:uid="{00000000-0005-0000-0000-00009D0C0000}"/>
    <cellStyle name="Nota 4 6" xfId="3286" xr:uid="{00000000-0005-0000-0000-00009E0C0000}"/>
    <cellStyle name="Nota 4 7" xfId="3903" xr:uid="{00000000-0005-0000-0000-00009F0C0000}"/>
    <cellStyle name="Nota 5" xfId="475" xr:uid="{00000000-0005-0000-0000-0000A00C0000}"/>
    <cellStyle name="Nota 5 2" xfId="651" xr:uid="{00000000-0005-0000-0000-0000A10C0000}"/>
    <cellStyle name="Nota 5 2 2" xfId="1122" xr:uid="{00000000-0005-0000-0000-0000A20C0000}"/>
    <cellStyle name="Nota 5 2 3" xfId="1444" xr:uid="{00000000-0005-0000-0000-0000A30C0000}"/>
    <cellStyle name="Nota 5 2 4" xfId="1746" xr:uid="{00000000-0005-0000-0000-0000A40C0000}"/>
    <cellStyle name="Nota 5 2 5" xfId="3040" xr:uid="{00000000-0005-0000-0000-0000A50C0000}"/>
    <cellStyle name="Nota 5 2 6" xfId="4084" xr:uid="{00000000-0005-0000-0000-0000A60C0000}"/>
    <cellStyle name="Nota 5 3" xfId="973" xr:uid="{00000000-0005-0000-0000-0000A70C0000}"/>
    <cellStyle name="Nota 5 4" xfId="1285" xr:uid="{00000000-0005-0000-0000-0000A80C0000}"/>
    <cellStyle name="Nota 5 5" xfId="1594" xr:uid="{00000000-0005-0000-0000-0000A90C0000}"/>
    <cellStyle name="Nota 5 6" xfId="3294" xr:uid="{00000000-0005-0000-0000-0000AA0C0000}"/>
    <cellStyle name="Nota 5 7" xfId="3917" xr:uid="{00000000-0005-0000-0000-0000AB0C0000}"/>
    <cellStyle name="Nota 6" xfId="518" xr:uid="{00000000-0005-0000-0000-0000AC0C0000}"/>
    <cellStyle name="Nota 6 2" xfId="693" xr:uid="{00000000-0005-0000-0000-0000AD0C0000}"/>
    <cellStyle name="Nota 6 2 2" xfId="1154" xr:uid="{00000000-0005-0000-0000-0000AE0C0000}"/>
    <cellStyle name="Nota 6 2 3" xfId="1479" xr:uid="{00000000-0005-0000-0000-0000AF0C0000}"/>
    <cellStyle name="Nota 6 2 4" xfId="1781" xr:uid="{00000000-0005-0000-0000-0000B00C0000}"/>
    <cellStyle name="Nota 6 2 5" xfId="3009" xr:uid="{00000000-0005-0000-0000-0000B10C0000}"/>
    <cellStyle name="Nota 6 2 6" xfId="4125" xr:uid="{00000000-0005-0000-0000-0000B20C0000}"/>
    <cellStyle name="Nota 6 3" xfId="1005" xr:uid="{00000000-0005-0000-0000-0000B30C0000}"/>
    <cellStyle name="Nota 6 4" xfId="1321" xr:uid="{00000000-0005-0000-0000-0000B40C0000}"/>
    <cellStyle name="Nota 6 5" xfId="1623" xr:uid="{00000000-0005-0000-0000-0000B50C0000}"/>
    <cellStyle name="Nota 6 6" xfId="3159" xr:uid="{00000000-0005-0000-0000-0000B60C0000}"/>
    <cellStyle name="Nota 6 7" xfId="3955" xr:uid="{00000000-0005-0000-0000-0000B70C0000}"/>
    <cellStyle name="Nota 7" xfId="735" xr:uid="{00000000-0005-0000-0000-0000B80C0000}"/>
    <cellStyle name="Nota 7 2" xfId="1196" xr:uid="{00000000-0005-0000-0000-0000B90C0000}"/>
    <cellStyle name="Nota 7 3" xfId="1521" xr:uid="{00000000-0005-0000-0000-0000BA0C0000}"/>
    <cellStyle name="Nota 7 4" xfId="1823" xr:uid="{00000000-0005-0000-0000-0000BB0C0000}"/>
    <cellStyle name="Nota 7 5" xfId="3374" xr:uid="{00000000-0005-0000-0000-0000BC0C0000}"/>
    <cellStyle name="Nota 7 6" xfId="4167" xr:uid="{00000000-0005-0000-0000-0000BD0C0000}"/>
    <cellStyle name="Nota 8" xfId="1928" xr:uid="{00000000-0005-0000-0000-0000BE0C0000}"/>
    <cellStyle name="Nota 9" xfId="2362" xr:uid="{00000000-0005-0000-0000-0000BF0C0000}"/>
    <cellStyle name="Notas 2" xfId="2216" xr:uid="{00000000-0005-0000-0000-0000C00C0000}"/>
    <cellStyle name="Notas 2 2" xfId="2217" xr:uid="{00000000-0005-0000-0000-0000C10C0000}"/>
    <cellStyle name="Notas 2 2 2" xfId="2218" xr:uid="{00000000-0005-0000-0000-0000C20C0000}"/>
    <cellStyle name="Notas 2 2 2 2" xfId="2219" xr:uid="{00000000-0005-0000-0000-0000C30C0000}"/>
    <cellStyle name="Notas 2 2 2 2 2" xfId="2535" xr:uid="{00000000-0005-0000-0000-0000C40C0000}"/>
    <cellStyle name="Notas 2 2 2 2 3" xfId="2764" xr:uid="{00000000-0005-0000-0000-0000C50C0000}"/>
    <cellStyle name="Notas 2 2 2 2 4" xfId="3222" xr:uid="{00000000-0005-0000-0000-0000C60C0000}"/>
    <cellStyle name="Notas 2 2 2 2 5" xfId="3572" xr:uid="{00000000-0005-0000-0000-0000C70C0000}"/>
    <cellStyle name="Notas 2 2 2 2 6" xfId="3834" xr:uid="{00000000-0005-0000-0000-0000C80C0000}"/>
    <cellStyle name="Notas 2 2 2 3" xfId="2534" xr:uid="{00000000-0005-0000-0000-0000C90C0000}"/>
    <cellStyle name="Notas 2 2 2 4" xfId="2763" xr:uid="{00000000-0005-0000-0000-0000CA0C0000}"/>
    <cellStyle name="Notas 2 2 2 5" xfId="3221" xr:uid="{00000000-0005-0000-0000-0000CB0C0000}"/>
    <cellStyle name="Notas 2 2 2 6" xfId="3571" xr:uid="{00000000-0005-0000-0000-0000CC0C0000}"/>
    <cellStyle name="Notas 2 2 2 7" xfId="3833" xr:uid="{00000000-0005-0000-0000-0000CD0C0000}"/>
    <cellStyle name="Notas 2 2 3" xfId="2220" xr:uid="{00000000-0005-0000-0000-0000CE0C0000}"/>
    <cellStyle name="Notas 2 2 3 2" xfId="2536" xr:uid="{00000000-0005-0000-0000-0000CF0C0000}"/>
    <cellStyle name="Notas 2 2 3 3" xfId="2765" xr:uid="{00000000-0005-0000-0000-0000D00C0000}"/>
    <cellStyle name="Notas 2 2 3 4" xfId="3223" xr:uid="{00000000-0005-0000-0000-0000D10C0000}"/>
    <cellStyle name="Notas 2 2 3 5" xfId="3573" xr:uid="{00000000-0005-0000-0000-0000D20C0000}"/>
    <cellStyle name="Notas 2 2 3 6" xfId="3835" xr:uid="{00000000-0005-0000-0000-0000D30C0000}"/>
    <cellStyle name="Notas 2 2 4" xfId="2533" xr:uid="{00000000-0005-0000-0000-0000D40C0000}"/>
    <cellStyle name="Notas 2 2 5" xfId="2762" xr:uid="{00000000-0005-0000-0000-0000D50C0000}"/>
    <cellStyle name="Notas 2 2 6" xfId="3220" xr:uid="{00000000-0005-0000-0000-0000D60C0000}"/>
    <cellStyle name="Notas 2 2 7" xfId="3570" xr:uid="{00000000-0005-0000-0000-0000D70C0000}"/>
    <cellStyle name="Notas 2 2 8" xfId="3832" xr:uid="{00000000-0005-0000-0000-0000D80C0000}"/>
    <cellStyle name="Notas 2 3" xfId="2221" xr:uid="{00000000-0005-0000-0000-0000D90C0000}"/>
    <cellStyle name="Notas 2 3 2" xfId="2222" xr:uid="{00000000-0005-0000-0000-0000DA0C0000}"/>
    <cellStyle name="Notas 2 3 2 2" xfId="2538" xr:uid="{00000000-0005-0000-0000-0000DB0C0000}"/>
    <cellStyle name="Notas 2 3 2 3" xfId="2767" xr:uid="{00000000-0005-0000-0000-0000DC0C0000}"/>
    <cellStyle name="Notas 2 3 2 4" xfId="3225" xr:uid="{00000000-0005-0000-0000-0000DD0C0000}"/>
    <cellStyle name="Notas 2 3 2 5" xfId="3575" xr:uid="{00000000-0005-0000-0000-0000DE0C0000}"/>
    <cellStyle name="Notas 2 3 2 6" xfId="3837" xr:uid="{00000000-0005-0000-0000-0000DF0C0000}"/>
    <cellStyle name="Notas 2 3 3" xfId="2537" xr:uid="{00000000-0005-0000-0000-0000E00C0000}"/>
    <cellStyle name="Notas 2 3 4" xfId="2766" xr:uid="{00000000-0005-0000-0000-0000E10C0000}"/>
    <cellStyle name="Notas 2 3 5" xfId="3224" xr:uid="{00000000-0005-0000-0000-0000E20C0000}"/>
    <cellStyle name="Notas 2 3 6" xfId="3574" xr:uid="{00000000-0005-0000-0000-0000E30C0000}"/>
    <cellStyle name="Notas 2 3 7" xfId="3836" xr:uid="{00000000-0005-0000-0000-0000E40C0000}"/>
    <cellStyle name="Notas 2 4" xfId="2223" xr:uid="{00000000-0005-0000-0000-0000E50C0000}"/>
    <cellStyle name="Notas 2 4 2" xfId="2539" xr:uid="{00000000-0005-0000-0000-0000E60C0000}"/>
    <cellStyle name="Notas 2 4 3" xfId="2768" xr:uid="{00000000-0005-0000-0000-0000E70C0000}"/>
    <cellStyle name="Notas 2 4 4" xfId="3226" xr:uid="{00000000-0005-0000-0000-0000E80C0000}"/>
    <cellStyle name="Notas 2 4 5" xfId="3576" xr:uid="{00000000-0005-0000-0000-0000E90C0000}"/>
    <cellStyle name="Notas 2 4 6" xfId="3838" xr:uid="{00000000-0005-0000-0000-0000EA0C0000}"/>
    <cellStyle name="Notas 2 5" xfId="2532" xr:uid="{00000000-0005-0000-0000-0000EB0C0000}"/>
    <cellStyle name="Notas 2 6" xfId="2761" xr:uid="{00000000-0005-0000-0000-0000EC0C0000}"/>
    <cellStyle name="Notas 2 7" xfId="3219" xr:uid="{00000000-0005-0000-0000-0000ED0C0000}"/>
    <cellStyle name="Notas 2 8" xfId="3569" xr:uid="{00000000-0005-0000-0000-0000EE0C0000}"/>
    <cellStyle name="Notas 2 9" xfId="3831" xr:uid="{00000000-0005-0000-0000-0000EF0C0000}"/>
    <cellStyle name="Notas 3" xfId="2224" xr:uid="{00000000-0005-0000-0000-0000F00C0000}"/>
    <cellStyle name="Notas 3 2" xfId="2225" xr:uid="{00000000-0005-0000-0000-0000F10C0000}"/>
    <cellStyle name="Notas 3 2 2" xfId="2226" xr:uid="{00000000-0005-0000-0000-0000F20C0000}"/>
    <cellStyle name="Notas 3 2 2 2" xfId="2542" xr:uid="{00000000-0005-0000-0000-0000F30C0000}"/>
    <cellStyle name="Notas 3 2 2 3" xfId="2771" xr:uid="{00000000-0005-0000-0000-0000F40C0000}"/>
    <cellStyle name="Notas 3 2 2 4" xfId="3229" xr:uid="{00000000-0005-0000-0000-0000F50C0000}"/>
    <cellStyle name="Notas 3 2 2 5" xfId="3579" xr:uid="{00000000-0005-0000-0000-0000F60C0000}"/>
    <cellStyle name="Notas 3 2 2 6" xfId="3841" xr:uid="{00000000-0005-0000-0000-0000F70C0000}"/>
    <cellStyle name="Notas 3 2 3" xfId="2541" xr:uid="{00000000-0005-0000-0000-0000F80C0000}"/>
    <cellStyle name="Notas 3 2 4" xfId="2770" xr:uid="{00000000-0005-0000-0000-0000F90C0000}"/>
    <cellStyle name="Notas 3 2 5" xfId="3228" xr:uid="{00000000-0005-0000-0000-0000FA0C0000}"/>
    <cellStyle name="Notas 3 2 6" xfId="3578" xr:uid="{00000000-0005-0000-0000-0000FB0C0000}"/>
    <cellStyle name="Notas 3 2 7" xfId="3840" xr:uid="{00000000-0005-0000-0000-0000FC0C0000}"/>
    <cellStyle name="Notas 3 3" xfId="2227" xr:uid="{00000000-0005-0000-0000-0000FD0C0000}"/>
    <cellStyle name="Notas 3 3 2" xfId="2543" xr:uid="{00000000-0005-0000-0000-0000FE0C0000}"/>
    <cellStyle name="Notas 3 3 3" xfId="2772" xr:uid="{00000000-0005-0000-0000-0000FF0C0000}"/>
    <cellStyle name="Notas 3 3 4" xfId="3230" xr:uid="{00000000-0005-0000-0000-0000000D0000}"/>
    <cellStyle name="Notas 3 3 5" xfId="3580" xr:uid="{00000000-0005-0000-0000-0000010D0000}"/>
    <cellStyle name="Notas 3 3 6" xfId="3842" xr:uid="{00000000-0005-0000-0000-0000020D0000}"/>
    <cellStyle name="Notas 3 4" xfId="2540" xr:uid="{00000000-0005-0000-0000-0000030D0000}"/>
    <cellStyle name="Notas 3 5" xfId="2769" xr:uid="{00000000-0005-0000-0000-0000040D0000}"/>
    <cellStyle name="Notas 3 6" xfId="3227" xr:uid="{00000000-0005-0000-0000-0000050D0000}"/>
    <cellStyle name="Notas 3 7" xfId="3577" xr:uid="{00000000-0005-0000-0000-0000060D0000}"/>
    <cellStyle name="Notas 3 8" xfId="3839" xr:uid="{00000000-0005-0000-0000-0000070D0000}"/>
    <cellStyle name="Notas 4" xfId="2228" xr:uid="{00000000-0005-0000-0000-0000080D0000}"/>
    <cellStyle name="Notas 4 10" xfId="2338" xr:uid="{00000000-0005-0000-0000-0000090D0000}"/>
    <cellStyle name="Notas 4 11" xfId="2544" xr:uid="{00000000-0005-0000-0000-00000A0D0000}"/>
    <cellStyle name="Notas 4 12" xfId="3231" xr:uid="{00000000-0005-0000-0000-00000B0D0000}"/>
    <cellStyle name="Notas 4 13" xfId="3581" xr:uid="{00000000-0005-0000-0000-00000C0D0000}"/>
    <cellStyle name="Notas 4 14" xfId="3843" xr:uid="{00000000-0005-0000-0000-00000D0D0000}"/>
    <cellStyle name="Notas 4 2" xfId="2303" xr:uid="{00000000-0005-0000-0000-00000E0D0000}"/>
    <cellStyle name="Notas 4 3" xfId="2309" xr:uid="{00000000-0005-0000-0000-00000F0D0000}"/>
    <cellStyle name="Notas 4 4" xfId="2253" xr:uid="{00000000-0005-0000-0000-0000100D0000}"/>
    <cellStyle name="Notas 4 5" xfId="2302" xr:uid="{00000000-0005-0000-0000-0000110D0000}"/>
    <cellStyle name="Notas 4 6" xfId="1900" xr:uid="{00000000-0005-0000-0000-0000120D0000}"/>
    <cellStyle name="Notas 4 7" xfId="1923" xr:uid="{00000000-0005-0000-0000-0000130D0000}"/>
    <cellStyle name="Notas 4 8" xfId="2296" xr:uid="{00000000-0005-0000-0000-0000140D0000}"/>
    <cellStyle name="Notas 4 9" xfId="2331" xr:uid="{00000000-0005-0000-0000-0000150D0000}"/>
    <cellStyle name="Note" xfId="2229" xr:uid="{00000000-0005-0000-0000-0000160D0000}"/>
    <cellStyle name="Note 10" xfId="2339" xr:uid="{00000000-0005-0000-0000-0000170D0000}"/>
    <cellStyle name="Note 11" xfId="2545" xr:uid="{00000000-0005-0000-0000-0000180D0000}"/>
    <cellStyle name="Note 12" xfId="3232" xr:uid="{00000000-0005-0000-0000-0000190D0000}"/>
    <cellStyle name="Note 13" xfId="3582" xr:uid="{00000000-0005-0000-0000-00001A0D0000}"/>
    <cellStyle name="Note 14" xfId="3844" xr:uid="{00000000-0005-0000-0000-00001B0D0000}"/>
    <cellStyle name="Note 2" xfId="2304" xr:uid="{00000000-0005-0000-0000-00001C0D0000}"/>
    <cellStyle name="Note 3" xfId="2310" xr:uid="{00000000-0005-0000-0000-00001D0D0000}"/>
    <cellStyle name="Note 4" xfId="2254" xr:uid="{00000000-0005-0000-0000-00001E0D0000}"/>
    <cellStyle name="Note 5" xfId="2301" xr:uid="{00000000-0005-0000-0000-00001F0D0000}"/>
    <cellStyle name="Note 6" xfId="1899" xr:uid="{00000000-0005-0000-0000-0000200D0000}"/>
    <cellStyle name="Note 7" xfId="2325" xr:uid="{00000000-0005-0000-0000-0000210D0000}"/>
    <cellStyle name="Note 8" xfId="1881" xr:uid="{00000000-0005-0000-0000-0000220D0000}"/>
    <cellStyle name="Note 9" xfId="2332" xr:uid="{00000000-0005-0000-0000-0000230D0000}"/>
    <cellStyle name="Œ…‹æØ‚è [0.00]_laroux" xfId="272" xr:uid="{00000000-0005-0000-0000-0000240D0000}"/>
    <cellStyle name="Œ…‹æØ‚è_laroux" xfId="273" xr:uid="{00000000-0005-0000-0000-0000250D0000}"/>
    <cellStyle name="Output" xfId="2230" xr:uid="{00000000-0005-0000-0000-0000260D0000}"/>
    <cellStyle name="Output 10" xfId="2340" xr:uid="{00000000-0005-0000-0000-0000270D0000}"/>
    <cellStyle name="Output 11" xfId="2546" xr:uid="{00000000-0005-0000-0000-0000280D0000}"/>
    <cellStyle name="Output 12" xfId="3233" xr:uid="{00000000-0005-0000-0000-0000290D0000}"/>
    <cellStyle name="Output 2" xfId="2305" xr:uid="{00000000-0005-0000-0000-00002A0D0000}"/>
    <cellStyle name="Output 3" xfId="2311" xr:uid="{00000000-0005-0000-0000-00002B0D0000}"/>
    <cellStyle name="Output 4" xfId="1957" xr:uid="{00000000-0005-0000-0000-00002C0D0000}"/>
    <cellStyle name="Output 5" xfId="1921" xr:uid="{00000000-0005-0000-0000-00002D0D0000}"/>
    <cellStyle name="Output 6" xfId="2297" xr:uid="{00000000-0005-0000-0000-00002E0D0000}"/>
    <cellStyle name="Output 7" xfId="2287" xr:uid="{00000000-0005-0000-0000-00002F0D0000}"/>
    <cellStyle name="Output 8" xfId="1887" xr:uid="{00000000-0005-0000-0000-0000300D0000}"/>
    <cellStyle name="Output 9" xfId="2333" xr:uid="{00000000-0005-0000-0000-0000310D0000}"/>
    <cellStyle name="Percent [0]" xfId="274" xr:uid="{00000000-0005-0000-0000-0000320D0000}"/>
    <cellStyle name="Percent [00]" xfId="275" xr:uid="{00000000-0005-0000-0000-0000330D0000}"/>
    <cellStyle name="Percent [2]" xfId="276" xr:uid="{00000000-0005-0000-0000-0000340D0000}"/>
    <cellStyle name="Percent 2" xfId="277" xr:uid="{00000000-0005-0000-0000-0000350D0000}"/>
    <cellStyle name="Percent 3" xfId="278" xr:uid="{00000000-0005-0000-0000-0000360D0000}"/>
    <cellStyle name="Porcentagem" xfId="1" builtinId="5"/>
    <cellStyle name="Porcentagem 10" xfId="460" xr:uid="{00000000-0005-0000-0000-0000380D0000}"/>
    <cellStyle name="Porcentagem 10 2" xfId="636" xr:uid="{00000000-0005-0000-0000-0000390D0000}"/>
    <cellStyle name="Porcentagem 10 2 2" xfId="1107" xr:uid="{00000000-0005-0000-0000-00003A0D0000}"/>
    <cellStyle name="Porcentagem 10 2 3" xfId="1429" xr:uid="{00000000-0005-0000-0000-00003B0D0000}"/>
    <cellStyle name="Porcentagem 10 2 4" xfId="1731" xr:uid="{00000000-0005-0000-0000-00003C0D0000}"/>
    <cellStyle name="Porcentagem 10 2 5" xfId="3056" xr:uid="{00000000-0005-0000-0000-00003D0D0000}"/>
    <cellStyle name="Porcentagem 10 2 6" xfId="4069" xr:uid="{00000000-0005-0000-0000-00003E0D0000}"/>
    <cellStyle name="Porcentagem 10 3" xfId="958" xr:uid="{00000000-0005-0000-0000-00003F0D0000}"/>
    <cellStyle name="Porcentagem 10 4" xfId="1270" xr:uid="{00000000-0005-0000-0000-0000400D0000}"/>
    <cellStyle name="Porcentagem 10 5" xfId="1579" xr:uid="{00000000-0005-0000-0000-0000410D0000}"/>
    <cellStyle name="Porcentagem 10 6" xfId="3285" xr:uid="{00000000-0005-0000-0000-0000420D0000}"/>
    <cellStyle name="Porcentagem 10 7" xfId="3902" xr:uid="{00000000-0005-0000-0000-0000430D0000}"/>
    <cellStyle name="Porcentagem 11" xfId="503" xr:uid="{00000000-0005-0000-0000-0000440D0000}"/>
    <cellStyle name="Porcentagem 11 2" xfId="679" xr:uid="{00000000-0005-0000-0000-0000450D0000}"/>
    <cellStyle name="Porcentagem 11 2 2" xfId="1146" xr:uid="{00000000-0005-0000-0000-0000460D0000}"/>
    <cellStyle name="Porcentagem 11 2 3" xfId="1469" xr:uid="{00000000-0005-0000-0000-0000470D0000}"/>
    <cellStyle name="Porcentagem 11 2 4" xfId="1771" xr:uid="{00000000-0005-0000-0000-0000480D0000}"/>
    <cellStyle name="Porcentagem 11 2 5" xfId="3011" xr:uid="{00000000-0005-0000-0000-0000490D0000}"/>
    <cellStyle name="Porcentagem 11 2 6" xfId="4111" xr:uid="{00000000-0005-0000-0000-00004A0D0000}"/>
    <cellStyle name="Porcentagem 11 3" xfId="997" xr:uid="{00000000-0005-0000-0000-00004B0D0000}"/>
    <cellStyle name="Porcentagem 11 4" xfId="1311" xr:uid="{00000000-0005-0000-0000-00004C0D0000}"/>
    <cellStyle name="Porcentagem 11 5" xfId="1618" xr:uid="{00000000-0005-0000-0000-00004D0D0000}"/>
    <cellStyle name="Porcentagem 11 6" xfId="3307" xr:uid="{00000000-0005-0000-0000-00004E0D0000}"/>
    <cellStyle name="Porcentagem 11 7" xfId="3943" xr:uid="{00000000-0005-0000-0000-00004F0D0000}"/>
    <cellStyle name="Porcentagem 12" xfId="546" xr:uid="{00000000-0005-0000-0000-0000500D0000}"/>
    <cellStyle name="Porcentagem 12 2" xfId="716" xr:uid="{00000000-0005-0000-0000-0000510D0000}"/>
    <cellStyle name="Porcentagem 12 2 2" xfId="1177" xr:uid="{00000000-0005-0000-0000-0000520D0000}"/>
    <cellStyle name="Porcentagem 12 2 3" xfId="1502" xr:uid="{00000000-0005-0000-0000-0000530D0000}"/>
    <cellStyle name="Porcentagem 12 2 4" xfId="1804" xr:uid="{00000000-0005-0000-0000-0000540D0000}"/>
    <cellStyle name="Porcentagem 12 2 5" xfId="3355" xr:uid="{00000000-0005-0000-0000-0000550D0000}"/>
    <cellStyle name="Porcentagem 12 2 6" xfId="4148" xr:uid="{00000000-0005-0000-0000-0000560D0000}"/>
    <cellStyle name="Porcentagem 12 3" xfId="1029" xr:uid="{00000000-0005-0000-0000-0000570D0000}"/>
    <cellStyle name="Porcentagem 12 4" xfId="1346" xr:uid="{00000000-0005-0000-0000-0000580D0000}"/>
    <cellStyle name="Porcentagem 12 5" xfId="1648" xr:uid="{00000000-0005-0000-0000-0000590D0000}"/>
    <cellStyle name="Porcentagem 12 6" xfId="3129" xr:uid="{00000000-0005-0000-0000-00005A0D0000}"/>
    <cellStyle name="Porcentagem 12 7" xfId="3982" xr:uid="{00000000-0005-0000-0000-00005B0D0000}"/>
    <cellStyle name="Porcentagem 13" xfId="558" xr:uid="{00000000-0005-0000-0000-00005C0D0000}"/>
    <cellStyle name="Porcentagem 13 2" xfId="1035" xr:uid="{00000000-0005-0000-0000-00005D0D0000}"/>
    <cellStyle name="Porcentagem 13 3" xfId="1354" xr:uid="{00000000-0005-0000-0000-00005E0D0000}"/>
    <cellStyle name="Porcentagem 13 4" xfId="1656" xr:uid="{00000000-0005-0000-0000-00005F0D0000}"/>
    <cellStyle name="Porcentagem 13 5" xfId="3117" xr:uid="{00000000-0005-0000-0000-0000600D0000}"/>
    <cellStyle name="Porcentagem 13 6" xfId="3994" xr:uid="{00000000-0005-0000-0000-0000610D0000}"/>
    <cellStyle name="Porcentagem 14" xfId="580" xr:uid="{00000000-0005-0000-0000-0000620D0000}"/>
    <cellStyle name="Porcentagem 14 2" xfId="1054" xr:uid="{00000000-0005-0000-0000-0000630D0000}"/>
    <cellStyle name="Porcentagem 14 3" xfId="1373" xr:uid="{00000000-0005-0000-0000-0000640D0000}"/>
    <cellStyle name="Porcentagem 14 4" xfId="1675" xr:uid="{00000000-0005-0000-0000-0000650D0000}"/>
    <cellStyle name="Porcentagem 14 5" xfId="3101" xr:uid="{00000000-0005-0000-0000-0000660D0000}"/>
    <cellStyle name="Porcentagem 14 6" xfId="4013" xr:uid="{00000000-0005-0000-0000-0000670D0000}"/>
    <cellStyle name="Porcentagem 15" xfId="736" xr:uid="{00000000-0005-0000-0000-0000680D0000}"/>
    <cellStyle name="Porcentagem 15 2" xfId="1197" xr:uid="{00000000-0005-0000-0000-0000690D0000}"/>
    <cellStyle name="Porcentagem 15 3" xfId="1522" xr:uid="{00000000-0005-0000-0000-00006A0D0000}"/>
    <cellStyle name="Porcentagem 15 4" xfId="1824" xr:uid="{00000000-0005-0000-0000-00006B0D0000}"/>
    <cellStyle name="Porcentagem 15 5" xfId="3375" xr:uid="{00000000-0005-0000-0000-00006C0D0000}"/>
    <cellStyle name="Porcentagem 15 6" xfId="4168" xr:uid="{00000000-0005-0000-0000-00006D0D0000}"/>
    <cellStyle name="Porcentagem 16" xfId="387" xr:uid="{00000000-0005-0000-0000-00006E0D0000}"/>
    <cellStyle name="Porcentagem 17" xfId="900" xr:uid="{00000000-0005-0000-0000-00006F0D0000}"/>
    <cellStyle name="Porcentagem 18" xfId="1215" xr:uid="{00000000-0005-0000-0000-0000700D0000}"/>
    <cellStyle name="Porcentagem 19" xfId="1528" xr:uid="{00000000-0005-0000-0000-0000710D0000}"/>
    <cellStyle name="Porcentagem 2" xfId="7" xr:uid="{00000000-0005-0000-0000-0000720D0000}"/>
    <cellStyle name="Porcentagem 2 10" xfId="1529" xr:uid="{00000000-0005-0000-0000-0000730D0000}"/>
    <cellStyle name="Porcentagem 2 11" xfId="2779" xr:uid="{00000000-0005-0000-0000-0000740D0000}"/>
    <cellStyle name="Porcentagem 2 12" xfId="3594" xr:uid="{00000000-0005-0000-0000-0000750D0000}"/>
    <cellStyle name="Porcentagem 2 13" xfId="3856" xr:uid="{00000000-0005-0000-0000-0000760D0000}"/>
    <cellStyle name="Porcentagem 2 14" xfId="366" xr:uid="{00000000-0005-0000-0000-0000770D0000}"/>
    <cellStyle name="Porcentagem 2 2" xfId="279" xr:uid="{00000000-0005-0000-0000-0000780D0000}"/>
    <cellStyle name="Porcentagem 2 3" xfId="280" xr:uid="{00000000-0005-0000-0000-0000790D0000}"/>
    <cellStyle name="Porcentagem 2 3 10" xfId="1230" xr:uid="{00000000-0005-0000-0000-00007A0D0000}"/>
    <cellStyle name="Porcentagem 2 3 11" xfId="1545" xr:uid="{00000000-0005-0000-0000-00007B0D0000}"/>
    <cellStyle name="Porcentagem 2 3 12" xfId="1932" xr:uid="{00000000-0005-0000-0000-00007C0D0000}"/>
    <cellStyle name="Porcentagem 2 3 13" xfId="2364" xr:uid="{00000000-0005-0000-0000-00007D0D0000}"/>
    <cellStyle name="Porcentagem 2 3 14" xfId="2594" xr:uid="{00000000-0005-0000-0000-00007E0D0000}"/>
    <cellStyle name="Porcentagem 2 3 15" xfId="2799" xr:uid="{00000000-0005-0000-0000-00007F0D0000}"/>
    <cellStyle name="Porcentagem 2 3 16" xfId="3236" xr:uid="{00000000-0005-0000-0000-0000800D0000}"/>
    <cellStyle name="Porcentagem 2 3 17" xfId="3584" xr:uid="{00000000-0005-0000-0000-0000810D0000}"/>
    <cellStyle name="Porcentagem 2 3 18" xfId="3608" xr:uid="{00000000-0005-0000-0000-0000820D0000}"/>
    <cellStyle name="Porcentagem 2 3 19" xfId="3846" xr:uid="{00000000-0005-0000-0000-0000830D0000}"/>
    <cellStyle name="Porcentagem 2 3 2" xfId="437" xr:uid="{00000000-0005-0000-0000-0000840D0000}"/>
    <cellStyle name="Porcentagem 2 3 2 2" xfId="621" xr:uid="{00000000-0005-0000-0000-0000850D0000}"/>
    <cellStyle name="Porcentagem 2 3 2 2 2" xfId="1094" xr:uid="{00000000-0005-0000-0000-0000860D0000}"/>
    <cellStyle name="Porcentagem 2 3 2 2 3" xfId="1414" xr:uid="{00000000-0005-0000-0000-0000870D0000}"/>
    <cellStyle name="Porcentagem 2 3 2 2 4" xfId="1716" xr:uid="{00000000-0005-0000-0000-0000880D0000}"/>
    <cellStyle name="Porcentagem 2 3 2 2 5" xfId="3071" xr:uid="{00000000-0005-0000-0000-0000890D0000}"/>
    <cellStyle name="Porcentagem 2 3 2 2 6" xfId="4054" xr:uid="{00000000-0005-0000-0000-00008A0D0000}"/>
    <cellStyle name="Porcentagem 2 3 2 3" xfId="945" xr:uid="{00000000-0005-0000-0000-00008B0D0000}"/>
    <cellStyle name="Porcentagem 2 3 2 4" xfId="1255" xr:uid="{00000000-0005-0000-0000-00008C0D0000}"/>
    <cellStyle name="Porcentagem 2 3 2 5" xfId="1570" xr:uid="{00000000-0005-0000-0000-00008D0D0000}"/>
    <cellStyle name="Porcentagem 2 3 2 6" xfId="2831" xr:uid="{00000000-0005-0000-0000-00008E0D0000}"/>
    <cellStyle name="Porcentagem 2 3 2 7" xfId="3271" xr:uid="{00000000-0005-0000-0000-00008F0D0000}"/>
    <cellStyle name="Porcentagem 2 3 2 8" xfId="3630" xr:uid="{00000000-0005-0000-0000-0000900D0000}"/>
    <cellStyle name="Porcentagem 2 3 2 9" xfId="3893" xr:uid="{00000000-0005-0000-0000-0000910D0000}"/>
    <cellStyle name="Porcentagem 2 3 20" xfId="3870" xr:uid="{00000000-0005-0000-0000-0000920D0000}"/>
    <cellStyle name="Porcentagem 2 3 21" xfId="383" xr:uid="{00000000-0005-0000-0000-0000930D0000}"/>
    <cellStyle name="Porcentagem 2 3 3" xfId="497" xr:uid="{00000000-0005-0000-0000-0000940D0000}"/>
    <cellStyle name="Porcentagem 2 3 3 2" xfId="673" xr:uid="{00000000-0005-0000-0000-0000950D0000}"/>
    <cellStyle name="Porcentagem 2 3 3 2 2" xfId="1140" xr:uid="{00000000-0005-0000-0000-0000960D0000}"/>
    <cellStyle name="Porcentagem 2 3 3 2 3" xfId="1463" xr:uid="{00000000-0005-0000-0000-0000970D0000}"/>
    <cellStyle name="Porcentagem 2 3 3 2 4" xfId="1765" xr:uid="{00000000-0005-0000-0000-0000980D0000}"/>
    <cellStyle name="Porcentagem 2 3 3 2 5" xfId="3017" xr:uid="{00000000-0005-0000-0000-0000990D0000}"/>
    <cellStyle name="Porcentagem 2 3 3 2 6" xfId="4105" xr:uid="{00000000-0005-0000-0000-00009A0D0000}"/>
    <cellStyle name="Porcentagem 2 3 3 3" xfId="991" xr:uid="{00000000-0005-0000-0000-00009B0D0000}"/>
    <cellStyle name="Porcentagem 2 3 3 4" xfId="1305" xr:uid="{00000000-0005-0000-0000-00009C0D0000}"/>
    <cellStyle name="Porcentagem 2 3 3 5" xfId="1612" xr:uid="{00000000-0005-0000-0000-00009D0D0000}"/>
    <cellStyle name="Porcentagem 2 3 3 6" xfId="3164" xr:uid="{00000000-0005-0000-0000-00009E0D0000}"/>
    <cellStyle name="Porcentagem 2 3 3 7" xfId="3937" xr:uid="{00000000-0005-0000-0000-00009F0D0000}"/>
    <cellStyle name="Porcentagem 2 3 4" xfId="540" xr:uid="{00000000-0005-0000-0000-0000A00D0000}"/>
    <cellStyle name="Porcentagem 2 3 4 2" xfId="710" xr:uid="{00000000-0005-0000-0000-0000A10D0000}"/>
    <cellStyle name="Porcentagem 2 3 4 2 2" xfId="1171" xr:uid="{00000000-0005-0000-0000-0000A20D0000}"/>
    <cellStyle name="Porcentagem 2 3 4 2 3" xfId="1496" xr:uid="{00000000-0005-0000-0000-0000A30D0000}"/>
    <cellStyle name="Porcentagem 2 3 4 2 4" xfId="1798" xr:uid="{00000000-0005-0000-0000-0000A40D0000}"/>
    <cellStyle name="Porcentagem 2 3 4 2 5" xfId="3349" xr:uid="{00000000-0005-0000-0000-0000A50D0000}"/>
    <cellStyle name="Porcentagem 2 3 4 2 6" xfId="4142" xr:uid="{00000000-0005-0000-0000-0000A60D0000}"/>
    <cellStyle name="Porcentagem 2 3 4 3" xfId="1023" xr:uid="{00000000-0005-0000-0000-0000A70D0000}"/>
    <cellStyle name="Porcentagem 2 3 4 4" xfId="1340" xr:uid="{00000000-0005-0000-0000-0000A80D0000}"/>
    <cellStyle name="Porcentagem 2 3 4 5" xfId="1642" xr:uid="{00000000-0005-0000-0000-0000A90D0000}"/>
    <cellStyle name="Porcentagem 2 3 4 6" xfId="3136" xr:uid="{00000000-0005-0000-0000-0000AA0D0000}"/>
    <cellStyle name="Porcentagem 2 3 4 7" xfId="3976" xr:uid="{00000000-0005-0000-0000-0000AB0D0000}"/>
    <cellStyle name="Porcentagem 2 3 5" xfId="576" xr:uid="{00000000-0005-0000-0000-0000AC0D0000}"/>
    <cellStyle name="Porcentagem 2 3 5 2" xfId="1050" xr:uid="{00000000-0005-0000-0000-0000AD0D0000}"/>
    <cellStyle name="Porcentagem 2 3 5 3" xfId="1369" xr:uid="{00000000-0005-0000-0000-0000AE0D0000}"/>
    <cellStyle name="Porcentagem 2 3 5 4" xfId="1671" xr:uid="{00000000-0005-0000-0000-0000AF0D0000}"/>
    <cellStyle name="Porcentagem 2 3 5 5" xfId="3105" xr:uid="{00000000-0005-0000-0000-0000B00D0000}"/>
    <cellStyle name="Porcentagem 2 3 5 6" xfId="4009" xr:uid="{00000000-0005-0000-0000-0000B10D0000}"/>
    <cellStyle name="Porcentagem 2 3 6" xfId="595" xr:uid="{00000000-0005-0000-0000-0000B20D0000}"/>
    <cellStyle name="Porcentagem 2 3 6 2" xfId="1069" xr:uid="{00000000-0005-0000-0000-0000B30D0000}"/>
    <cellStyle name="Porcentagem 2 3 6 3" xfId="1388" xr:uid="{00000000-0005-0000-0000-0000B40D0000}"/>
    <cellStyle name="Porcentagem 2 3 6 4" xfId="1690" xr:uid="{00000000-0005-0000-0000-0000B50D0000}"/>
    <cellStyle name="Porcentagem 2 3 6 5" xfId="3319" xr:uid="{00000000-0005-0000-0000-0000B60D0000}"/>
    <cellStyle name="Porcentagem 2 3 6 6" xfId="4028" xr:uid="{00000000-0005-0000-0000-0000B70D0000}"/>
    <cellStyle name="Porcentagem 2 3 7" xfId="737" xr:uid="{00000000-0005-0000-0000-0000B80D0000}"/>
    <cellStyle name="Porcentagem 2 3 7 2" xfId="1198" xr:uid="{00000000-0005-0000-0000-0000B90D0000}"/>
    <cellStyle name="Porcentagem 2 3 7 3" xfId="1523" xr:uid="{00000000-0005-0000-0000-0000BA0D0000}"/>
    <cellStyle name="Porcentagem 2 3 7 4" xfId="1825" xr:uid="{00000000-0005-0000-0000-0000BB0D0000}"/>
    <cellStyle name="Porcentagem 2 3 7 5" xfId="3376" xr:uid="{00000000-0005-0000-0000-0000BC0D0000}"/>
    <cellStyle name="Porcentagem 2 3 7 6" xfId="4169" xr:uid="{00000000-0005-0000-0000-0000BD0D0000}"/>
    <cellStyle name="Porcentagem 2 3 8" xfId="415" xr:uid="{00000000-0005-0000-0000-0000BE0D0000}"/>
    <cellStyle name="Porcentagem 2 3 9" xfId="919" xr:uid="{00000000-0005-0000-0000-0000BF0D0000}"/>
    <cellStyle name="Porcentagem 2 4" xfId="281" xr:uid="{00000000-0005-0000-0000-0000C00D0000}"/>
    <cellStyle name="Porcentagem 2 5" xfId="559" xr:uid="{00000000-0005-0000-0000-0000C10D0000}"/>
    <cellStyle name="Porcentagem 2 5 2" xfId="1036" xr:uid="{00000000-0005-0000-0000-0000C20D0000}"/>
    <cellStyle name="Porcentagem 2 5 3" xfId="1355" xr:uid="{00000000-0005-0000-0000-0000C30D0000}"/>
    <cellStyle name="Porcentagem 2 5 4" xfId="1657" xr:uid="{00000000-0005-0000-0000-0000C40D0000}"/>
    <cellStyle name="Porcentagem 2 5 5" xfId="3116" xr:uid="{00000000-0005-0000-0000-0000C50D0000}"/>
    <cellStyle name="Porcentagem 2 5 6" xfId="3995" xr:uid="{00000000-0005-0000-0000-0000C60D0000}"/>
    <cellStyle name="Porcentagem 2 6" xfId="581" xr:uid="{00000000-0005-0000-0000-0000C70D0000}"/>
    <cellStyle name="Porcentagem 2 6 2" xfId="1055" xr:uid="{00000000-0005-0000-0000-0000C80D0000}"/>
    <cellStyle name="Porcentagem 2 6 3" xfId="1374" xr:uid="{00000000-0005-0000-0000-0000C90D0000}"/>
    <cellStyle name="Porcentagem 2 6 4" xfId="1676" xr:uid="{00000000-0005-0000-0000-0000CA0D0000}"/>
    <cellStyle name="Porcentagem 2 6 5" xfId="3100" xr:uid="{00000000-0005-0000-0000-0000CB0D0000}"/>
    <cellStyle name="Porcentagem 2 6 6" xfId="4014" xr:uid="{00000000-0005-0000-0000-0000CC0D0000}"/>
    <cellStyle name="Porcentagem 2 7" xfId="388" xr:uid="{00000000-0005-0000-0000-0000CD0D0000}"/>
    <cellStyle name="Porcentagem 2 8" xfId="901" xr:uid="{00000000-0005-0000-0000-0000CE0D0000}"/>
    <cellStyle name="Porcentagem 2 9" xfId="1216" xr:uid="{00000000-0005-0000-0000-0000CF0D0000}"/>
    <cellStyle name="Porcentagem 20" xfId="1842" xr:uid="{00000000-0005-0000-0000-0000D00D0000}"/>
    <cellStyle name="Porcentagem 21" xfId="1931" xr:uid="{00000000-0005-0000-0000-0000D10D0000}"/>
    <cellStyle name="Porcentagem 22" xfId="2363" xr:uid="{00000000-0005-0000-0000-0000D20D0000}"/>
    <cellStyle name="Porcentagem 23" xfId="2593" xr:uid="{00000000-0005-0000-0000-0000D30D0000}"/>
    <cellStyle name="Porcentagem 24" xfId="2778" xr:uid="{00000000-0005-0000-0000-0000D40D0000}"/>
    <cellStyle name="Porcentagem 25" xfId="3234" xr:uid="{00000000-0005-0000-0000-0000D50D0000}"/>
    <cellStyle name="Porcentagem 26" xfId="3583" xr:uid="{00000000-0005-0000-0000-0000D60D0000}"/>
    <cellStyle name="Porcentagem 27" xfId="3593" xr:uid="{00000000-0005-0000-0000-0000D70D0000}"/>
    <cellStyle name="Porcentagem 28" xfId="3845" xr:uid="{00000000-0005-0000-0000-0000D80D0000}"/>
    <cellStyle name="Porcentagem 29" xfId="3855" xr:uid="{00000000-0005-0000-0000-0000D90D0000}"/>
    <cellStyle name="Porcentagem 3" xfId="8" xr:uid="{00000000-0005-0000-0000-0000DA0D0000}"/>
    <cellStyle name="Porcentagem 3 10" xfId="2929" xr:uid="{00000000-0005-0000-0000-0000DB0D0000}"/>
    <cellStyle name="Porcentagem 3 11" xfId="3595" xr:uid="{00000000-0005-0000-0000-0000DC0D0000}"/>
    <cellStyle name="Porcentagem 3 12" xfId="3857" xr:uid="{00000000-0005-0000-0000-0000DD0D0000}"/>
    <cellStyle name="Porcentagem 3 13" xfId="367" xr:uid="{00000000-0005-0000-0000-0000DE0D0000}"/>
    <cellStyle name="Porcentagem 3 2" xfId="438" xr:uid="{00000000-0005-0000-0000-0000DF0D0000}"/>
    <cellStyle name="Porcentagem 3 3" xfId="560" xr:uid="{00000000-0005-0000-0000-0000E00D0000}"/>
    <cellStyle name="Porcentagem 3 3 2" xfId="1037" xr:uid="{00000000-0005-0000-0000-0000E10D0000}"/>
    <cellStyle name="Porcentagem 3 3 3" xfId="1356" xr:uid="{00000000-0005-0000-0000-0000E20D0000}"/>
    <cellStyle name="Porcentagem 3 3 4" xfId="1658" xr:uid="{00000000-0005-0000-0000-0000E30D0000}"/>
    <cellStyle name="Porcentagem 3 3 5" xfId="3115" xr:uid="{00000000-0005-0000-0000-0000E40D0000}"/>
    <cellStyle name="Porcentagem 3 3 6" xfId="3996" xr:uid="{00000000-0005-0000-0000-0000E50D0000}"/>
    <cellStyle name="Porcentagem 3 4" xfId="582" xr:uid="{00000000-0005-0000-0000-0000E60D0000}"/>
    <cellStyle name="Porcentagem 3 4 2" xfId="1056" xr:uid="{00000000-0005-0000-0000-0000E70D0000}"/>
    <cellStyle name="Porcentagem 3 4 3" xfId="1375" xr:uid="{00000000-0005-0000-0000-0000E80D0000}"/>
    <cellStyle name="Porcentagem 3 4 4" xfId="1677" xr:uid="{00000000-0005-0000-0000-0000E90D0000}"/>
    <cellStyle name="Porcentagem 3 4 5" xfId="3099" xr:uid="{00000000-0005-0000-0000-0000EA0D0000}"/>
    <cellStyle name="Porcentagem 3 4 6" xfId="4015" xr:uid="{00000000-0005-0000-0000-0000EB0D0000}"/>
    <cellStyle name="Porcentagem 3 5" xfId="389" xr:uid="{00000000-0005-0000-0000-0000EC0D0000}"/>
    <cellStyle name="Porcentagem 3 6" xfId="902" xr:uid="{00000000-0005-0000-0000-0000ED0D0000}"/>
    <cellStyle name="Porcentagem 3 7" xfId="1217" xr:uid="{00000000-0005-0000-0000-0000EE0D0000}"/>
    <cellStyle name="Porcentagem 3 8" xfId="1530" xr:uid="{00000000-0005-0000-0000-0000EF0D0000}"/>
    <cellStyle name="Porcentagem 3 9" xfId="2780" xr:uid="{00000000-0005-0000-0000-0000F00D0000}"/>
    <cellStyle name="Porcentagem 30" xfId="364" xr:uid="{00000000-0005-0000-0000-0000F10D0000}"/>
    <cellStyle name="Porcentagem 31" xfId="4174" xr:uid="{EF60E608-95EE-45E5-A2CC-263FD2E40373}"/>
    <cellStyle name="Porcentagem 4" xfId="10" xr:uid="{00000000-0005-0000-0000-0000F20D0000}"/>
    <cellStyle name="Porcentagem 4 2" xfId="282" xr:uid="{00000000-0005-0000-0000-0000F30D0000}"/>
    <cellStyle name="Porcentagem 5" xfId="48" xr:uid="{00000000-0005-0000-0000-0000F40D0000}"/>
    <cellStyle name="Porcentagem 6" xfId="52" xr:uid="{00000000-0005-0000-0000-0000F50D0000}"/>
    <cellStyle name="Porcentagem 6 10" xfId="3260" xr:uid="{00000000-0005-0000-0000-0000F60D0000}"/>
    <cellStyle name="Porcentagem 6 11" xfId="3602" xr:uid="{00000000-0005-0000-0000-0000F70D0000}"/>
    <cellStyle name="Porcentagem 6 12" xfId="3864" xr:uid="{00000000-0005-0000-0000-0000F80D0000}"/>
    <cellStyle name="Porcentagem 6 13" xfId="374" xr:uid="{00000000-0005-0000-0000-0000F90D0000}"/>
    <cellStyle name="Porcentagem 6 2" xfId="283" xr:uid="{00000000-0005-0000-0000-0000FA0D0000}"/>
    <cellStyle name="Porcentagem 6 3" xfId="567" xr:uid="{00000000-0005-0000-0000-0000FB0D0000}"/>
    <cellStyle name="Porcentagem 6 3 2" xfId="1044" xr:uid="{00000000-0005-0000-0000-0000FC0D0000}"/>
    <cellStyle name="Porcentagem 6 3 3" xfId="1363" xr:uid="{00000000-0005-0000-0000-0000FD0D0000}"/>
    <cellStyle name="Porcentagem 6 3 4" xfId="1665" xr:uid="{00000000-0005-0000-0000-0000FE0D0000}"/>
    <cellStyle name="Porcentagem 6 3 5" xfId="3110" xr:uid="{00000000-0005-0000-0000-0000FF0D0000}"/>
    <cellStyle name="Porcentagem 6 3 6" xfId="4003" xr:uid="{00000000-0005-0000-0000-0000000E0000}"/>
    <cellStyle name="Porcentagem 6 4" xfId="589" xr:uid="{00000000-0005-0000-0000-0000010E0000}"/>
    <cellStyle name="Porcentagem 6 4 2" xfId="1063" xr:uid="{00000000-0005-0000-0000-0000020E0000}"/>
    <cellStyle name="Porcentagem 6 4 3" xfId="1382" xr:uid="{00000000-0005-0000-0000-0000030E0000}"/>
    <cellStyle name="Porcentagem 6 4 4" xfId="1684" xr:uid="{00000000-0005-0000-0000-0000040E0000}"/>
    <cellStyle name="Porcentagem 6 4 5" xfId="3092" xr:uid="{00000000-0005-0000-0000-0000050E0000}"/>
    <cellStyle name="Porcentagem 6 4 6" xfId="4022" xr:uid="{00000000-0005-0000-0000-0000060E0000}"/>
    <cellStyle name="Porcentagem 6 5" xfId="396" xr:uid="{00000000-0005-0000-0000-0000070E0000}"/>
    <cellStyle name="Porcentagem 6 6" xfId="909" xr:uid="{00000000-0005-0000-0000-0000080E0000}"/>
    <cellStyle name="Porcentagem 6 7" xfId="1224" xr:uid="{00000000-0005-0000-0000-0000090E0000}"/>
    <cellStyle name="Porcentagem 6 8" xfId="1537" xr:uid="{00000000-0005-0000-0000-00000A0E0000}"/>
    <cellStyle name="Porcentagem 6 9" xfId="2787" xr:uid="{00000000-0005-0000-0000-00000B0E0000}"/>
    <cellStyle name="Porcentagem 7" xfId="55" xr:uid="{00000000-0005-0000-0000-00000C0E0000}"/>
    <cellStyle name="Porcentagem 7 2" xfId="570" xr:uid="{00000000-0005-0000-0000-00000D0E0000}"/>
    <cellStyle name="Porcentagem 7 3" xfId="399" xr:uid="{00000000-0005-0000-0000-00000E0E0000}"/>
    <cellStyle name="Porcentagem 7 4" xfId="377" xr:uid="{00000000-0005-0000-0000-00000F0E0000}"/>
    <cellStyle name="Porcentagem 8" xfId="58" xr:uid="{00000000-0005-0000-0000-0000100E0000}"/>
    <cellStyle name="Porcentagem 8 10" xfId="3262" xr:uid="{00000000-0005-0000-0000-0000110E0000}"/>
    <cellStyle name="Porcentagem 8 11" xfId="3605" xr:uid="{00000000-0005-0000-0000-0000120E0000}"/>
    <cellStyle name="Porcentagem 8 12" xfId="3867" xr:uid="{00000000-0005-0000-0000-0000130E0000}"/>
    <cellStyle name="Porcentagem 8 13" xfId="380" xr:uid="{00000000-0005-0000-0000-0000140E0000}"/>
    <cellStyle name="Porcentagem 8 2" xfId="573" xr:uid="{00000000-0005-0000-0000-0000150E0000}"/>
    <cellStyle name="Porcentagem 8 2 2" xfId="1047" xr:uid="{00000000-0005-0000-0000-0000160E0000}"/>
    <cellStyle name="Porcentagem 8 2 3" xfId="1366" xr:uid="{00000000-0005-0000-0000-0000170E0000}"/>
    <cellStyle name="Porcentagem 8 2 4" xfId="1668" xr:uid="{00000000-0005-0000-0000-0000180E0000}"/>
    <cellStyle name="Porcentagem 8 2 5" xfId="3107" xr:uid="{00000000-0005-0000-0000-0000190E0000}"/>
    <cellStyle name="Porcentagem 8 2 6" xfId="4006" xr:uid="{00000000-0005-0000-0000-00001A0E0000}"/>
    <cellStyle name="Porcentagem 8 3" xfId="592" xr:uid="{00000000-0005-0000-0000-00001B0E0000}"/>
    <cellStyle name="Porcentagem 8 3 2" xfId="1066" xr:uid="{00000000-0005-0000-0000-00001C0E0000}"/>
    <cellStyle name="Porcentagem 8 3 3" xfId="1385" xr:uid="{00000000-0005-0000-0000-00001D0E0000}"/>
    <cellStyle name="Porcentagem 8 3 4" xfId="1687" xr:uid="{00000000-0005-0000-0000-00001E0E0000}"/>
    <cellStyle name="Porcentagem 8 3 5" xfId="3317" xr:uid="{00000000-0005-0000-0000-00001F0E0000}"/>
    <cellStyle name="Porcentagem 8 3 6" xfId="4025" xr:uid="{00000000-0005-0000-0000-0000200E0000}"/>
    <cellStyle name="Porcentagem 8 4" xfId="402" xr:uid="{00000000-0005-0000-0000-0000210E0000}"/>
    <cellStyle name="Porcentagem 8 5" xfId="912" xr:uid="{00000000-0005-0000-0000-0000220E0000}"/>
    <cellStyle name="Porcentagem 8 6" xfId="1227" xr:uid="{00000000-0005-0000-0000-0000230E0000}"/>
    <cellStyle name="Porcentagem 8 7" xfId="1540" xr:uid="{00000000-0005-0000-0000-0000240E0000}"/>
    <cellStyle name="Porcentagem 8 8" xfId="2567" xr:uid="{00000000-0005-0000-0000-0000250E0000}"/>
    <cellStyle name="Porcentagem 8 9" xfId="2790" xr:uid="{00000000-0005-0000-0000-0000260E0000}"/>
    <cellStyle name="Porcentagem 9" xfId="455" xr:uid="{00000000-0005-0000-0000-0000270E0000}"/>
    <cellStyle name="Porcentagem 9 2" xfId="631" xr:uid="{00000000-0005-0000-0000-0000280E0000}"/>
    <cellStyle name="Porcentagem 9 2 2" xfId="1104" xr:uid="{00000000-0005-0000-0000-0000290E0000}"/>
    <cellStyle name="Porcentagem 9 2 3" xfId="1424" xr:uid="{00000000-0005-0000-0000-00002A0E0000}"/>
    <cellStyle name="Porcentagem 9 2 4" xfId="1726" xr:uid="{00000000-0005-0000-0000-00002B0E0000}"/>
    <cellStyle name="Porcentagem 9 2 5" xfId="3061" xr:uid="{00000000-0005-0000-0000-00002C0E0000}"/>
    <cellStyle name="Porcentagem 9 2 6" xfId="4064" xr:uid="{00000000-0005-0000-0000-00002D0E0000}"/>
    <cellStyle name="Porcentagem 9 3" xfId="955" xr:uid="{00000000-0005-0000-0000-00002E0E0000}"/>
    <cellStyle name="Porcentagem 9 4" xfId="1265" xr:uid="{00000000-0005-0000-0000-00002F0E0000}"/>
    <cellStyle name="Porcentagem 9 5" xfId="1576" xr:uid="{00000000-0005-0000-0000-0000300E0000}"/>
    <cellStyle name="Porcentagem 9 6" xfId="2842" xr:uid="{00000000-0005-0000-0000-0000310E0000}"/>
    <cellStyle name="Porcentagem 9 7" xfId="3281" xr:uid="{00000000-0005-0000-0000-0000320E0000}"/>
    <cellStyle name="Porcentagem 9 8" xfId="3636" xr:uid="{00000000-0005-0000-0000-0000330E0000}"/>
    <cellStyle name="Porcentagem 9 9" xfId="3899" xr:uid="{00000000-0005-0000-0000-0000340E0000}"/>
    <cellStyle name="Porcentaje 10" xfId="2231" xr:uid="{00000000-0005-0000-0000-0000350E0000}"/>
    <cellStyle name="Porcentaje 11" xfId="2232" xr:uid="{00000000-0005-0000-0000-0000360E0000}"/>
    <cellStyle name="Porcentaje 2" xfId="2233" xr:uid="{00000000-0005-0000-0000-0000370E0000}"/>
    <cellStyle name="Porcentaje 2 2" xfId="2234" xr:uid="{00000000-0005-0000-0000-0000380E0000}"/>
    <cellStyle name="Porcentaje 2 3" xfId="2547" xr:uid="{00000000-0005-0000-0000-0000390E0000}"/>
    <cellStyle name="Porcentaje 2 4" xfId="2773" xr:uid="{00000000-0005-0000-0000-00003A0E0000}"/>
    <cellStyle name="Porcentaje 2 5" xfId="3239" xr:uid="{00000000-0005-0000-0000-00003B0E0000}"/>
    <cellStyle name="Porcentaje 2 6" xfId="3585" xr:uid="{00000000-0005-0000-0000-00003C0E0000}"/>
    <cellStyle name="Porcentaje 2 7" xfId="3847" xr:uid="{00000000-0005-0000-0000-00003D0E0000}"/>
    <cellStyle name="Porcentaje 3" xfId="2235" xr:uid="{00000000-0005-0000-0000-00003E0E0000}"/>
    <cellStyle name="Porcentaje 4" xfId="2236" xr:uid="{00000000-0005-0000-0000-00003F0E0000}"/>
    <cellStyle name="Porcentaje 5" xfId="2237" xr:uid="{00000000-0005-0000-0000-0000400E0000}"/>
    <cellStyle name="Porcentaje 6" xfId="2238" xr:uid="{00000000-0005-0000-0000-0000410E0000}"/>
    <cellStyle name="Porcentaje 7" xfId="2239" xr:uid="{00000000-0005-0000-0000-0000420E0000}"/>
    <cellStyle name="Porcentaje 8" xfId="2240" xr:uid="{00000000-0005-0000-0000-0000430E0000}"/>
    <cellStyle name="Porcentaje 9" xfId="2241" xr:uid="{00000000-0005-0000-0000-0000440E0000}"/>
    <cellStyle name="PrePop Currency (0)" xfId="284" xr:uid="{00000000-0005-0000-0000-0000450E0000}"/>
    <cellStyle name="PrePop Currency (2)" xfId="285" xr:uid="{00000000-0005-0000-0000-0000460E0000}"/>
    <cellStyle name="PrePop Units (0)" xfId="286" xr:uid="{00000000-0005-0000-0000-0000470E0000}"/>
    <cellStyle name="PrePop Units (1)" xfId="287" xr:uid="{00000000-0005-0000-0000-0000480E0000}"/>
    <cellStyle name="PrePop Units (2)" xfId="288" xr:uid="{00000000-0005-0000-0000-0000490E0000}"/>
    <cellStyle name="Punto0" xfId="289" xr:uid="{00000000-0005-0000-0000-00004A0E0000}"/>
    <cellStyle name="Red Text" xfId="290" xr:uid="{00000000-0005-0000-0000-00004B0E0000}"/>
    <cellStyle name="Ruim" xfId="330" builtinId="27" customBuiltin="1"/>
    <cellStyle name="Saída" xfId="333" builtinId="21" customBuiltin="1"/>
    <cellStyle name="Saída 2" xfId="291" xr:uid="{00000000-0005-0000-0000-00004D0E0000}"/>
    <cellStyle name="Saída 2 10" xfId="2266" xr:uid="{00000000-0005-0000-0000-00004E0E0000}"/>
    <cellStyle name="Saída 2 11" xfId="1936" xr:uid="{00000000-0005-0000-0000-00004F0E0000}"/>
    <cellStyle name="Saída 2 12" xfId="3240" xr:uid="{00000000-0005-0000-0000-0000500E0000}"/>
    <cellStyle name="Saída 2 2" xfId="292" xr:uid="{00000000-0005-0000-0000-0000510E0000}"/>
    <cellStyle name="Saída 2 2 10" xfId="3241" xr:uid="{00000000-0005-0000-0000-0000520E0000}"/>
    <cellStyle name="Saída 2 2 2" xfId="512" xr:uid="{00000000-0005-0000-0000-0000530E0000}"/>
    <cellStyle name="Saída 2 2 2 2" xfId="687" xr:uid="{00000000-0005-0000-0000-0000540E0000}"/>
    <cellStyle name="Saída 2 2 2 2 2" xfId="822" xr:uid="{00000000-0005-0000-0000-0000550E0000}"/>
    <cellStyle name="Saída 2 2 2 2 3" xfId="892" xr:uid="{00000000-0005-0000-0000-0000560E0000}"/>
    <cellStyle name="Saída 2 2 2 2 4" xfId="3333" xr:uid="{00000000-0005-0000-0000-0000570E0000}"/>
    <cellStyle name="Saída 2 2 2 2 5" xfId="4119" xr:uid="{00000000-0005-0000-0000-0000580E0000}"/>
    <cellStyle name="Saída 2 2 2 3" xfId="772" xr:uid="{00000000-0005-0000-0000-0000590E0000}"/>
    <cellStyle name="Saída 2 2 2 4" xfId="851" xr:uid="{00000000-0005-0000-0000-00005A0E0000}"/>
    <cellStyle name="Saída 2 2 2 5" xfId="2568" xr:uid="{00000000-0005-0000-0000-00005B0E0000}"/>
    <cellStyle name="Saída 2 2 2 6" xfId="3242" xr:uid="{00000000-0005-0000-0000-00005C0E0000}"/>
    <cellStyle name="Saída 2 2 2 7" xfId="3951" xr:uid="{00000000-0005-0000-0000-00005D0E0000}"/>
    <cellStyle name="Saída 2 2 3" xfId="554" xr:uid="{00000000-0005-0000-0000-00005E0E0000}"/>
    <cellStyle name="Saída 2 2 3 2" xfId="789" xr:uid="{00000000-0005-0000-0000-00005F0E0000}"/>
    <cellStyle name="Saída 2 2 3 3" xfId="867" xr:uid="{00000000-0005-0000-0000-0000600E0000}"/>
    <cellStyle name="Saída 2 2 3 4" xfId="3121" xr:uid="{00000000-0005-0000-0000-0000610E0000}"/>
    <cellStyle name="Saída 2 2 3 5" xfId="3990" xr:uid="{00000000-0005-0000-0000-0000620E0000}"/>
    <cellStyle name="Saída 2 2 4" xfId="405" xr:uid="{00000000-0005-0000-0000-0000630E0000}"/>
    <cellStyle name="Saída 2 2 5" xfId="1865" xr:uid="{00000000-0005-0000-0000-0000640E0000}"/>
    <cellStyle name="Saída 2 2 6" xfId="2258" xr:uid="{00000000-0005-0000-0000-0000650E0000}"/>
    <cellStyle name="Saída 2 2 7" xfId="2328" xr:uid="{00000000-0005-0000-0000-0000660E0000}"/>
    <cellStyle name="Saída 2 2 8" xfId="2265" xr:uid="{00000000-0005-0000-0000-0000670E0000}"/>
    <cellStyle name="Saída 2 2 9" xfId="2281" xr:uid="{00000000-0005-0000-0000-0000680E0000}"/>
    <cellStyle name="Saída 2 3" xfId="293" xr:uid="{00000000-0005-0000-0000-0000690E0000}"/>
    <cellStyle name="Saída 2 3 10" xfId="3243" xr:uid="{00000000-0005-0000-0000-00006A0E0000}"/>
    <cellStyle name="Saída 2 3 2" xfId="513" xr:uid="{00000000-0005-0000-0000-00006B0E0000}"/>
    <cellStyle name="Saída 2 3 2 2" xfId="688" xr:uid="{00000000-0005-0000-0000-00006C0E0000}"/>
    <cellStyle name="Saída 2 3 2 2 2" xfId="823" xr:uid="{00000000-0005-0000-0000-00006D0E0000}"/>
    <cellStyle name="Saída 2 3 2 2 3" xfId="893" xr:uid="{00000000-0005-0000-0000-00006E0E0000}"/>
    <cellStyle name="Saída 2 3 2 2 4" xfId="3334" xr:uid="{00000000-0005-0000-0000-00006F0E0000}"/>
    <cellStyle name="Saída 2 3 2 2 5" xfId="4120" xr:uid="{00000000-0005-0000-0000-0000700E0000}"/>
    <cellStyle name="Saída 2 3 2 3" xfId="773" xr:uid="{00000000-0005-0000-0000-0000710E0000}"/>
    <cellStyle name="Saída 2 3 2 4" xfId="852" xr:uid="{00000000-0005-0000-0000-0000720E0000}"/>
    <cellStyle name="Saída 2 3 2 5" xfId="2569" xr:uid="{00000000-0005-0000-0000-0000730E0000}"/>
    <cellStyle name="Saída 2 3 2 6" xfId="3244" xr:uid="{00000000-0005-0000-0000-0000740E0000}"/>
    <cellStyle name="Saída 2 3 2 7" xfId="3952" xr:uid="{00000000-0005-0000-0000-0000750E0000}"/>
    <cellStyle name="Saída 2 3 3" xfId="555" xr:uid="{00000000-0005-0000-0000-0000760E0000}"/>
    <cellStyle name="Saída 2 3 3 2" xfId="790" xr:uid="{00000000-0005-0000-0000-0000770E0000}"/>
    <cellStyle name="Saída 2 3 3 3" xfId="868" xr:uid="{00000000-0005-0000-0000-0000780E0000}"/>
    <cellStyle name="Saída 2 3 3 4" xfId="3120" xr:uid="{00000000-0005-0000-0000-0000790E0000}"/>
    <cellStyle name="Saída 2 3 3 5" xfId="3991" xr:uid="{00000000-0005-0000-0000-00007A0E0000}"/>
    <cellStyle name="Saída 2 3 4" xfId="404" xr:uid="{00000000-0005-0000-0000-00007B0E0000}"/>
    <cellStyle name="Saída 2 3 5" xfId="1864" xr:uid="{00000000-0005-0000-0000-00007C0E0000}"/>
    <cellStyle name="Saída 2 3 6" xfId="2322" xr:uid="{00000000-0005-0000-0000-00007D0E0000}"/>
    <cellStyle name="Saída 2 3 7" xfId="2271" xr:uid="{00000000-0005-0000-0000-00007E0E0000}"/>
    <cellStyle name="Saída 2 3 8" xfId="2264" xr:uid="{00000000-0005-0000-0000-00007F0E0000}"/>
    <cellStyle name="Saída 2 3 9" xfId="1933" xr:uid="{00000000-0005-0000-0000-0000800E0000}"/>
    <cellStyle name="Saída 2 4" xfId="489" xr:uid="{00000000-0005-0000-0000-0000810E0000}"/>
    <cellStyle name="Saída 2 4 2" xfId="665" xr:uid="{00000000-0005-0000-0000-0000820E0000}"/>
    <cellStyle name="Saída 2 4 2 2" xfId="809" xr:uid="{00000000-0005-0000-0000-0000830E0000}"/>
    <cellStyle name="Saída 2 4 2 3" xfId="882" xr:uid="{00000000-0005-0000-0000-0000840E0000}"/>
    <cellStyle name="Saída 2 4 2 4" xfId="3025" xr:uid="{00000000-0005-0000-0000-0000850E0000}"/>
    <cellStyle name="Saída 2 4 2 5" xfId="4098" xr:uid="{00000000-0005-0000-0000-0000860E0000}"/>
    <cellStyle name="Saída 2 4 3" xfId="760" xr:uid="{00000000-0005-0000-0000-0000870E0000}"/>
    <cellStyle name="Saída 2 4 4" xfId="841" xr:uid="{00000000-0005-0000-0000-0000880E0000}"/>
    <cellStyle name="Saída 2 4 5" xfId="2570" xr:uid="{00000000-0005-0000-0000-0000890E0000}"/>
    <cellStyle name="Saída 2 4 6" xfId="3245" xr:uid="{00000000-0005-0000-0000-00008A0E0000}"/>
    <cellStyle name="Saída 2 4 7" xfId="3930" xr:uid="{00000000-0005-0000-0000-00008B0E0000}"/>
    <cellStyle name="Saída 2 5" xfId="532" xr:uid="{00000000-0005-0000-0000-00008C0E0000}"/>
    <cellStyle name="Saída 2 5 2" xfId="777" xr:uid="{00000000-0005-0000-0000-00008D0E0000}"/>
    <cellStyle name="Saída 2 5 3" xfId="856" xr:uid="{00000000-0005-0000-0000-00008E0E0000}"/>
    <cellStyle name="Saída 2 5 4" xfId="3145" xr:uid="{00000000-0005-0000-0000-00008F0E0000}"/>
    <cellStyle name="Saída 2 5 5" xfId="3969" xr:uid="{00000000-0005-0000-0000-0000900E0000}"/>
    <cellStyle name="Saída 2 6" xfId="746" xr:uid="{00000000-0005-0000-0000-0000910E0000}"/>
    <cellStyle name="Saída 2 7" xfId="1866" xr:uid="{00000000-0005-0000-0000-0000920E0000}"/>
    <cellStyle name="Saída 2 8" xfId="2279" xr:uid="{00000000-0005-0000-0000-0000930E0000}"/>
    <cellStyle name="Saída 2 9" xfId="2269" xr:uid="{00000000-0005-0000-0000-0000940E0000}"/>
    <cellStyle name="Salida 2" xfId="2242" xr:uid="{00000000-0005-0000-0000-0000950E0000}"/>
    <cellStyle name="Salida 2 10" xfId="2341" xr:uid="{00000000-0005-0000-0000-0000960E0000}"/>
    <cellStyle name="Salida 2 11" xfId="2548" xr:uid="{00000000-0005-0000-0000-0000970E0000}"/>
    <cellStyle name="Salida 2 12" xfId="3246" xr:uid="{00000000-0005-0000-0000-0000980E0000}"/>
    <cellStyle name="Salida 2 2" xfId="2307" xr:uid="{00000000-0005-0000-0000-0000990E0000}"/>
    <cellStyle name="Salida 2 3" xfId="2315" xr:uid="{00000000-0005-0000-0000-00009A0E0000}"/>
    <cellStyle name="Salida 2 4" xfId="2316" xr:uid="{00000000-0005-0000-0000-00009B0E0000}"/>
    <cellStyle name="Salida 2 5" xfId="2321" xr:uid="{00000000-0005-0000-0000-00009C0E0000}"/>
    <cellStyle name="Salida 2 6" xfId="2324" xr:uid="{00000000-0005-0000-0000-00009D0E0000}"/>
    <cellStyle name="Salida 2 7" xfId="2329" xr:uid="{00000000-0005-0000-0000-00009E0E0000}"/>
    <cellStyle name="Salida 2 8" xfId="2330" xr:uid="{00000000-0005-0000-0000-00009F0E0000}"/>
    <cellStyle name="Salida 2 9" xfId="2334" xr:uid="{00000000-0005-0000-0000-0000A00E0000}"/>
    <cellStyle name="Sep. milhar [0]" xfId="294" xr:uid="{00000000-0005-0000-0000-0000A10E0000}"/>
    <cellStyle name="Separador de milhares 2" xfId="16" xr:uid="{00000000-0005-0000-0000-0000A20E0000}"/>
    <cellStyle name="Separador de milhares 2 2" xfId="17" xr:uid="{00000000-0005-0000-0000-0000A30E0000}"/>
    <cellStyle name="Separador de milhares 2 2 2" xfId="295" xr:uid="{00000000-0005-0000-0000-0000A40E0000}"/>
    <cellStyle name="Separador de milhares 2 2 2 10" xfId="1231" xr:uid="{00000000-0005-0000-0000-0000A50E0000}"/>
    <cellStyle name="Separador de milhares 2 2 2 11" xfId="1546" xr:uid="{00000000-0005-0000-0000-0000A60E0000}"/>
    <cellStyle name="Separador de milhares 2 2 2 12" xfId="1941" xr:uid="{00000000-0005-0000-0000-0000A70E0000}"/>
    <cellStyle name="Separador de milhares 2 2 2 13" xfId="2365" xr:uid="{00000000-0005-0000-0000-0000A80E0000}"/>
    <cellStyle name="Separador de milhares 2 2 2 14" xfId="2595" xr:uid="{00000000-0005-0000-0000-0000A90E0000}"/>
    <cellStyle name="Separador de milhares 2 2 2 15" xfId="2803" xr:uid="{00000000-0005-0000-0000-0000AA0E0000}"/>
    <cellStyle name="Separador de milhares 2 2 2 16" xfId="3247" xr:uid="{00000000-0005-0000-0000-0000AB0E0000}"/>
    <cellStyle name="Separador de milhares 2 2 2 17" xfId="3586" xr:uid="{00000000-0005-0000-0000-0000AC0E0000}"/>
    <cellStyle name="Separador de milhares 2 2 2 18" xfId="3609" xr:uid="{00000000-0005-0000-0000-0000AD0E0000}"/>
    <cellStyle name="Separador de milhares 2 2 2 19" xfId="3849" xr:uid="{00000000-0005-0000-0000-0000AE0E0000}"/>
    <cellStyle name="Separador de milhares 2 2 2 2" xfId="443" xr:uid="{00000000-0005-0000-0000-0000AF0E0000}"/>
    <cellStyle name="Separador de milhares 2 2 2 2 2" xfId="624" xr:uid="{00000000-0005-0000-0000-0000B00E0000}"/>
    <cellStyle name="Separador de milhares 2 2 2 2 2 2" xfId="1097" xr:uid="{00000000-0005-0000-0000-0000B10E0000}"/>
    <cellStyle name="Separador de milhares 2 2 2 2 2 3" xfId="1417" xr:uid="{00000000-0005-0000-0000-0000B20E0000}"/>
    <cellStyle name="Separador de milhares 2 2 2 2 2 4" xfId="1719" xr:uid="{00000000-0005-0000-0000-0000B30E0000}"/>
    <cellStyle name="Separador de milhares 2 2 2 2 2 5" xfId="3068" xr:uid="{00000000-0005-0000-0000-0000B40E0000}"/>
    <cellStyle name="Separador de milhares 2 2 2 2 2 6" xfId="4057" xr:uid="{00000000-0005-0000-0000-0000B50E0000}"/>
    <cellStyle name="Separador de milhares 2 2 2 2 3" xfId="948" xr:uid="{00000000-0005-0000-0000-0000B60E0000}"/>
    <cellStyle name="Separador de milhares 2 2 2 2 4" xfId="1258" xr:uid="{00000000-0005-0000-0000-0000B70E0000}"/>
    <cellStyle name="Separador de milhares 2 2 2 2 5" xfId="1573" xr:uid="{00000000-0005-0000-0000-0000B80E0000}"/>
    <cellStyle name="Separador de milhares 2 2 2 2 6" xfId="2835" xr:uid="{00000000-0005-0000-0000-0000B90E0000}"/>
    <cellStyle name="Separador de milhares 2 2 2 2 7" xfId="3274" xr:uid="{00000000-0005-0000-0000-0000BA0E0000}"/>
    <cellStyle name="Separador de milhares 2 2 2 2 8" xfId="3633" xr:uid="{00000000-0005-0000-0000-0000BB0E0000}"/>
    <cellStyle name="Separador de milhares 2 2 2 2 9" xfId="3896" xr:uid="{00000000-0005-0000-0000-0000BC0E0000}"/>
    <cellStyle name="Separador de milhares 2 2 2 20" xfId="3871" xr:uid="{00000000-0005-0000-0000-0000BD0E0000}"/>
    <cellStyle name="Separador de milhares 2 2 2 21" xfId="384" xr:uid="{00000000-0005-0000-0000-0000BE0E0000}"/>
    <cellStyle name="Separador de milhares 2 2 2 3" xfId="500" xr:uid="{00000000-0005-0000-0000-0000BF0E0000}"/>
    <cellStyle name="Separador de milhares 2 2 2 3 2" xfId="676" xr:uid="{00000000-0005-0000-0000-0000C00E0000}"/>
    <cellStyle name="Separador de milhares 2 2 2 3 2 2" xfId="1143" xr:uid="{00000000-0005-0000-0000-0000C10E0000}"/>
    <cellStyle name="Separador de milhares 2 2 2 3 2 3" xfId="1466" xr:uid="{00000000-0005-0000-0000-0000C20E0000}"/>
    <cellStyle name="Separador de milhares 2 2 2 3 2 4" xfId="1768" xr:uid="{00000000-0005-0000-0000-0000C30E0000}"/>
    <cellStyle name="Separador de milhares 2 2 2 3 2 5" xfId="3014" xr:uid="{00000000-0005-0000-0000-0000C40E0000}"/>
    <cellStyle name="Separador de milhares 2 2 2 3 2 6" xfId="4108" xr:uid="{00000000-0005-0000-0000-0000C50E0000}"/>
    <cellStyle name="Separador de milhares 2 2 2 3 3" xfId="994" xr:uid="{00000000-0005-0000-0000-0000C60E0000}"/>
    <cellStyle name="Separador de milhares 2 2 2 3 4" xfId="1308" xr:uid="{00000000-0005-0000-0000-0000C70E0000}"/>
    <cellStyle name="Separador de milhares 2 2 2 3 5" xfId="1615" xr:uid="{00000000-0005-0000-0000-0000C80E0000}"/>
    <cellStyle name="Separador de milhares 2 2 2 3 6" xfId="3304" xr:uid="{00000000-0005-0000-0000-0000C90E0000}"/>
    <cellStyle name="Separador de milhares 2 2 2 3 7" xfId="3940" xr:uid="{00000000-0005-0000-0000-0000CA0E0000}"/>
    <cellStyle name="Separador de milhares 2 2 2 4" xfId="543" xr:uid="{00000000-0005-0000-0000-0000CB0E0000}"/>
    <cellStyle name="Separador de milhares 2 2 2 4 2" xfId="713" xr:uid="{00000000-0005-0000-0000-0000CC0E0000}"/>
    <cellStyle name="Separador de milhares 2 2 2 4 2 2" xfId="1174" xr:uid="{00000000-0005-0000-0000-0000CD0E0000}"/>
    <cellStyle name="Separador de milhares 2 2 2 4 2 3" xfId="1499" xr:uid="{00000000-0005-0000-0000-0000CE0E0000}"/>
    <cellStyle name="Separador de milhares 2 2 2 4 2 4" xfId="1801" xr:uid="{00000000-0005-0000-0000-0000CF0E0000}"/>
    <cellStyle name="Separador de milhares 2 2 2 4 2 5" xfId="3352" xr:uid="{00000000-0005-0000-0000-0000D00E0000}"/>
    <cellStyle name="Separador de milhares 2 2 2 4 2 6" xfId="4145" xr:uid="{00000000-0005-0000-0000-0000D10E0000}"/>
    <cellStyle name="Separador de milhares 2 2 2 4 3" xfId="1026" xr:uid="{00000000-0005-0000-0000-0000D20E0000}"/>
    <cellStyle name="Separador de milhares 2 2 2 4 4" xfId="1343" xr:uid="{00000000-0005-0000-0000-0000D30E0000}"/>
    <cellStyle name="Separador de milhares 2 2 2 4 5" xfId="1645" xr:uid="{00000000-0005-0000-0000-0000D40E0000}"/>
    <cellStyle name="Separador de milhares 2 2 2 4 6" xfId="3132" xr:uid="{00000000-0005-0000-0000-0000D50E0000}"/>
    <cellStyle name="Separador de milhares 2 2 2 4 7" xfId="3979" xr:uid="{00000000-0005-0000-0000-0000D60E0000}"/>
    <cellStyle name="Separador de milhares 2 2 2 5" xfId="577" xr:uid="{00000000-0005-0000-0000-0000D70E0000}"/>
    <cellStyle name="Separador de milhares 2 2 2 5 2" xfId="1051" xr:uid="{00000000-0005-0000-0000-0000D80E0000}"/>
    <cellStyle name="Separador de milhares 2 2 2 5 3" xfId="1370" xr:uid="{00000000-0005-0000-0000-0000D90E0000}"/>
    <cellStyle name="Separador de milhares 2 2 2 5 4" xfId="1672" xr:uid="{00000000-0005-0000-0000-0000DA0E0000}"/>
    <cellStyle name="Separador de milhares 2 2 2 5 5" xfId="3104" xr:uid="{00000000-0005-0000-0000-0000DB0E0000}"/>
    <cellStyle name="Separador de milhares 2 2 2 5 6" xfId="4010" xr:uid="{00000000-0005-0000-0000-0000DC0E0000}"/>
    <cellStyle name="Separador de milhares 2 2 2 6" xfId="596" xr:uid="{00000000-0005-0000-0000-0000DD0E0000}"/>
    <cellStyle name="Separador de milhares 2 2 2 6 2" xfId="1070" xr:uid="{00000000-0005-0000-0000-0000DE0E0000}"/>
    <cellStyle name="Separador de milhares 2 2 2 6 3" xfId="1389" xr:uid="{00000000-0005-0000-0000-0000DF0E0000}"/>
    <cellStyle name="Separador de milhares 2 2 2 6 4" xfId="1691" xr:uid="{00000000-0005-0000-0000-0000E00E0000}"/>
    <cellStyle name="Separador de milhares 2 2 2 6 5" xfId="3320" xr:uid="{00000000-0005-0000-0000-0000E10E0000}"/>
    <cellStyle name="Separador de milhares 2 2 2 6 6" xfId="4029" xr:uid="{00000000-0005-0000-0000-0000E20E0000}"/>
    <cellStyle name="Separador de milhares 2 2 2 7" xfId="738" xr:uid="{00000000-0005-0000-0000-0000E30E0000}"/>
    <cellStyle name="Separador de milhares 2 2 2 7 2" xfId="1199" xr:uid="{00000000-0005-0000-0000-0000E40E0000}"/>
    <cellStyle name="Separador de milhares 2 2 2 7 3" xfId="1524" xr:uid="{00000000-0005-0000-0000-0000E50E0000}"/>
    <cellStyle name="Separador de milhares 2 2 2 7 4" xfId="1826" xr:uid="{00000000-0005-0000-0000-0000E60E0000}"/>
    <cellStyle name="Separador de milhares 2 2 2 7 5" xfId="3377" xr:uid="{00000000-0005-0000-0000-0000E70E0000}"/>
    <cellStyle name="Separador de milhares 2 2 2 7 6" xfId="4170" xr:uid="{00000000-0005-0000-0000-0000E80E0000}"/>
    <cellStyle name="Separador de milhares 2 2 2 8" xfId="416" xr:uid="{00000000-0005-0000-0000-0000E90E0000}"/>
    <cellStyle name="Separador de milhares 2 2 2 9" xfId="920" xr:uid="{00000000-0005-0000-0000-0000EA0E0000}"/>
    <cellStyle name="Separador de milhares 3" xfId="296" xr:uid="{00000000-0005-0000-0000-0000EB0E0000}"/>
    <cellStyle name="Separador de milhares 3 2" xfId="453" xr:uid="{00000000-0005-0000-0000-0000EC0E0000}"/>
    <cellStyle name="Separador de milhares 4" xfId="297" xr:uid="{00000000-0005-0000-0000-0000ED0E0000}"/>
    <cellStyle name="Separador de milhares 5" xfId="298" xr:uid="{00000000-0005-0000-0000-0000EE0E0000}"/>
    <cellStyle name="Style 1" xfId="299" xr:uid="{00000000-0005-0000-0000-0000EF0E0000}"/>
    <cellStyle name="Text Indent A" xfId="300" xr:uid="{00000000-0005-0000-0000-0000F00E0000}"/>
    <cellStyle name="Text Indent B" xfId="301" xr:uid="{00000000-0005-0000-0000-0000F10E0000}"/>
    <cellStyle name="Text Indent C" xfId="302" xr:uid="{00000000-0005-0000-0000-0000F20E0000}"/>
    <cellStyle name="Texto de advertencia 2" xfId="2243" xr:uid="{00000000-0005-0000-0000-0000F30E0000}"/>
    <cellStyle name="Texto de Aviso" xfId="337" builtinId="11" customBuiltin="1"/>
    <cellStyle name="Texto de Aviso 2" xfId="303" xr:uid="{00000000-0005-0000-0000-0000F50E0000}"/>
    <cellStyle name="Texto Explicativo" xfId="338" builtinId="53" customBuiltin="1"/>
    <cellStyle name="Texto Explicativo 2" xfId="304" xr:uid="{00000000-0005-0000-0000-0000F70E0000}"/>
    <cellStyle name="Title" xfId="2244" xr:uid="{00000000-0005-0000-0000-0000F80E0000}"/>
    <cellStyle name="Título 1" xfId="325" builtinId="16" customBuiltin="1"/>
    <cellStyle name="Título 1 2" xfId="305" xr:uid="{00000000-0005-0000-0000-0000FA0E0000}"/>
    <cellStyle name="Título 2" xfId="326" builtinId="17" customBuiltin="1"/>
    <cellStyle name="Título 2 2" xfId="306" xr:uid="{00000000-0005-0000-0000-0000FC0E0000}"/>
    <cellStyle name="Título 3" xfId="327" builtinId="18" customBuiltin="1"/>
    <cellStyle name="Título 3 2" xfId="307" xr:uid="{00000000-0005-0000-0000-0000FE0E0000}"/>
    <cellStyle name="Título 4" xfId="328" builtinId="19" customBuiltin="1"/>
    <cellStyle name="Título 4 2" xfId="308" xr:uid="{00000000-0005-0000-0000-0000000F0000}"/>
    <cellStyle name="Título 5" xfId="309" xr:uid="{00000000-0005-0000-0000-0000010F0000}"/>
    <cellStyle name="Título 6" xfId="422" xr:uid="{00000000-0005-0000-0000-0000020F0000}"/>
    <cellStyle name="Título 7" xfId="365" xr:uid="{00000000-0005-0000-0000-0000030F0000}"/>
    <cellStyle name="TopGrey" xfId="310" xr:uid="{00000000-0005-0000-0000-0000040F0000}"/>
    <cellStyle name="Total" xfId="339" builtinId="25" customBuiltin="1"/>
    <cellStyle name="Total 2" xfId="311" xr:uid="{00000000-0005-0000-0000-0000060F0000}"/>
    <cellStyle name="Total 2 10" xfId="2251" xr:uid="{00000000-0005-0000-0000-0000070F0000}"/>
    <cellStyle name="Total 2 11" xfId="2280" xr:uid="{00000000-0005-0000-0000-0000080F0000}"/>
    <cellStyle name="Total 2 12" xfId="3248" xr:uid="{00000000-0005-0000-0000-0000090F0000}"/>
    <cellStyle name="Total 2 2" xfId="312" xr:uid="{00000000-0005-0000-0000-00000A0F0000}"/>
    <cellStyle name="Total 2 2 10" xfId="3249" xr:uid="{00000000-0005-0000-0000-00000B0F0000}"/>
    <cellStyle name="Total 2 2 2" xfId="514" xr:uid="{00000000-0005-0000-0000-00000C0F0000}"/>
    <cellStyle name="Total 2 2 2 2" xfId="689" xr:uid="{00000000-0005-0000-0000-00000D0F0000}"/>
    <cellStyle name="Total 2 2 2 2 2" xfId="824" xr:uid="{00000000-0005-0000-0000-00000E0F0000}"/>
    <cellStyle name="Total 2 2 2 2 3" xfId="894" xr:uid="{00000000-0005-0000-0000-00000F0F0000}"/>
    <cellStyle name="Total 2 2 2 2 4" xfId="3335" xr:uid="{00000000-0005-0000-0000-0000100F0000}"/>
    <cellStyle name="Total 2 2 2 2 5" xfId="4121" xr:uid="{00000000-0005-0000-0000-0000110F0000}"/>
    <cellStyle name="Total 2 2 2 3" xfId="774" xr:uid="{00000000-0005-0000-0000-0000120F0000}"/>
    <cellStyle name="Total 2 2 2 4" xfId="853" xr:uid="{00000000-0005-0000-0000-0000130F0000}"/>
    <cellStyle name="Total 2 2 2 5" xfId="2571" xr:uid="{00000000-0005-0000-0000-0000140F0000}"/>
    <cellStyle name="Total 2 2 2 6" xfId="3250" xr:uid="{00000000-0005-0000-0000-0000150F0000}"/>
    <cellStyle name="Total 2 2 3" xfId="556" xr:uid="{00000000-0005-0000-0000-0000160F0000}"/>
    <cellStyle name="Total 2 2 3 2" xfId="791" xr:uid="{00000000-0005-0000-0000-0000170F0000}"/>
    <cellStyle name="Total 2 2 3 3" xfId="869" xr:uid="{00000000-0005-0000-0000-0000180F0000}"/>
    <cellStyle name="Total 2 2 3 4" xfId="3119" xr:uid="{00000000-0005-0000-0000-0000190F0000}"/>
    <cellStyle name="Total 2 2 3 5" xfId="3992" xr:uid="{00000000-0005-0000-0000-00001A0F0000}"/>
    <cellStyle name="Total 2 2 4" xfId="813" xr:uid="{00000000-0005-0000-0000-00001B0F0000}"/>
    <cellStyle name="Total 2 2 5" xfId="1849" xr:uid="{00000000-0005-0000-0000-00001C0F0000}"/>
    <cellStyle name="Total 2 2 6" xfId="1872" xr:uid="{00000000-0005-0000-0000-00001D0F0000}"/>
    <cellStyle name="Total 2 2 7" xfId="1861" xr:uid="{00000000-0005-0000-0000-00001E0F0000}"/>
    <cellStyle name="Total 2 2 8" xfId="2250" xr:uid="{00000000-0005-0000-0000-00001F0F0000}"/>
    <cellStyle name="Total 2 2 9" xfId="1946" xr:uid="{00000000-0005-0000-0000-0000200F0000}"/>
    <cellStyle name="Total 2 3" xfId="313" xr:uid="{00000000-0005-0000-0000-0000210F0000}"/>
    <cellStyle name="Total 2 3 10" xfId="3251" xr:uid="{00000000-0005-0000-0000-0000220F0000}"/>
    <cellStyle name="Total 2 3 2" xfId="515" xr:uid="{00000000-0005-0000-0000-0000230F0000}"/>
    <cellStyle name="Total 2 3 2 2" xfId="690" xr:uid="{00000000-0005-0000-0000-0000240F0000}"/>
    <cellStyle name="Total 2 3 2 2 2" xfId="825" xr:uid="{00000000-0005-0000-0000-0000250F0000}"/>
    <cellStyle name="Total 2 3 2 2 3" xfId="895" xr:uid="{00000000-0005-0000-0000-0000260F0000}"/>
    <cellStyle name="Total 2 3 2 2 4" xfId="3336" xr:uid="{00000000-0005-0000-0000-0000270F0000}"/>
    <cellStyle name="Total 2 3 2 2 5" xfId="4122" xr:uid="{00000000-0005-0000-0000-0000280F0000}"/>
    <cellStyle name="Total 2 3 2 3" xfId="775" xr:uid="{00000000-0005-0000-0000-0000290F0000}"/>
    <cellStyle name="Total 2 3 2 4" xfId="854" xr:uid="{00000000-0005-0000-0000-00002A0F0000}"/>
    <cellStyle name="Total 2 3 2 5" xfId="2572" xr:uid="{00000000-0005-0000-0000-00002B0F0000}"/>
    <cellStyle name="Total 2 3 2 6" xfId="3252" xr:uid="{00000000-0005-0000-0000-00002C0F0000}"/>
    <cellStyle name="Total 2 3 3" xfId="557" xr:uid="{00000000-0005-0000-0000-00002D0F0000}"/>
    <cellStyle name="Total 2 3 3 2" xfId="792" xr:uid="{00000000-0005-0000-0000-00002E0F0000}"/>
    <cellStyle name="Total 2 3 3 3" xfId="870" xr:uid="{00000000-0005-0000-0000-00002F0F0000}"/>
    <cellStyle name="Total 2 3 3 4" xfId="3118" xr:uid="{00000000-0005-0000-0000-0000300F0000}"/>
    <cellStyle name="Total 2 3 3 5" xfId="3993" xr:uid="{00000000-0005-0000-0000-0000310F0000}"/>
    <cellStyle name="Total 2 3 4" xfId="781" xr:uid="{00000000-0005-0000-0000-0000320F0000}"/>
    <cellStyle name="Total 2 3 5" xfId="1847" xr:uid="{00000000-0005-0000-0000-0000330F0000}"/>
    <cellStyle name="Total 2 3 6" xfId="1873" xr:uid="{00000000-0005-0000-0000-0000340F0000}"/>
    <cellStyle name="Total 2 3 7" xfId="1860" xr:uid="{00000000-0005-0000-0000-0000350F0000}"/>
    <cellStyle name="Total 2 3 8" xfId="2267" xr:uid="{00000000-0005-0000-0000-0000360F0000}"/>
    <cellStyle name="Total 2 3 9" xfId="1947" xr:uid="{00000000-0005-0000-0000-0000370F0000}"/>
    <cellStyle name="Total 2 4" xfId="480" xr:uid="{00000000-0005-0000-0000-0000380F0000}"/>
    <cellStyle name="Total 2 4 2" xfId="656" xr:uid="{00000000-0005-0000-0000-0000390F0000}"/>
    <cellStyle name="Total 2 4 2 2" xfId="808" xr:uid="{00000000-0005-0000-0000-00003A0F0000}"/>
    <cellStyle name="Total 2 4 2 3" xfId="881" xr:uid="{00000000-0005-0000-0000-00003B0F0000}"/>
    <cellStyle name="Total 2 4 2 4" xfId="3034" xr:uid="{00000000-0005-0000-0000-00003C0F0000}"/>
    <cellStyle name="Total 2 4 2 5" xfId="4089" xr:uid="{00000000-0005-0000-0000-00003D0F0000}"/>
    <cellStyle name="Total 2 4 3" xfId="759" xr:uid="{00000000-0005-0000-0000-00003E0F0000}"/>
    <cellStyle name="Total 2 4 4" xfId="840" xr:uid="{00000000-0005-0000-0000-00003F0F0000}"/>
    <cellStyle name="Total 2 4 5" xfId="2573" xr:uid="{00000000-0005-0000-0000-0000400F0000}"/>
    <cellStyle name="Total 2 4 6" xfId="3253" xr:uid="{00000000-0005-0000-0000-0000410F0000}"/>
    <cellStyle name="Total 2 5" xfId="531" xr:uid="{00000000-0005-0000-0000-0000420F0000}"/>
    <cellStyle name="Total 2 5 2" xfId="776" xr:uid="{00000000-0005-0000-0000-0000430F0000}"/>
    <cellStyle name="Total 2 5 3" xfId="855" xr:uid="{00000000-0005-0000-0000-0000440F0000}"/>
    <cellStyle name="Total 2 5 4" xfId="3146" xr:uid="{00000000-0005-0000-0000-0000450F0000}"/>
    <cellStyle name="Total 2 5 5" xfId="3968" xr:uid="{00000000-0005-0000-0000-0000460F0000}"/>
    <cellStyle name="Total 2 6" xfId="764" xr:uid="{00000000-0005-0000-0000-0000470F0000}"/>
    <cellStyle name="Total 2 7" xfId="1851" xr:uid="{00000000-0005-0000-0000-0000480F0000}"/>
    <cellStyle name="Total 2 8" xfId="1871" xr:uid="{00000000-0005-0000-0000-0000490F0000}"/>
    <cellStyle name="Total 2 9" xfId="2286" xr:uid="{00000000-0005-0000-0000-00004A0F0000}"/>
    <cellStyle name="Valuta (0)_ cellular Costs" xfId="314" xr:uid="{00000000-0005-0000-0000-00004B0F0000}"/>
    <cellStyle name="Valuta_ cellular Costs" xfId="315" xr:uid="{00000000-0005-0000-0000-00004C0F0000}"/>
    <cellStyle name="Vírgula" xfId="5" builtinId="3"/>
    <cellStyle name="Vírgula 10" xfId="459" xr:uid="{00000000-0005-0000-0000-00004E0F0000}"/>
    <cellStyle name="Vírgula 10 10" xfId="3588" xr:uid="{00000000-0005-0000-0000-00004F0F0000}"/>
    <cellStyle name="Vírgula 10 11" xfId="3851" xr:uid="{00000000-0005-0000-0000-0000500F0000}"/>
    <cellStyle name="Vírgula 10 12" xfId="3901" xr:uid="{00000000-0005-0000-0000-0000510F0000}"/>
    <cellStyle name="Vírgula 10 2" xfId="635" xr:uid="{00000000-0005-0000-0000-0000520F0000}"/>
    <cellStyle name="Vírgula 10 2 2" xfId="1106" xr:uid="{00000000-0005-0000-0000-0000530F0000}"/>
    <cellStyle name="Vírgula 10 2 3" xfId="1428" xr:uid="{00000000-0005-0000-0000-0000540F0000}"/>
    <cellStyle name="Vírgula 10 2 4" xfId="1730" xr:uid="{00000000-0005-0000-0000-0000550F0000}"/>
    <cellStyle name="Vírgula 10 2 5" xfId="3057" xr:uid="{00000000-0005-0000-0000-0000560F0000}"/>
    <cellStyle name="Vírgula 10 2 6" xfId="4068" xr:uid="{00000000-0005-0000-0000-0000570F0000}"/>
    <cellStyle name="Vírgula 10 3" xfId="957" xr:uid="{00000000-0005-0000-0000-0000580F0000}"/>
    <cellStyle name="Vírgula 10 4" xfId="1269" xr:uid="{00000000-0005-0000-0000-0000590F0000}"/>
    <cellStyle name="Vírgula 10 5" xfId="1578" xr:uid="{00000000-0005-0000-0000-00005A0F0000}"/>
    <cellStyle name="Vírgula 10 6" xfId="2555" xr:uid="{00000000-0005-0000-0000-00005B0F0000}"/>
    <cellStyle name="Vírgula 10 7" xfId="2776" xr:uid="{00000000-0005-0000-0000-00005C0F0000}"/>
    <cellStyle name="Vírgula 10 8" xfId="3255" xr:uid="{00000000-0005-0000-0000-00005D0F0000}"/>
    <cellStyle name="Vírgula 10 9" xfId="3176" xr:uid="{00000000-0005-0000-0000-00005E0F0000}"/>
    <cellStyle name="Vírgula 11" xfId="502" xr:uid="{00000000-0005-0000-0000-00005F0F0000}"/>
    <cellStyle name="Vírgula 11 2" xfId="678" xr:uid="{00000000-0005-0000-0000-0000600F0000}"/>
    <cellStyle name="Vírgula 11 2 2" xfId="1145" xr:uid="{00000000-0005-0000-0000-0000610F0000}"/>
    <cellStyle name="Vírgula 11 2 3" xfId="1468" xr:uid="{00000000-0005-0000-0000-0000620F0000}"/>
    <cellStyle name="Vírgula 11 2 4" xfId="1770" xr:uid="{00000000-0005-0000-0000-0000630F0000}"/>
    <cellStyle name="Vírgula 11 2 5" xfId="3012" xr:uid="{00000000-0005-0000-0000-0000640F0000}"/>
    <cellStyle name="Vírgula 11 2 6" xfId="4110" xr:uid="{00000000-0005-0000-0000-0000650F0000}"/>
    <cellStyle name="Vírgula 11 3" xfId="996" xr:uid="{00000000-0005-0000-0000-0000660F0000}"/>
    <cellStyle name="Vírgula 11 4" xfId="1310" xr:uid="{00000000-0005-0000-0000-0000670F0000}"/>
    <cellStyle name="Vírgula 11 5" xfId="1617" xr:uid="{00000000-0005-0000-0000-0000680F0000}"/>
    <cellStyle name="Vírgula 11 6" xfId="3306" xr:uid="{00000000-0005-0000-0000-0000690F0000}"/>
    <cellStyle name="Vírgula 11 7" xfId="3942" xr:uid="{00000000-0005-0000-0000-00006A0F0000}"/>
    <cellStyle name="Vírgula 12" xfId="545" xr:uid="{00000000-0005-0000-0000-00006B0F0000}"/>
    <cellStyle name="Vírgula 12 2" xfId="715" xr:uid="{00000000-0005-0000-0000-00006C0F0000}"/>
    <cellStyle name="Vírgula 12 2 2" xfId="1176" xr:uid="{00000000-0005-0000-0000-00006D0F0000}"/>
    <cellStyle name="Vírgula 12 2 3" xfId="1501" xr:uid="{00000000-0005-0000-0000-00006E0F0000}"/>
    <cellStyle name="Vírgula 12 2 4" xfId="1803" xr:uid="{00000000-0005-0000-0000-00006F0F0000}"/>
    <cellStyle name="Vírgula 12 2 5" xfId="3354" xr:uid="{00000000-0005-0000-0000-0000700F0000}"/>
    <cellStyle name="Vírgula 12 2 6" xfId="4147" xr:uid="{00000000-0005-0000-0000-0000710F0000}"/>
    <cellStyle name="Vírgula 12 3" xfId="1028" xr:uid="{00000000-0005-0000-0000-0000720F0000}"/>
    <cellStyle name="Vírgula 12 4" xfId="1345" xr:uid="{00000000-0005-0000-0000-0000730F0000}"/>
    <cellStyle name="Vírgula 12 5" xfId="1647" xr:uid="{00000000-0005-0000-0000-0000740F0000}"/>
    <cellStyle name="Vírgula 12 6" xfId="3130" xr:uid="{00000000-0005-0000-0000-0000750F0000}"/>
    <cellStyle name="Vírgula 12 7" xfId="3981" xr:uid="{00000000-0005-0000-0000-0000760F0000}"/>
    <cellStyle name="Vírgula 13" xfId="739" xr:uid="{00000000-0005-0000-0000-0000770F0000}"/>
    <cellStyle name="Vírgula 13 2" xfId="1200" xr:uid="{00000000-0005-0000-0000-0000780F0000}"/>
    <cellStyle name="Vírgula 13 3" xfId="1525" xr:uid="{00000000-0005-0000-0000-0000790F0000}"/>
    <cellStyle name="Vírgula 13 4" xfId="1827" xr:uid="{00000000-0005-0000-0000-00007A0F0000}"/>
    <cellStyle name="Vírgula 13 5" xfId="3378" xr:uid="{00000000-0005-0000-0000-00007B0F0000}"/>
    <cellStyle name="Vírgula 13 6" xfId="4171" xr:uid="{00000000-0005-0000-0000-00007C0F0000}"/>
    <cellStyle name="Vírgula 14" xfId="1950" xr:uid="{00000000-0005-0000-0000-00007D0F0000}"/>
    <cellStyle name="Vírgula 15" xfId="2343" xr:uid="{00000000-0005-0000-0000-00007E0F0000}"/>
    <cellStyle name="Vírgula 16" xfId="2366" xr:uid="{00000000-0005-0000-0000-00007F0F0000}"/>
    <cellStyle name="Vírgula 17" xfId="2596" xr:uid="{00000000-0005-0000-0000-0000800F0000}"/>
    <cellStyle name="Vírgula 18" xfId="3254" xr:uid="{00000000-0005-0000-0000-0000810F0000}"/>
    <cellStyle name="Vírgula 19" xfId="3587" xr:uid="{00000000-0005-0000-0000-0000820F0000}"/>
    <cellStyle name="Vírgula 2" xfId="9" xr:uid="{00000000-0005-0000-0000-0000830F0000}"/>
    <cellStyle name="Vírgula 2 2" xfId="316" xr:uid="{00000000-0005-0000-0000-0000840F0000}"/>
    <cellStyle name="Vírgula 2 2 10" xfId="1232" xr:uid="{00000000-0005-0000-0000-0000850F0000}"/>
    <cellStyle name="Vírgula 2 2 11" xfId="1547" xr:uid="{00000000-0005-0000-0000-0000860F0000}"/>
    <cellStyle name="Vírgula 2 2 12" xfId="1951" xr:uid="{00000000-0005-0000-0000-0000870F0000}"/>
    <cellStyle name="Vírgula 2 2 13" xfId="2367" xr:uid="{00000000-0005-0000-0000-0000880F0000}"/>
    <cellStyle name="Vírgula 2 2 14" xfId="2597" xr:uid="{00000000-0005-0000-0000-0000890F0000}"/>
    <cellStyle name="Vírgula 2 2 15" xfId="2804" xr:uid="{00000000-0005-0000-0000-00008A0F0000}"/>
    <cellStyle name="Vírgula 2 2 16" xfId="3256" xr:uid="{00000000-0005-0000-0000-00008B0F0000}"/>
    <cellStyle name="Vírgula 2 2 17" xfId="3589" xr:uid="{00000000-0005-0000-0000-00008C0F0000}"/>
    <cellStyle name="Vírgula 2 2 18" xfId="3610" xr:uid="{00000000-0005-0000-0000-00008D0F0000}"/>
    <cellStyle name="Vírgula 2 2 19" xfId="3852" xr:uid="{00000000-0005-0000-0000-00008E0F0000}"/>
    <cellStyle name="Vírgula 2 2 2" xfId="440" xr:uid="{00000000-0005-0000-0000-00008F0F0000}"/>
    <cellStyle name="Vírgula 2 2 2 2" xfId="622" xr:uid="{00000000-0005-0000-0000-0000900F0000}"/>
    <cellStyle name="Vírgula 2 2 2 2 2" xfId="1095" xr:uid="{00000000-0005-0000-0000-0000910F0000}"/>
    <cellStyle name="Vírgula 2 2 2 2 3" xfId="1415" xr:uid="{00000000-0005-0000-0000-0000920F0000}"/>
    <cellStyle name="Vírgula 2 2 2 2 4" xfId="1717" xr:uid="{00000000-0005-0000-0000-0000930F0000}"/>
    <cellStyle name="Vírgula 2 2 2 2 5" xfId="3070" xr:uid="{00000000-0005-0000-0000-0000940F0000}"/>
    <cellStyle name="Vírgula 2 2 2 2 6" xfId="4055" xr:uid="{00000000-0005-0000-0000-0000950F0000}"/>
    <cellStyle name="Vírgula 2 2 2 3" xfId="946" xr:uid="{00000000-0005-0000-0000-0000960F0000}"/>
    <cellStyle name="Vírgula 2 2 2 4" xfId="1256" xr:uid="{00000000-0005-0000-0000-0000970F0000}"/>
    <cellStyle name="Vírgula 2 2 2 5" xfId="1571" xr:uid="{00000000-0005-0000-0000-0000980F0000}"/>
    <cellStyle name="Vírgula 2 2 2 6" xfId="2833" xr:uid="{00000000-0005-0000-0000-0000990F0000}"/>
    <cellStyle name="Vírgula 2 2 2 7" xfId="3272" xr:uid="{00000000-0005-0000-0000-00009A0F0000}"/>
    <cellStyle name="Vírgula 2 2 2 8" xfId="3631" xr:uid="{00000000-0005-0000-0000-00009B0F0000}"/>
    <cellStyle name="Vírgula 2 2 2 9" xfId="3894" xr:uid="{00000000-0005-0000-0000-00009C0F0000}"/>
    <cellStyle name="Vírgula 2 2 20" xfId="3872" xr:uid="{00000000-0005-0000-0000-00009D0F0000}"/>
    <cellStyle name="Vírgula 2 2 21" xfId="385" xr:uid="{00000000-0005-0000-0000-00009E0F0000}"/>
    <cellStyle name="Vírgula 2 2 3" xfId="498" xr:uid="{00000000-0005-0000-0000-00009F0F0000}"/>
    <cellStyle name="Vírgula 2 2 3 2" xfId="674" xr:uid="{00000000-0005-0000-0000-0000A00F0000}"/>
    <cellStyle name="Vírgula 2 2 3 2 2" xfId="1141" xr:uid="{00000000-0005-0000-0000-0000A10F0000}"/>
    <cellStyle name="Vírgula 2 2 3 2 3" xfId="1464" xr:uid="{00000000-0005-0000-0000-0000A20F0000}"/>
    <cellStyle name="Vírgula 2 2 3 2 4" xfId="1766" xr:uid="{00000000-0005-0000-0000-0000A30F0000}"/>
    <cellStyle name="Vírgula 2 2 3 2 5" xfId="3016" xr:uid="{00000000-0005-0000-0000-0000A40F0000}"/>
    <cellStyle name="Vírgula 2 2 3 2 6" xfId="4106" xr:uid="{00000000-0005-0000-0000-0000A50F0000}"/>
    <cellStyle name="Vírgula 2 2 3 3" xfId="992" xr:uid="{00000000-0005-0000-0000-0000A60F0000}"/>
    <cellStyle name="Vírgula 2 2 3 4" xfId="1306" xr:uid="{00000000-0005-0000-0000-0000A70F0000}"/>
    <cellStyle name="Vírgula 2 2 3 5" xfId="1613" xr:uid="{00000000-0005-0000-0000-0000A80F0000}"/>
    <cellStyle name="Vírgula 2 2 3 6" xfId="3163" xr:uid="{00000000-0005-0000-0000-0000A90F0000}"/>
    <cellStyle name="Vírgula 2 2 3 7" xfId="3938" xr:uid="{00000000-0005-0000-0000-0000AA0F0000}"/>
    <cellStyle name="Vírgula 2 2 4" xfId="541" xr:uid="{00000000-0005-0000-0000-0000AB0F0000}"/>
    <cellStyle name="Vírgula 2 2 4 2" xfId="711" xr:uid="{00000000-0005-0000-0000-0000AC0F0000}"/>
    <cellStyle name="Vírgula 2 2 4 2 2" xfId="1172" xr:uid="{00000000-0005-0000-0000-0000AD0F0000}"/>
    <cellStyle name="Vírgula 2 2 4 2 3" xfId="1497" xr:uid="{00000000-0005-0000-0000-0000AE0F0000}"/>
    <cellStyle name="Vírgula 2 2 4 2 4" xfId="1799" xr:uid="{00000000-0005-0000-0000-0000AF0F0000}"/>
    <cellStyle name="Vírgula 2 2 4 2 5" xfId="3350" xr:uid="{00000000-0005-0000-0000-0000B00F0000}"/>
    <cellStyle name="Vírgula 2 2 4 2 6" xfId="4143" xr:uid="{00000000-0005-0000-0000-0000B10F0000}"/>
    <cellStyle name="Vírgula 2 2 4 3" xfId="1024" xr:uid="{00000000-0005-0000-0000-0000B20F0000}"/>
    <cellStyle name="Vírgula 2 2 4 4" xfId="1341" xr:uid="{00000000-0005-0000-0000-0000B30F0000}"/>
    <cellStyle name="Vírgula 2 2 4 5" xfId="1643" xr:uid="{00000000-0005-0000-0000-0000B40F0000}"/>
    <cellStyle name="Vírgula 2 2 4 6" xfId="3135" xr:uid="{00000000-0005-0000-0000-0000B50F0000}"/>
    <cellStyle name="Vírgula 2 2 4 7" xfId="3977" xr:uid="{00000000-0005-0000-0000-0000B60F0000}"/>
    <cellStyle name="Vírgula 2 2 5" xfId="578" xr:uid="{00000000-0005-0000-0000-0000B70F0000}"/>
    <cellStyle name="Vírgula 2 2 5 2" xfId="1052" xr:uid="{00000000-0005-0000-0000-0000B80F0000}"/>
    <cellStyle name="Vírgula 2 2 5 3" xfId="1371" xr:uid="{00000000-0005-0000-0000-0000B90F0000}"/>
    <cellStyle name="Vírgula 2 2 5 4" xfId="1673" xr:uid="{00000000-0005-0000-0000-0000BA0F0000}"/>
    <cellStyle name="Vírgula 2 2 5 5" xfId="3103" xr:uid="{00000000-0005-0000-0000-0000BB0F0000}"/>
    <cellStyle name="Vírgula 2 2 5 6" xfId="4011" xr:uid="{00000000-0005-0000-0000-0000BC0F0000}"/>
    <cellStyle name="Vírgula 2 2 6" xfId="597" xr:uid="{00000000-0005-0000-0000-0000BD0F0000}"/>
    <cellStyle name="Vírgula 2 2 6 2" xfId="1071" xr:uid="{00000000-0005-0000-0000-0000BE0F0000}"/>
    <cellStyle name="Vírgula 2 2 6 3" xfId="1390" xr:uid="{00000000-0005-0000-0000-0000BF0F0000}"/>
    <cellStyle name="Vírgula 2 2 6 4" xfId="1692" xr:uid="{00000000-0005-0000-0000-0000C00F0000}"/>
    <cellStyle name="Vírgula 2 2 6 5" xfId="3321" xr:uid="{00000000-0005-0000-0000-0000C10F0000}"/>
    <cellStyle name="Vírgula 2 2 6 6" xfId="4030" xr:uid="{00000000-0005-0000-0000-0000C20F0000}"/>
    <cellStyle name="Vírgula 2 2 7" xfId="740" xr:uid="{00000000-0005-0000-0000-0000C30F0000}"/>
    <cellStyle name="Vírgula 2 2 7 2" xfId="1201" xr:uid="{00000000-0005-0000-0000-0000C40F0000}"/>
    <cellStyle name="Vírgula 2 2 7 3" xfId="1526" xr:uid="{00000000-0005-0000-0000-0000C50F0000}"/>
    <cellStyle name="Vírgula 2 2 7 4" xfId="1828" xr:uid="{00000000-0005-0000-0000-0000C60F0000}"/>
    <cellStyle name="Vírgula 2 2 7 5" xfId="3379" xr:uid="{00000000-0005-0000-0000-0000C70F0000}"/>
    <cellStyle name="Vírgula 2 2 7 6" xfId="4172" xr:uid="{00000000-0005-0000-0000-0000C80F0000}"/>
    <cellStyle name="Vírgula 2 2 8" xfId="417" xr:uid="{00000000-0005-0000-0000-0000C90F0000}"/>
    <cellStyle name="Vírgula 2 2 9" xfId="921" xr:uid="{00000000-0005-0000-0000-0000CA0F0000}"/>
    <cellStyle name="Vírgula 2 3" xfId="439" xr:uid="{00000000-0005-0000-0000-0000CB0F0000}"/>
    <cellStyle name="Vírgula 2 3 2" xfId="745" xr:uid="{00000000-0005-0000-0000-0000CC0F0000}"/>
    <cellStyle name="Vírgula 20" xfId="3850" xr:uid="{00000000-0005-0000-0000-0000CD0F0000}"/>
    <cellStyle name="Vírgula 3" xfId="13" xr:uid="{00000000-0005-0000-0000-0000CE0F0000}"/>
    <cellStyle name="Vírgula 3 2" xfId="413" xr:uid="{00000000-0005-0000-0000-0000CF0F0000}"/>
    <cellStyle name="Vírgula 4" xfId="49" xr:uid="{00000000-0005-0000-0000-0000D00F0000}"/>
    <cellStyle name="Vírgula 4 2" xfId="741" xr:uid="{00000000-0005-0000-0000-0000D10F0000}"/>
    <cellStyle name="Vírgula 5" xfId="51" xr:uid="{00000000-0005-0000-0000-0000D20F0000}"/>
    <cellStyle name="Vírgula 5 10" xfId="2786" xr:uid="{00000000-0005-0000-0000-0000D30F0000}"/>
    <cellStyle name="Vírgula 5 11" xfId="3235" xr:uid="{00000000-0005-0000-0000-0000D40F0000}"/>
    <cellStyle name="Vírgula 5 12" xfId="3601" xr:uid="{00000000-0005-0000-0000-0000D50F0000}"/>
    <cellStyle name="Vírgula 5 13" xfId="3863" xr:uid="{00000000-0005-0000-0000-0000D60F0000}"/>
    <cellStyle name="Vírgula 5 14" xfId="373" xr:uid="{00000000-0005-0000-0000-0000D70F0000}"/>
    <cellStyle name="Vírgula 5 2" xfId="454" xr:uid="{00000000-0005-0000-0000-0000D80F0000}"/>
    <cellStyle name="Vírgula 5 3" xfId="441" xr:uid="{00000000-0005-0000-0000-0000D90F0000}"/>
    <cellStyle name="Vírgula 5 4" xfId="566" xr:uid="{00000000-0005-0000-0000-0000DA0F0000}"/>
    <cellStyle name="Vírgula 5 4 2" xfId="1043" xr:uid="{00000000-0005-0000-0000-0000DB0F0000}"/>
    <cellStyle name="Vírgula 5 4 3" xfId="1362" xr:uid="{00000000-0005-0000-0000-0000DC0F0000}"/>
    <cellStyle name="Vírgula 5 4 4" xfId="1664" xr:uid="{00000000-0005-0000-0000-0000DD0F0000}"/>
    <cellStyle name="Vírgula 5 4 5" xfId="3111" xr:uid="{00000000-0005-0000-0000-0000DE0F0000}"/>
    <cellStyle name="Vírgula 5 4 6" xfId="4002" xr:uid="{00000000-0005-0000-0000-0000DF0F0000}"/>
    <cellStyle name="Vírgula 5 5" xfId="588" xr:uid="{00000000-0005-0000-0000-0000E00F0000}"/>
    <cellStyle name="Vírgula 5 5 2" xfId="1062" xr:uid="{00000000-0005-0000-0000-0000E10F0000}"/>
    <cellStyle name="Vírgula 5 5 3" xfId="1381" xr:uid="{00000000-0005-0000-0000-0000E20F0000}"/>
    <cellStyle name="Vírgula 5 5 4" xfId="1683" xr:uid="{00000000-0005-0000-0000-0000E30F0000}"/>
    <cellStyle name="Vírgula 5 5 5" xfId="3093" xr:uid="{00000000-0005-0000-0000-0000E40F0000}"/>
    <cellStyle name="Vírgula 5 5 6" xfId="4021" xr:uid="{00000000-0005-0000-0000-0000E50F0000}"/>
    <cellStyle name="Vírgula 5 6" xfId="395" xr:uid="{00000000-0005-0000-0000-0000E60F0000}"/>
    <cellStyle name="Vírgula 5 7" xfId="908" xr:uid="{00000000-0005-0000-0000-0000E70F0000}"/>
    <cellStyle name="Vírgula 5 8" xfId="1223" xr:uid="{00000000-0005-0000-0000-0000E80F0000}"/>
    <cellStyle name="Vírgula 5 9" xfId="1536" xr:uid="{00000000-0005-0000-0000-0000E90F0000}"/>
    <cellStyle name="Vírgula 6" xfId="54" xr:uid="{00000000-0005-0000-0000-0000EA0F0000}"/>
    <cellStyle name="Vírgula 6 2" xfId="444" xr:uid="{00000000-0005-0000-0000-0000EB0F0000}"/>
    <cellStyle name="Vírgula 6 3" xfId="569" xr:uid="{00000000-0005-0000-0000-0000EC0F0000}"/>
    <cellStyle name="Vírgula 6 4" xfId="398" xr:uid="{00000000-0005-0000-0000-0000ED0F0000}"/>
    <cellStyle name="Vírgula 6 5" xfId="376" xr:uid="{00000000-0005-0000-0000-0000EE0F0000}"/>
    <cellStyle name="Vírgula 7" xfId="57" xr:uid="{00000000-0005-0000-0000-0000EF0F0000}"/>
    <cellStyle name="Vírgula 7 10" xfId="1226" xr:uid="{00000000-0005-0000-0000-0000F00F0000}"/>
    <cellStyle name="Vírgula 7 11" xfId="1539" xr:uid="{00000000-0005-0000-0000-0000F10F0000}"/>
    <cellStyle name="Vírgula 7 12" xfId="1953" xr:uid="{00000000-0005-0000-0000-0000F20F0000}"/>
    <cellStyle name="Vírgula 7 13" xfId="2368" xr:uid="{00000000-0005-0000-0000-0000F30F0000}"/>
    <cellStyle name="Vírgula 7 14" xfId="2598" xr:uid="{00000000-0005-0000-0000-0000F40F0000}"/>
    <cellStyle name="Vírgula 7 15" xfId="2789" xr:uid="{00000000-0005-0000-0000-0000F50F0000}"/>
    <cellStyle name="Vírgula 7 16" xfId="3257" xr:uid="{00000000-0005-0000-0000-0000F60F0000}"/>
    <cellStyle name="Vírgula 7 17" xfId="3261" xr:uid="{00000000-0005-0000-0000-0000F70F0000}"/>
    <cellStyle name="Vírgula 7 18" xfId="3590" xr:uid="{00000000-0005-0000-0000-0000F80F0000}"/>
    <cellStyle name="Vírgula 7 19" xfId="3604" xr:uid="{00000000-0005-0000-0000-0000F90F0000}"/>
    <cellStyle name="Vírgula 7 2" xfId="445" xr:uid="{00000000-0005-0000-0000-0000FA0F0000}"/>
    <cellStyle name="Vírgula 7 2 2" xfId="625" xr:uid="{00000000-0005-0000-0000-0000FB0F0000}"/>
    <cellStyle name="Vírgula 7 2 2 2" xfId="1098" xr:uid="{00000000-0005-0000-0000-0000FC0F0000}"/>
    <cellStyle name="Vírgula 7 2 2 3" xfId="1418" xr:uid="{00000000-0005-0000-0000-0000FD0F0000}"/>
    <cellStyle name="Vírgula 7 2 2 4" xfId="1720" xr:uid="{00000000-0005-0000-0000-0000FE0F0000}"/>
    <cellStyle name="Vírgula 7 2 2 5" xfId="3067" xr:uid="{00000000-0005-0000-0000-0000FF0F0000}"/>
    <cellStyle name="Vírgula 7 2 2 6" xfId="4058" xr:uid="{00000000-0005-0000-0000-000000100000}"/>
    <cellStyle name="Vírgula 7 2 3" xfId="949" xr:uid="{00000000-0005-0000-0000-000001100000}"/>
    <cellStyle name="Vírgula 7 2 4" xfId="1259" xr:uid="{00000000-0005-0000-0000-000002100000}"/>
    <cellStyle name="Vírgula 7 2 5" xfId="1574" xr:uid="{00000000-0005-0000-0000-000003100000}"/>
    <cellStyle name="Vírgula 7 2 6" xfId="2836" xr:uid="{00000000-0005-0000-0000-000004100000}"/>
    <cellStyle name="Vírgula 7 2 7" xfId="3275" xr:uid="{00000000-0005-0000-0000-000005100000}"/>
    <cellStyle name="Vírgula 7 2 8" xfId="3634" xr:uid="{00000000-0005-0000-0000-000006100000}"/>
    <cellStyle name="Vírgula 7 2 9" xfId="3897" xr:uid="{00000000-0005-0000-0000-000007100000}"/>
    <cellStyle name="Vírgula 7 20" xfId="3853" xr:uid="{00000000-0005-0000-0000-000008100000}"/>
    <cellStyle name="Vírgula 7 21" xfId="3866" xr:uid="{00000000-0005-0000-0000-000009100000}"/>
    <cellStyle name="Vírgula 7 22" xfId="379" xr:uid="{00000000-0005-0000-0000-00000A100000}"/>
    <cellStyle name="Vírgula 7 3" xfId="501" xr:uid="{00000000-0005-0000-0000-00000B100000}"/>
    <cellStyle name="Vírgula 7 3 2" xfId="677" xr:uid="{00000000-0005-0000-0000-00000C100000}"/>
    <cellStyle name="Vírgula 7 3 2 2" xfId="1144" xr:uid="{00000000-0005-0000-0000-00000D100000}"/>
    <cellStyle name="Vírgula 7 3 2 3" xfId="1467" xr:uid="{00000000-0005-0000-0000-00000E100000}"/>
    <cellStyle name="Vírgula 7 3 2 4" xfId="1769" xr:uid="{00000000-0005-0000-0000-00000F100000}"/>
    <cellStyle name="Vírgula 7 3 2 5" xfId="3013" xr:uid="{00000000-0005-0000-0000-000010100000}"/>
    <cellStyle name="Vírgula 7 3 2 6" xfId="4109" xr:uid="{00000000-0005-0000-0000-000011100000}"/>
    <cellStyle name="Vírgula 7 3 3" xfId="995" xr:uid="{00000000-0005-0000-0000-000012100000}"/>
    <cellStyle name="Vírgula 7 3 4" xfId="1309" xr:uid="{00000000-0005-0000-0000-000013100000}"/>
    <cellStyle name="Vírgula 7 3 5" xfId="1616" xr:uid="{00000000-0005-0000-0000-000014100000}"/>
    <cellStyle name="Vírgula 7 3 6" xfId="3305" xr:uid="{00000000-0005-0000-0000-000015100000}"/>
    <cellStyle name="Vírgula 7 3 7" xfId="3941" xr:uid="{00000000-0005-0000-0000-000016100000}"/>
    <cellStyle name="Vírgula 7 4" xfId="544" xr:uid="{00000000-0005-0000-0000-000017100000}"/>
    <cellStyle name="Vírgula 7 4 2" xfId="714" xr:uid="{00000000-0005-0000-0000-000018100000}"/>
    <cellStyle name="Vírgula 7 4 2 2" xfId="1175" xr:uid="{00000000-0005-0000-0000-000019100000}"/>
    <cellStyle name="Vírgula 7 4 2 3" xfId="1500" xr:uid="{00000000-0005-0000-0000-00001A100000}"/>
    <cellStyle name="Vírgula 7 4 2 4" xfId="1802" xr:uid="{00000000-0005-0000-0000-00001B100000}"/>
    <cellStyle name="Vírgula 7 4 2 5" xfId="3353" xr:uid="{00000000-0005-0000-0000-00001C100000}"/>
    <cellStyle name="Vírgula 7 4 2 6" xfId="4146" xr:uid="{00000000-0005-0000-0000-00001D100000}"/>
    <cellStyle name="Vírgula 7 4 3" xfId="1027" xr:uid="{00000000-0005-0000-0000-00001E100000}"/>
    <cellStyle name="Vírgula 7 4 4" xfId="1344" xr:uid="{00000000-0005-0000-0000-00001F100000}"/>
    <cellStyle name="Vírgula 7 4 5" xfId="1646" xr:uid="{00000000-0005-0000-0000-000020100000}"/>
    <cellStyle name="Vírgula 7 4 6" xfId="3131" xr:uid="{00000000-0005-0000-0000-000021100000}"/>
    <cellStyle name="Vírgula 7 4 7" xfId="3980" xr:uid="{00000000-0005-0000-0000-000022100000}"/>
    <cellStyle name="Vírgula 7 5" xfId="572" xr:uid="{00000000-0005-0000-0000-000023100000}"/>
    <cellStyle name="Vírgula 7 5 2" xfId="1046" xr:uid="{00000000-0005-0000-0000-000024100000}"/>
    <cellStyle name="Vírgula 7 5 3" xfId="1365" xr:uid="{00000000-0005-0000-0000-000025100000}"/>
    <cellStyle name="Vírgula 7 5 4" xfId="1667" xr:uid="{00000000-0005-0000-0000-000026100000}"/>
    <cellStyle name="Vírgula 7 5 5" xfId="3108" xr:uid="{00000000-0005-0000-0000-000027100000}"/>
    <cellStyle name="Vírgula 7 5 6" xfId="4005" xr:uid="{00000000-0005-0000-0000-000028100000}"/>
    <cellStyle name="Vírgula 7 6" xfId="591" xr:uid="{00000000-0005-0000-0000-000029100000}"/>
    <cellStyle name="Vírgula 7 6 2" xfId="1065" xr:uid="{00000000-0005-0000-0000-00002A100000}"/>
    <cellStyle name="Vírgula 7 6 3" xfId="1384" xr:uid="{00000000-0005-0000-0000-00002B100000}"/>
    <cellStyle name="Vírgula 7 6 4" xfId="1686" xr:uid="{00000000-0005-0000-0000-00002C100000}"/>
    <cellStyle name="Vírgula 7 6 5" xfId="3316" xr:uid="{00000000-0005-0000-0000-00002D100000}"/>
    <cellStyle name="Vírgula 7 6 6" xfId="4024" xr:uid="{00000000-0005-0000-0000-00002E100000}"/>
    <cellStyle name="Vírgula 7 7" xfId="742" xr:uid="{00000000-0005-0000-0000-00002F100000}"/>
    <cellStyle name="Vírgula 7 7 2" xfId="1202" xr:uid="{00000000-0005-0000-0000-000030100000}"/>
    <cellStyle name="Vírgula 7 7 3" xfId="1527" xr:uid="{00000000-0005-0000-0000-000031100000}"/>
    <cellStyle name="Vírgula 7 7 4" xfId="1829" xr:uid="{00000000-0005-0000-0000-000032100000}"/>
    <cellStyle name="Vírgula 7 7 5" xfId="3380" xr:uid="{00000000-0005-0000-0000-000033100000}"/>
    <cellStyle name="Vírgula 7 7 6" xfId="4173" xr:uid="{00000000-0005-0000-0000-000034100000}"/>
    <cellStyle name="Vírgula 7 8" xfId="401" xr:uid="{00000000-0005-0000-0000-000035100000}"/>
    <cellStyle name="Vírgula 7 9" xfId="911" xr:uid="{00000000-0005-0000-0000-000036100000}"/>
    <cellStyle name="Vírgula 8" xfId="317" xr:uid="{00000000-0005-0000-0000-000037100000}"/>
    <cellStyle name="Vírgula 8 2" xfId="318" xr:uid="{00000000-0005-0000-0000-000038100000}"/>
    <cellStyle name="Vírgula 9" xfId="446" xr:uid="{00000000-0005-0000-0000-000039100000}"/>
    <cellStyle name="Vírgula 9 10" xfId="3898" xr:uid="{00000000-0005-0000-0000-00003A100000}"/>
    <cellStyle name="Vírgula 9 2" xfId="626" xr:uid="{00000000-0005-0000-0000-00003B100000}"/>
    <cellStyle name="Vírgula 9 2 2" xfId="1099" xr:uid="{00000000-0005-0000-0000-00003C100000}"/>
    <cellStyle name="Vírgula 9 2 3" xfId="1419" xr:uid="{00000000-0005-0000-0000-00003D100000}"/>
    <cellStyle name="Vírgula 9 2 4" xfId="1721" xr:uid="{00000000-0005-0000-0000-00003E100000}"/>
    <cellStyle name="Vírgula 9 2 5" xfId="3066" xr:uid="{00000000-0005-0000-0000-00003F100000}"/>
    <cellStyle name="Vírgula 9 2 6" xfId="4059" xr:uid="{00000000-0005-0000-0000-000040100000}"/>
    <cellStyle name="Vírgula 9 3" xfId="744" xr:uid="{00000000-0005-0000-0000-000041100000}"/>
    <cellStyle name="Vírgula 9 4" xfId="950" xr:uid="{00000000-0005-0000-0000-000042100000}"/>
    <cellStyle name="Vírgula 9 5" xfId="1260" xr:uid="{00000000-0005-0000-0000-000043100000}"/>
    <cellStyle name="Vírgula 9 6" xfId="1575" xr:uid="{00000000-0005-0000-0000-000044100000}"/>
    <cellStyle name="Vírgula 9 7" xfId="2837" xr:uid="{00000000-0005-0000-0000-000045100000}"/>
    <cellStyle name="Vírgula 9 8" xfId="3276" xr:uid="{00000000-0005-0000-0000-000046100000}"/>
    <cellStyle name="Vírgula 9 9" xfId="3635" xr:uid="{00000000-0005-0000-0000-000047100000}"/>
    <cellStyle name="Warning Text" xfId="2245" xr:uid="{00000000-0005-0000-0000-000048100000}"/>
    <cellStyle name="X-ERT" xfId="319" xr:uid="{00000000-0005-0000-0000-000049100000}"/>
    <cellStyle name="X-ERTDisc" xfId="320" xr:uid="{00000000-0005-0000-0000-00004A100000}"/>
    <cellStyle name="X-ERTDisc1" xfId="321" xr:uid="{00000000-0005-0000-0000-00004B100000}"/>
    <cellStyle name="X-ERTDisc2" xfId="322" xr:uid="{00000000-0005-0000-0000-00004C100000}"/>
    <cellStyle name="X-ERTDisc6" xfId="323" xr:uid="{00000000-0005-0000-0000-00004D100000}"/>
  </cellStyles>
  <dxfs count="0"/>
  <tableStyles count="0" defaultTableStyle="TableStyleMedium2" defaultPivotStyle="PivotStyleLight16"/>
  <colors>
    <mruColors>
      <color rgb="FF515151"/>
      <color rgb="FF0A3200"/>
      <color rgb="FF006343"/>
      <color rgb="FF00B432"/>
      <color rgb="FF008A26"/>
      <color rgb="FF006E5D"/>
      <color rgb="FF008080"/>
      <color rgb="FFF5822B"/>
      <color rgb="FF4C8451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1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6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32" Type="http://schemas.openxmlformats.org/officeDocument/2006/relationships/externalLink" Target="externalLinks/externalLink9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5.xml"/><Relationship Id="rId36" Type="http://schemas.openxmlformats.org/officeDocument/2006/relationships/externalLink" Target="externalLinks/externalLink1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externalLink" Target="externalLinks/externalLink7.xml"/><Relationship Id="rId35" Type="http://schemas.openxmlformats.org/officeDocument/2006/relationships/externalLink" Target="externalLinks/externalLink12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33" Type="http://schemas.openxmlformats.org/officeDocument/2006/relationships/externalLink" Target="externalLinks/externalLink10.xml"/><Relationship Id="rId38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r">
              <a:defRPr/>
            </a:pPr>
            <a:r>
              <a:rPr lang="pt-BR"/>
              <a:t>COTAÇÃO DE</a:t>
            </a:r>
            <a:r>
              <a:rPr lang="pt-BR" baseline="0"/>
              <a:t> FECHAMENTO </a:t>
            </a:r>
            <a:r>
              <a:rPr lang="pt-BR"/>
              <a:t>UNIP3, UNIP5 E UNIP6</a:t>
            </a:r>
          </a:p>
        </c:rich>
      </c:tx>
      <c:layout>
        <c:manualLayout>
          <c:xMode val="edge"/>
          <c:yMode val="edge"/>
          <c:x val="0.3162953136292746"/>
          <c:y val="9.093677044791213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433318117843965E-2"/>
          <c:y val="0.21200024751533184"/>
          <c:w val="0.80112784814941607"/>
          <c:h val="0.60172893083991841"/>
        </c:manualLayout>
      </c:layout>
      <c:lineChart>
        <c:grouping val="standard"/>
        <c:varyColors val="0"/>
        <c:ser>
          <c:idx val="0"/>
          <c:order val="0"/>
          <c:tx>
            <c:strRef>
              <c:f>'ações (2)'!$C$2</c:f>
              <c:strCache>
                <c:ptCount val="1"/>
                <c:pt idx="0">
                  <c:v> UNIP3 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2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06-448B-8AA0-0A87099F2CC5}"/>
                </c:ext>
              </c:extLst>
            </c:dLbl>
            <c:dLbl>
              <c:idx val="231"/>
              <c:layout>
                <c:manualLayout>
                  <c:x val="3.6231884057971016E-2"/>
                  <c:y val="-2.5469664849586109E-2"/>
                </c:manualLayout>
              </c:layout>
              <c:dLblPos val="r"/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06-448B-8AA0-0A87099F2C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'ações (2)'!$B$3:$B$249</c:f>
              <c:numCache>
                <c:formatCode>[$-416]mmm\-yy;@</c:formatCode>
                <c:ptCount val="247"/>
                <c:pt idx="0">
                  <c:v>41456</c:v>
                </c:pt>
                <c:pt idx="1">
                  <c:v>41457</c:v>
                </c:pt>
                <c:pt idx="2">
                  <c:v>41458</c:v>
                </c:pt>
                <c:pt idx="3">
                  <c:v>41459</c:v>
                </c:pt>
                <c:pt idx="4">
                  <c:v>41460</c:v>
                </c:pt>
                <c:pt idx="5">
                  <c:v>41463</c:v>
                </c:pt>
                <c:pt idx="6">
                  <c:v>41465</c:v>
                </c:pt>
                <c:pt idx="7">
                  <c:v>41466</c:v>
                </c:pt>
                <c:pt idx="8">
                  <c:v>41467</c:v>
                </c:pt>
                <c:pt idx="9">
                  <c:v>41470</c:v>
                </c:pt>
                <c:pt idx="10">
                  <c:v>41471</c:v>
                </c:pt>
                <c:pt idx="11">
                  <c:v>41472</c:v>
                </c:pt>
                <c:pt idx="12">
                  <c:v>41473</c:v>
                </c:pt>
                <c:pt idx="13">
                  <c:v>41474</c:v>
                </c:pt>
                <c:pt idx="14">
                  <c:v>41477</c:v>
                </c:pt>
                <c:pt idx="15">
                  <c:v>41478</c:v>
                </c:pt>
                <c:pt idx="16">
                  <c:v>41479</c:v>
                </c:pt>
                <c:pt idx="17">
                  <c:v>41480</c:v>
                </c:pt>
                <c:pt idx="18">
                  <c:v>41481</c:v>
                </c:pt>
                <c:pt idx="19">
                  <c:v>41484</c:v>
                </c:pt>
                <c:pt idx="20">
                  <c:v>41485</c:v>
                </c:pt>
                <c:pt idx="21">
                  <c:v>41486</c:v>
                </c:pt>
                <c:pt idx="22">
                  <c:v>41487</c:v>
                </c:pt>
                <c:pt idx="23">
                  <c:v>41488</c:v>
                </c:pt>
                <c:pt idx="24">
                  <c:v>41491</c:v>
                </c:pt>
                <c:pt idx="25">
                  <c:v>41492</c:v>
                </c:pt>
                <c:pt idx="26">
                  <c:v>41493</c:v>
                </c:pt>
                <c:pt idx="27">
                  <c:v>41494</c:v>
                </c:pt>
                <c:pt idx="28">
                  <c:v>41495</c:v>
                </c:pt>
                <c:pt idx="29">
                  <c:v>41498</c:v>
                </c:pt>
                <c:pt idx="30">
                  <c:v>41499</c:v>
                </c:pt>
                <c:pt idx="31">
                  <c:v>41500</c:v>
                </c:pt>
                <c:pt idx="32">
                  <c:v>41501</c:v>
                </c:pt>
                <c:pt idx="33">
                  <c:v>41502</c:v>
                </c:pt>
                <c:pt idx="34">
                  <c:v>41505</c:v>
                </c:pt>
                <c:pt idx="35">
                  <c:v>41506</c:v>
                </c:pt>
                <c:pt idx="36">
                  <c:v>41507</c:v>
                </c:pt>
                <c:pt idx="37">
                  <c:v>41508</c:v>
                </c:pt>
                <c:pt idx="38">
                  <c:v>41509</c:v>
                </c:pt>
                <c:pt idx="39">
                  <c:v>41512</c:v>
                </c:pt>
                <c:pt idx="40">
                  <c:v>41513</c:v>
                </c:pt>
                <c:pt idx="41">
                  <c:v>41514</c:v>
                </c:pt>
                <c:pt idx="42">
                  <c:v>41515</c:v>
                </c:pt>
                <c:pt idx="43">
                  <c:v>41516</c:v>
                </c:pt>
                <c:pt idx="44">
                  <c:v>41519</c:v>
                </c:pt>
                <c:pt idx="45">
                  <c:v>41520</c:v>
                </c:pt>
                <c:pt idx="46">
                  <c:v>41521</c:v>
                </c:pt>
                <c:pt idx="47">
                  <c:v>41522</c:v>
                </c:pt>
                <c:pt idx="48">
                  <c:v>41523</c:v>
                </c:pt>
                <c:pt idx="49">
                  <c:v>41526</c:v>
                </c:pt>
                <c:pt idx="50">
                  <c:v>41527</c:v>
                </c:pt>
                <c:pt idx="51">
                  <c:v>41528</c:v>
                </c:pt>
                <c:pt idx="52">
                  <c:v>41529</c:v>
                </c:pt>
                <c:pt idx="53">
                  <c:v>41530</c:v>
                </c:pt>
                <c:pt idx="54">
                  <c:v>41533</c:v>
                </c:pt>
                <c:pt idx="55">
                  <c:v>41534</c:v>
                </c:pt>
                <c:pt idx="56">
                  <c:v>41535</c:v>
                </c:pt>
                <c:pt idx="57">
                  <c:v>41536</c:v>
                </c:pt>
                <c:pt idx="58">
                  <c:v>41537</c:v>
                </c:pt>
                <c:pt idx="59">
                  <c:v>41540</c:v>
                </c:pt>
                <c:pt idx="60">
                  <c:v>41541</c:v>
                </c:pt>
                <c:pt idx="61">
                  <c:v>41542</c:v>
                </c:pt>
                <c:pt idx="62">
                  <c:v>41543</c:v>
                </c:pt>
                <c:pt idx="63">
                  <c:v>41544</c:v>
                </c:pt>
                <c:pt idx="64">
                  <c:v>41547</c:v>
                </c:pt>
                <c:pt idx="65">
                  <c:v>41548</c:v>
                </c:pt>
                <c:pt idx="66">
                  <c:v>41549</c:v>
                </c:pt>
                <c:pt idx="67">
                  <c:v>41550</c:v>
                </c:pt>
                <c:pt idx="68">
                  <c:v>41551</c:v>
                </c:pt>
                <c:pt idx="69">
                  <c:v>41554</c:v>
                </c:pt>
                <c:pt idx="70">
                  <c:v>41555</c:v>
                </c:pt>
                <c:pt idx="71">
                  <c:v>41556</c:v>
                </c:pt>
                <c:pt idx="72">
                  <c:v>41557</c:v>
                </c:pt>
                <c:pt idx="73">
                  <c:v>41558</c:v>
                </c:pt>
                <c:pt idx="74">
                  <c:v>41561</c:v>
                </c:pt>
                <c:pt idx="75">
                  <c:v>41562</c:v>
                </c:pt>
                <c:pt idx="76">
                  <c:v>41563</c:v>
                </c:pt>
                <c:pt idx="77">
                  <c:v>41564</c:v>
                </c:pt>
                <c:pt idx="78">
                  <c:v>41565</c:v>
                </c:pt>
                <c:pt idx="79">
                  <c:v>41568</c:v>
                </c:pt>
                <c:pt idx="80">
                  <c:v>41569</c:v>
                </c:pt>
                <c:pt idx="81">
                  <c:v>41570</c:v>
                </c:pt>
                <c:pt idx="82">
                  <c:v>41571</c:v>
                </c:pt>
                <c:pt idx="83">
                  <c:v>41572</c:v>
                </c:pt>
                <c:pt idx="84">
                  <c:v>41575</c:v>
                </c:pt>
                <c:pt idx="85">
                  <c:v>41576</c:v>
                </c:pt>
                <c:pt idx="86">
                  <c:v>41577</c:v>
                </c:pt>
                <c:pt idx="87">
                  <c:v>41578</c:v>
                </c:pt>
                <c:pt idx="88">
                  <c:v>41579</c:v>
                </c:pt>
                <c:pt idx="89">
                  <c:v>41582</c:v>
                </c:pt>
                <c:pt idx="90">
                  <c:v>41583</c:v>
                </c:pt>
                <c:pt idx="91">
                  <c:v>41584</c:v>
                </c:pt>
                <c:pt idx="92">
                  <c:v>41585</c:v>
                </c:pt>
                <c:pt idx="93">
                  <c:v>41586</c:v>
                </c:pt>
                <c:pt idx="94">
                  <c:v>41589</c:v>
                </c:pt>
                <c:pt idx="95">
                  <c:v>41590</c:v>
                </c:pt>
                <c:pt idx="96">
                  <c:v>41591</c:v>
                </c:pt>
                <c:pt idx="97">
                  <c:v>41592</c:v>
                </c:pt>
                <c:pt idx="98">
                  <c:v>41596</c:v>
                </c:pt>
                <c:pt idx="99">
                  <c:v>41597</c:v>
                </c:pt>
                <c:pt idx="100">
                  <c:v>41599</c:v>
                </c:pt>
                <c:pt idx="101">
                  <c:v>41600</c:v>
                </c:pt>
                <c:pt idx="102">
                  <c:v>41603</c:v>
                </c:pt>
                <c:pt idx="103">
                  <c:v>41604</c:v>
                </c:pt>
                <c:pt idx="104">
                  <c:v>41605</c:v>
                </c:pt>
                <c:pt idx="105">
                  <c:v>41606</c:v>
                </c:pt>
                <c:pt idx="106">
                  <c:v>41607</c:v>
                </c:pt>
                <c:pt idx="107">
                  <c:v>41610</c:v>
                </c:pt>
                <c:pt idx="108">
                  <c:v>41611</c:v>
                </c:pt>
                <c:pt idx="109">
                  <c:v>41612</c:v>
                </c:pt>
                <c:pt idx="110">
                  <c:v>41613</c:v>
                </c:pt>
                <c:pt idx="111">
                  <c:v>41614</c:v>
                </c:pt>
                <c:pt idx="112">
                  <c:v>41617</c:v>
                </c:pt>
                <c:pt idx="113">
                  <c:v>41618</c:v>
                </c:pt>
                <c:pt idx="114">
                  <c:v>41619</c:v>
                </c:pt>
                <c:pt idx="115">
                  <c:v>41620</c:v>
                </c:pt>
                <c:pt idx="116">
                  <c:v>41621</c:v>
                </c:pt>
                <c:pt idx="117">
                  <c:v>41624</c:v>
                </c:pt>
                <c:pt idx="118">
                  <c:v>41625</c:v>
                </c:pt>
                <c:pt idx="119">
                  <c:v>41626</c:v>
                </c:pt>
                <c:pt idx="120">
                  <c:v>41627</c:v>
                </c:pt>
                <c:pt idx="121">
                  <c:v>41628</c:v>
                </c:pt>
                <c:pt idx="122">
                  <c:v>41631</c:v>
                </c:pt>
                <c:pt idx="123">
                  <c:v>41634</c:v>
                </c:pt>
                <c:pt idx="124">
                  <c:v>41635</c:v>
                </c:pt>
                <c:pt idx="125">
                  <c:v>41638</c:v>
                </c:pt>
                <c:pt idx="126">
                  <c:v>41641</c:v>
                </c:pt>
                <c:pt idx="127">
                  <c:v>41642</c:v>
                </c:pt>
                <c:pt idx="128">
                  <c:v>41645</c:v>
                </c:pt>
                <c:pt idx="129">
                  <c:v>41646</c:v>
                </c:pt>
                <c:pt idx="130">
                  <c:v>41647</c:v>
                </c:pt>
                <c:pt idx="131">
                  <c:v>41648</c:v>
                </c:pt>
                <c:pt idx="132">
                  <c:v>41649</c:v>
                </c:pt>
                <c:pt idx="133">
                  <c:v>41652</c:v>
                </c:pt>
                <c:pt idx="134">
                  <c:v>41653</c:v>
                </c:pt>
                <c:pt idx="135">
                  <c:v>41654</c:v>
                </c:pt>
                <c:pt idx="136">
                  <c:v>41655</c:v>
                </c:pt>
                <c:pt idx="137">
                  <c:v>41656</c:v>
                </c:pt>
                <c:pt idx="138">
                  <c:v>41659</c:v>
                </c:pt>
                <c:pt idx="139">
                  <c:v>41660</c:v>
                </c:pt>
                <c:pt idx="140">
                  <c:v>41661</c:v>
                </c:pt>
                <c:pt idx="141">
                  <c:v>41662</c:v>
                </c:pt>
                <c:pt idx="142">
                  <c:v>41663</c:v>
                </c:pt>
                <c:pt idx="143">
                  <c:v>41666</c:v>
                </c:pt>
                <c:pt idx="144">
                  <c:v>41667</c:v>
                </c:pt>
                <c:pt idx="145">
                  <c:v>41668</c:v>
                </c:pt>
                <c:pt idx="146">
                  <c:v>41669</c:v>
                </c:pt>
                <c:pt idx="147">
                  <c:v>41670</c:v>
                </c:pt>
                <c:pt idx="148">
                  <c:v>41673</c:v>
                </c:pt>
                <c:pt idx="149">
                  <c:v>41674</c:v>
                </c:pt>
                <c:pt idx="150">
                  <c:v>41675</c:v>
                </c:pt>
                <c:pt idx="151">
                  <c:v>41676</c:v>
                </c:pt>
                <c:pt idx="152">
                  <c:v>41677</c:v>
                </c:pt>
                <c:pt idx="153">
                  <c:v>41680</c:v>
                </c:pt>
                <c:pt idx="154">
                  <c:v>41681</c:v>
                </c:pt>
                <c:pt idx="155">
                  <c:v>41682</c:v>
                </c:pt>
                <c:pt idx="156">
                  <c:v>41683</c:v>
                </c:pt>
                <c:pt idx="157">
                  <c:v>41684</c:v>
                </c:pt>
                <c:pt idx="158">
                  <c:v>41687</c:v>
                </c:pt>
                <c:pt idx="159">
                  <c:v>41688</c:v>
                </c:pt>
                <c:pt idx="160">
                  <c:v>41689</c:v>
                </c:pt>
                <c:pt idx="161">
                  <c:v>41690</c:v>
                </c:pt>
                <c:pt idx="162">
                  <c:v>41691</c:v>
                </c:pt>
                <c:pt idx="163">
                  <c:v>41694</c:v>
                </c:pt>
                <c:pt idx="164">
                  <c:v>41695</c:v>
                </c:pt>
                <c:pt idx="165">
                  <c:v>41696</c:v>
                </c:pt>
                <c:pt idx="166">
                  <c:v>41697</c:v>
                </c:pt>
                <c:pt idx="167">
                  <c:v>41698</c:v>
                </c:pt>
                <c:pt idx="168">
                  <c:v>41703</c:v>
                </c:pt>
                <c:pt idx="169">
                  <c:v>41704</c:v>
                </c:pt>
                <c:pt idx="170">
                  <c:v>41705</c:v>
                </c:pt>
                <c:pt idx="171">
                  <c:v>41708</c:v>
                </c:pt>
                <c:pt idx="172">
                  <c:v>41709</c:v>
                </c:pt>
                <c:pt idx="173">
                  <c:v>41710</c:v>
                </c:pt>
                <c:pt idx="174">
                  <c:v>41711</c:v>
                </c:pt>
                <c:pt idx="175">
                  <c:v>41712</c:v>
                </c:pt>
                <c:pt idx="176">
                  <c:v>41715</c:v>
                </c:pt>
                <c:pt idx="177">
                  <c:v>41716</c:v>
                </c:pt>
                <c:pt idx="178">
                  <c:v>41717</c:v>
                </c:pt>
                <c:pt idx="179">
                  <c:v>41718</c:v>
                </c:pt>
                <c:pt idx="180">
                  <c:v>41719</c:v>
                </c:pt>
                <c:pt idx="181">
                  <c:v>41722</c:v>
                </c:pt>
                <c:pt idx="182">
                  <c:v>41723</c:v>
                </c:pt>
                <c:pt idx="183">
                  <c:v>41724</c:v>
                </c:pt>
                <c:pt idx="184">
                  <c:v>41725</c:v>
                </c:pt>
                <c:pt idx="185">
                  <c:v>41726</c:v>
                </c:pt>
                <c:pt idx="186">
                  <c:v>41729</c:v>
                </c:pt>
                <c:pt idx="187">
                  <c:v>41730</c:v>
                </c:pt>
                <c:pt idx="188">
                  <c:v>41731</c:v>
                </c:pt>
                <c:pt idx="189">
                  <c:v>41732</c:v>
                </c:pt>
                <c:pt idx="190">
                  <c:v>41733</c:v>
                </c:pt>
                <c:pt idx="191">
                  <c:v>41736</c:v>
                </c:pt>
                <c:pt idx="192">
                  <c:v>41737</c:v>
                </c:pt>
                <c:pt idx="193">
                  <c:v>41738</c:v>
                </c:pt>
                <c:pt idx="194">
                  <c:v>41739</c:v>
                </c:pt>
                <c:pt idx="195">
                  <c:v>41740</c:v>
                </c:pt>
                <c:pt idx="196">
                  <c:v>41743</c:v>
                </c:pt>
                <c:pt idx="197">
                  <c:v>41744</c:v>
                </c:pt>
                <c:pt idx="198">
                  <c:v>41745</c:v>
                </c:pt>
                <c:pt idx="199">
                  <c:v>41746</c:v>
                </c:pt>
                <c:pt idx="200">
                  <c:v>41751</c:v>
                </c:pt>
                <c:pt idx="201">
                  <c:v>41752</c:v>
                </c:pt>
                <c:pt idx="202">
                  <c:v>41753</c:v>
                </c:pt>
                <c:pt idx="203">
                  <c:v>41754</c:v>
                </c:pt>
                <c:pt idx="204">
                  <c:v>41757</c:v>
                </c:pt>
                <c:pt idx="205">
                  <c:v>41758</c:v>
                </c:pt>
                <c:pt idx="206">
                  <c:v>41759</c:v>
                </c:pt>
                <c:pt idx="207">
                  <c:v>41761</c:v>
                </c:pt>
                <c:pt idx="208">
                  <c:v>41764</c:v>
                </c:pt>
                <c:pt idx="209">
                  <c:v>41765</c:v>
                </c:pt>
                <c:pt idx="210">
                  <c:v>41766</c:v>
                </c:pt>
                <c:pt idx="211">
                  <c:v>41767</c:v>
                </c:pt>
                <c:pt idx="212">
                  <c:v>41768</c:v>
                </c:pt>
                <c:pt idx="213">
                  <c:v>41771</c:v>
                </c:pt>
                <c:pt idx="214">
                  <c:v>41772</c:v>
                </c:pt>
                <c:pt idx="215">
                  <c:v>41773</c:v>
                </c:pt>
                <c:pt idx="216">
                  <c:v>41774</c:v>
                </c:pt>
                <c:pt idx="217">
                  <c:v>41775</c:v>
                </c:pt>
                <c:pt idx="218">
                  <c:v>41778</c:v>
                </c:pt>
                <c:pt idx="219">
                  <c:v>41779</c:v>
                </c:pt>
                <c:pt idx="220">
                  <c:v>41780</c:v>
                </c:pt>
                <c:pt idx="221">
                  <c:v>41781</c:v>
                </c:pt>
                <c:pt idx="222">
                  <c:v>41782</c:v>
                </c:pt>
                <c:pt idx="223">
                  <c:v>41785</c:v>
                </c:pt>
                <c:pt idx="224">
                  <c:v>41786</c:v>
                </c:pt>
                <c:pt idx="225">
                  <c:v>41787</c:v>
                </c:pt>
                <c:pt idx="226">
                  <c:v>41788</c:v>
                </c:pt>
                <c:pt idx="227">
                  <c:v>41789</c:v>
                </c:pt>
                <c:pt idx="228">
                  <c:v>41792</c:v>
                </c:pt>
                <c:pt idx="229">
                  <c:v>41793</c:v>
                </c:pt>
                <c:pt idx="230">
                  <c:v>41794</c:v>
                </c:pt>
                <c:pt idx="231">
                  <c:v>41795</c:v>
                </c:pt>
                <c:pt idx="232">
                  <c:v>41796</c:v>
                </c:pt>
                <c:pt idx="233">
                  <c:v>41799</c:v>
                </c:pt>
                <c:pt idx="234">
                  <c:v>41800</c:v>
                </c:pt>
                <c:pt idx="235">
                  <c:v>41801</c:v>
                </c:pt>
                <c:pt idx="236">
                  <c:v>41803</c:v>
                </c:pt>
                <c:pt idx="237">
                  <c:v>41806</c:v>
                </c:pt>
                <c:pt idx="238">
                  <c:v>41807</c:v>
                </c:pt>
                <c:pt idx="239">
                  <c:v>41808</c:v>
                </c:pt>
                <c:pt idx="240">
                  <c:v>41810</c:v>
                </c:pt>
                <c:pt idx="241">
                  <c:v>41813</c:v>
                </c:pt>
                <c:pt idx="242">
                  <c:v>41814</c:v>
                </c:pt>
                <c:pt idx="243">
                  <c:v>41815</c:v>
                </c:pt>
                <c:pt idx="244">
                  <c:v>41816</c:v>
                </c:pt>
                <c:pt idx="245">
                  <c:v>41817</c:v>
                </c:pt>
                <c:pt idx="246">
                  <c:v>41820</c:v>
                </c:pt>
              </c:numCache>
            </c:numRef>
          </c:cat>
          <c:val>
            <c:numRef>
              <c:f>'ações (2)'!$C$3:$C$249</c:f>
              <c:numCache>
                <c:formatCode>_(* #,##0.00_);_(* \(#,##0.00\);_(* "-"??_);_(@_)</c:formatCode>
                <c:ptCount val="247"/>
                <c:pt idx="0">
                  <c:v>0.39600000000000002</c:v>
                </c:pt>
                <c:pt idx="1">
                  <c:v>0.40600000000000003</c:v>
                </c:pt>
                <c:pt idx="2">
                  <c:v>0.42499999999999999</c:v>
                </c:pt>
                <c:pt idx="3">
                  <c:v>0.435</c:v>
                </c:pt>
                <c:pt idx="4">
                  <c:v>0.44400000000000001</c:v>
                </c:pt>
                <c:pt idx="5">
                  <c:v>0.435</c:v>
                </c:pt>
                <c:pt idx="6">
                  <c:v>0.41499999999999998</c:v>
                </c:pt>
                <c:pt idx="7">
                  <c:v>0.40600000000000003</c:v>
                </c:pt>
                <c:pt idx="8">
                  <c:v>0.40600000000000003</c:v>
                </c:pt>
                <c:pt idx="9">
                  <c:v>0.40600000000000003</c:v>
                </c:pt>
                <c:pt idx="10">
                  <c:v>0.42499999999999999</c:v>
                </c:pt>
                <c:pt idx="11">
                  <c:v>0.44400000000000001</c:v>
                </c:pt>
                <c:pt idx="12">
                  <c:v>0.44400000000000001</c:v>
                </c:pt>
                <c:pt idx="13">
                  <c:v>0.435</c:v>
                </c:pt>
                <c:pt idx="14">
                  <c:v>0.435</c:v>
                </c:pt>
                <c:pt idx="15">
                  <c:v>0.435</c:v>
                </c:pt>
                <c:pt idx="16">
                  <c:v>0.46400000000000002</c:v>
                </c:pt>
                <c:pt idx="17">
                  <c:v>0.45400000000000001</c:v>
                </c:pt>
                <c:pt idx="18">
                  <c:v>0.44400000000000001</c:v>
                </c:pt>
                <c:pt idx="19">
                  <c:v>0.46400000000000002</c:v>
                </c:pt>
                <c:pt idx="20">
                  <c:v>0.45400000000000001</c:v>
                </c:pt>
                <c:pt idx="21">
                  <c:v>0.45400000000000001</c:v>
                </c:pt>
                <c:pt idx="22">
                  <c:v>0.45400000000000001</c:v>
                </c:pt>
                <c:pt idx="23">
                  <c:v>0.46400000000000002</c:v>
                </c:pt>
                <c:pt idx="24">
                  <c:v>0.51200000000000001</c:v>
                </c:pt>
                <c:pt idx="25">
                  <c:v>0.55100000000000005</c:v>
                </c:pt>
                <c:pt idx="26">
                  <c:v>0.54100000000000004</c:v>
                </c:pt>
                <c:pt idx="27">
                  <c:v>0.54100000000000004</c:v>
                </c:pt>
                <c:pt idx="28">
                  <c:v>0.502</c:v>
                </c:pt>
                <c:pt idx="29">
                  <c:v>0.48299999999999998</c:v>
                </c:pt>
                <c:pt idx="30">
                  <c:v>0.502</c:v>
                </c:pt>
                <c:pt idx="31">
                  <c:v>0.49299999999999999</c:v>
                </c:pt>
                <c:pt idx="32">
                  <c:v>0.47299999999999998</c:v>
                </c:pt>
                <c:pt idx="33">
                  <c:v>0.47299999999999998</c:v>
                </c:pt>
                <c:pt idx="34">
                  <c:v>0.51200000000000001</c:v>
                </c:pt>
                <c:pt idx="35">
                  <c:v>0.47299999999999998</c:v>
                </c:pt>
                <c:pt idx="36">
                  <c:v>0.47299999999999998</c:v>
                </c:pt>
                <c:pt idx="37">
                  <c:v>0.47299999999999998</c:v>
                </c:pt>
                <c:pt idx="38">
                  <c:v>0.48299999999999998</c:v>
                </c:pt>
                <c:pt idx="39">
                  <c:v>0.48299999999999998</c:v>
                </c:pt>
                <c:pt idx="40">
                  <c:v>0.47299999999999998</c:v>
                </c:pt>
                <c:pt idx="41">
                  <c:v>0.48299999999999998</c:v>
                </c:pt>
                <c:pt idx="42">
                  <c:v>0.46400000000000002</c:v>
                </c:pt>
                <c:pt idx="43">
                  <c:v>0.47299999999999998</c:v>
                </c:pt>
                <c:pt idx="44">
                  <c:v>0.47299999999999998</c:v>
                </c:pt>
                <c:pt idx="45">
                  <c:v>0.47299999999999998</c:v>
                </c:pt>
                <c:pt idx="46">
                  <c:v>0.47299999999999998</c:v>
                </c:pt>
                <c:pt idx="47">
                  <c:v>0.49299999999999999</c:v>
                </c:pt>
                <c:pt idx="48">
                  <c:v>0.49299999999999999</c:v>
                </c:pt>
                <c:pt idx="49">
                  <c:v>0.49299999999999999</c:v>
                </c:pt>
                <c:pt idx="50">
                  <c:v>0.49299999999999999</c:v>
                </c:pt>
                <c:pt idx="51">
                  <c:v>0.49299999999999999</c:v>
                </c:pt>
                <c:pt idx="52">
                  <c:v>0.49299999999999999</c:v>
                </c:pt>
                <c:pt idx="53">
                  <c:v>0.49299999999999999</c:v>
                </c:pt>
                <c:pt idx="54">
                  <c:v>0.49299999999999999</c:v>
                </c:pt>
                <c:pt idx="55">
                  <c:v>0.49299999999999999</c:v>
                </c:pt>
                <c:pt idx="56">
                  <c:v>0.51200000000000001</c:v>
                </c:pt>
                <c:pt idx="57">
                  <c:v>0.51200000000000001</c:v>
                </c:pt>
                <c:pt idx="58">
                  <c:v>0.502</c:v>
                </c:pt>
                <c:pt idx="59">
                  <c:v>0.49299999999999999</c:v>
                </c:pt>
                <c:pt idx="60">
                  <c:v>0.48299999999999998</c:v>
                </c:pt>
                <c:pt idx="61">
                  <c:v>0.502</c:v>
                </c:pt>
                <c:pt idx="62">
                  <c:v>0.49299999999999999</c:v>
                </c:pt>
                <c:pt idx="63">
                  <c:v>0.49299999999999999</c:v>
                </c:pt>
                <c:pt idx="64">
                  <c:v>0.49299999999999999</c:v>
                </c:pt>
                <c:pt idx="65">
                  <c:v>0.502</c:v>
                </c:pt>
                <c:pt idx="66">
                  <c:v>0.502</c:v>
                </c:pt>
                <c:pt idx="67">
                  <c:v>0.49299999999999999</c:v>
                </c:pt>
                <c:pt idx="68">
                  <c:v>0.502</c:v>
                </c:pt>
                <c:pt idx="69">
                  <c:v>0.51200000000000001</c:v>
                </c:pt>
                <c:pt idx="70">
                  <c:v>0.502</c:v>
                </c:pt>
                <c:pt idx="71">
                  <c:v>0.502</c:v>
                </c:pt>
                <c:pt idx="72">
                  <c:v>0.49299999999999999</c:v>
                </c:pt>
                <c:pt idx="73">
                  <c:v>0.49299999999999999</c:v>
                </c:pt>
                <c:pt idx="74">
                  <c:v>0.53100000000000003</c:v>
                </c:pt>
                <c:pt idx="75">
                  <c:v>0.51200000000000001</c:v>
                </c:pt>
                <c:pt idx="76">
                  <c:v>0.502</c:v>
                </c:pt>
                <c:pt idx="77">
                  <c:v>0.53100000000000003</c:v>
                </c:pt>
                <c:pt idx="78">
                  <c:v>0.502</c:v>
                </c:pt>
                <c:pt idx="79">
                  <c:v>0.502</c:v>
                </c:pt>
                <c:pt idx="80">
                  <c:v>0.502</c:v>
                </c:pt>
                <c:pt idx="81">
                  <c:v>0.48299999999999998</c:v>
                </c:pt>
                <c:pt idx="82">
                  <c:v>0.502</c:v>
                </c:pt>
                <c:pt idx="83">
                  <c:v>0.502</c:v>
                </c:pt>
                <c:pt idx="84">
                  <c:v>0.502</c:v>
                </c:pt>
                <c:pt idx="85">
                  <c:v>0.502</c:v>
                </c:pt>
                <c:pt idx="86">
                  <c:v>0.52200000000000002</c:v>
                </c:pt>
                <c:pt idx="87">
                  <c:v>0.53100000000000003</c:v>
                </c:pt>
                <c:pt idx="88">
                  <c:v>0.56000000000000005</c:v>
                </c:pt>
                <c:pt idx="89">
                  <c:v>0.628</c:v>
                </c:pt>
                <c:pt idx="90">
                  <c:v>0.59899999999999998</c:v>
                </c:pt>
                <c:pt idx="91">
                  <c:v>0.61799999999999999</c:v>
                </c:pt>
                <c:pt idx="92">
                  <c:v>0.58899999999999997</c:v>
                </c:pt>
                <c:pt idx="93">
                  <c:v>0.57999999999999996</c:v>
                </c:pt>
                <c:pt idx="94">
                  <c:v>0.57999999999999996</c:v>
                </c:pt>
                <c:pt idx="95">
                  <c:v>0.56999999999999995</c:v>
                </c:pt>
                <c:pt idx="96">
                  <c:v>0.58899999999999997</c:v>
                </c:pt>
                <c:pt idx="97">
                  <c:v>0.58899999999999997</c:v>
                </c:pt>
                <c:pt idx="98">
                  <c:v>0.56999999999999995</c:v>
                </c:pt>
                <c:pt idx="99">
                  <c:v>0.57999999999999996</c:v>
                </c:pt>
                <c:pt idx="100">
                  <c:v>0.56000000000000005</c:v>
                </c:pt>
                <c:pt idx="101">
                  <c:v>0.57999999999999996</c:v>
                </c:pt>
                <c:pt idx="102">
                  <c:v>0.56999999999999995</c:v>
                </c:pt>
                <c:pt idx="103">
                  <c:v>0.56999999999999995</c:v>
                </c:pt>
                <c:pt idx="104">
                  <c:v>0.56999999999999995</c:v>
                </c:pt>
                <c:pt idx="105">
                  <c:v>0.55100000000000005</c:v>
                </c:pt>
                <c:pt idx="106">
                  <c:v>0.56999999999999995</c:v>
                </c:pt>
                <c:pt idx="107">
                  <c:v>0.56999999999999995</c:v>
                </c:pt>
                <c:pt idx="108">
                  <c:v>0.57999999999999996</c:v>
                </c:pt>
                <c:pt idx="109">
                  <c:v>0.56999999999999995</c:v>
                </c:pt>
                <c:pt idx="110">
                  <c:v>0.56000000000000005</c:v>
                </c:pt>
                <c:pt idx="111">
                  <c:v>0.56999999999999995</c:v>
                </c:pt>
                <c:pt idx="112">
                  <c:v>0.55100000000000005</c:v>
                </c:pt>
                <c:pt idx="113">
                  <c:v>0.56999999999999995</c:v>
                </c:pt>
                <c:pt idx="114">
                  <c:v>0.56999999999999995</c:v>
                </c:pt>
                <c:pt idx="115">
                  <c:v>0.55100000000000005</c:v>
                </c:pt>
                <c:pt idx="116">
                  <c:v>0.56999999999999995</c:v>
                </c:pt>
                <c:pt idx="117">
                  <c:v>0.55100000000000005</c:v>
                </c:pt>
                <c:pt idx="118">
                  <c:v>0.56000000000000005</c:v>
                </c:pt>
                <c:pt idx="119">
                  <c:v>0.56999999999999995</c:v>
                </c:pt>
                <c:pt idx="120">
                  <c:v>0.56000000000000005</c:v>
                </c:pt>
                <c:pt idx="121">
                  <c:v>0.54100000000000004</c:v>
                </c:pt>
                <c:pt idx="122">
                  <c:v>0.51200000000000001</c:v>
                </c:pt>
                <c:pt idx="123">
                  <c:v>0.55100000000000005</c:v>
                </c:pt>
                <c:pt idx="124">
                  <c:v>0.48299999999999998</c:v>
                </c:pt>
                <c:pt idx="125">
                  <c:v>0.55100000000000005</c:v>
                </c:pt>
                <c:pt idx="126">
                  <c:v>0.54100000000000004</c:v>
                </c:pt>
                <c:pt idx="127">
                  <c:v>0.56000000000000005</c:v>
                </c:pt>
                <c:pt idx="128">
                  <c:v>0.60899999999999999</c:v>
                </c:pt>
                <c:pt idx="129">
                  <c:v>0.54100000000000004</c:v>
                </c:pt>
                <c:pt idx="130">
                  <c:v>0.61799999999999999</c:v>
                </c:pt>
                <c:pt idx="131">
                  <c:v>0.61799999999999999</c:v>
                </c:pt>
                <c:pt idx="132">
                  <c:v>0.58899999999999997</c:v>
                </c:pt>
                <c:pt idx="133">
                  <c:v>0.61799999999999999</c:v>
                </c:pt>
                <c:pt idx="134">
                  <c:v>0.59899999999999998</c:v>
                </c:pt>
                <c:pt idx="135">
                  <c:v>0.57999999999999996</c:v>
                </c:pt>
                <c:pt idx="136">
                  <c:v>0.58899999999999997</c:v>
                </c:pt>
                <c:pt idx="137">
                  <c:v>0.58899999999999997</c:v>
                </c:pt>
                <c:pt idx="138">
                  <c:v>0.57999999999999996</c:v>
                </c:pt>
                <c:pt idx="139">
                  <c:v>0.56999999999999995</c:v>
                </c:pt>
                <c:pt idx="140">
                  <c:v>0.56999999999999995</c:v>
                </c:pt>
                <c:pt idx="141">
                  <c:v>0.57999999999999996</c:v>
                </c:pt>
                <c:pt idx="142">
                  <c:v>0.59899999999999998</c:v>
                </c:pt>
                <c:pt idx="143">
                  <c:v>0.57999999999999996</c:v>
                </c:pt>
                <c:pt idx="144">
                  <c:v>0.58899999999999997</c:v>
                </c:pt>
                <c:pt idx="145">
                  <c:v>0.57999999999999996</c:v>
                </c:pt>
                <c:pt idx="146">
                  <c:v>0.53100000000000003</c:v>
                </c:pt>
                <c:pt idx="147">
                  <c:v>0.56000000000000005</c:v>
                </c:pt>
                <c:pt idx="148">
                  <c:v>0.56000000000000005</c:v>
                </c:pt>
                <c:pt idx="149">
                  <c:v>0.56000000000000005</c:v>
                </c:pt>
                <c:pt idx="150">
                  <c:v>0.56000000000000005</c:v>
                </c:pt>
                <c:pt idx="151">
                  <c:v>0.56000000000000005</c:v>
                </c:pt>
                <c:pt idx="152">
                  <c:v>0.56000000000000005</c:v>
                </c:pt>
                <c:pt idx="153">
                  <c:v>0.56000000000000005</c:v>
                </c:pt>
                <c:pt idx="154">
                  <c:v>0.56999999999999995</c:v>
                </c:pt>
                <c:pt idx="155">
                  <c:v>0.56999999999999995</c:v>
                </c:pt>
                <c:pt idx="156">
                  <c:v>0.55100000000000005</c:v>
                </c:pt>
                <c:pt idx="157">
                  <c:v>0.54100000000000004</c:v>
                </c:pt>
                <c:pt idx="158">
                  <c:v>0.51200000000000001</c:v>
                </c:pt>
                <c:pt idx="159">
                  <c:v>0.53100000000000003</c:v>
                </c:pt>
                <c:pt idx="160">
                  <c:v>0.52200000000000002</c:v>
                </c:pt>
                <c:pt idx="161">
                  <c:v>0.52200000000000002</c:v>
                </c:pt>
                <c:pt idx="162">
                  <c:v>0.53100000000000003</c:v>
                </c:pt>
                <c:pt idx="163">
                  <c:v>0.53100000000000003</c:v>
                </c:pt>
                <c:pt idx="164">
                  <c:v>0.52200000000000002</c:v>
                </c:pt>
                <c:pt idx="165">
                  <c:v>0.52200000000000002</c:v>
                </c:pt>
                <c:pt idx="166">
                  <c:v>0.502</c:v>
                </c:pt>
                <c:pt idx="167">
                  <c:v>0.502</c:v>
                </c:pt>
                <c:pt idx="168">
                  <c:v>0.48299999999999998</c:v>
                </c:pt>
                <c:pt idx="169">
                  <c:v>0.47299999999999998</c:v>
                </c:pt>
                <c:pt idx="170">
                  <c:v>0.502</c:v>
                </c:pt>
                <c:pt idx="171">
                  <c:v>0.5</c:v>
                </c:pt>
                <c:pt idx="172">
                  <c:v>0.5</c:v>
                </c:pt>
                <c:pt idx="173">
                  <c:v>0.5</c:v>
                </c:pt>
                <c:pt idx="174">
                  <c:v>0.5</c:v>
                </c:pt>
                <c:pt idx="175">
                  <c:v>0.5</c:v>
                </c:pt>
                <c:pt idx="176">
                  <c:v>0.47</c:v>
                </c:pt>
                <c:pt idx="177">
                  <c:v>0.49</c:v>
                </c:pt>
                <c:pt idx="178">
                  <c:v>0.49</c:v>
                </c:pt>
                <c:pt idx="179">
                  <c:v>0.55000000000000004</c:v>
                </c:pt>
                <c:pt idx="180">
                  <c:v>0.53</c:v>
                </c:pt>
                <c:pt idx="181">
                  <c:v>0.52</c:v>
                </c:pt>
                <c:pt idx="182">
                  <c:v>0.5</c:v>
                </c:pt>
                <c:pt idx="183">
                  <c:v>0.54</c:v>
                </c:pt>
                <c:pt idx="184">
                  <c:v>0.51</c:v>
                </c:pt>
                <c:pt idx="185">
                  <c:v>0.53</c:v>
                </c:pt>
                <c:pt idx="186">
                  <c:v>0.5</c:v>
                </c:pt>
                <c:pt idx="187">
                  <c:v>0.52</c:v>
                </c:pt>
                <c:pt idx="188">
                  <c:v>0.51</c:v>
                </c:pt>
                <c:pt idx="189">
                  <c:v>0.52</c:v>
                </c:pt>
                <c:pt idx="190">
                  <c:v>0.52</c:v>
                </c:pt>
                <c:pt idx="191">
                  <c:v>0.52</c:v>
                </c:pt>
                <c:pt idx="192">
                  <c:v>0.51</c:v>
                </c:pt>
                <c:pt idx="193">
                  <c:v>0.49</c:v>
                </c:pt>
                <c:pt idx="194">
                  <c:v>0.51</c:v>
                </c:pt>
                <c:pt idx="195">
                  <c:v>0.51</c:v>
                </c:pt>
                <c:pt idx="196">
                  <c:v>0.51</c:v>
                </c:pt>
                <c:pt idx="197">
                  <c:v>0.5</c:v>
                </c:pt>
                <c:pt idx="198">
                  <c:v>0.5</c:v>
                </c:pt>
                <c:pt idx="199">
                  <c:v>0.5</c:v>
                </c:pt>
                <c:pt idx="200">
                  <c:v>0.51</c:v>
                </c:pt>
                <c:pt idx="201">
                  <c:v>0.51</c:v>
                </c:pt>
                <c:pt idx="202">
                  <c:v>0.51</c:v>
                </c:pt>
                <c:pt idx="203">
                  <c:v>0.51</c:v>
                </c:pt>
                <c:pt idx="204">
                  <c:v>0.47</c:v>
                </c:pt>
                <c:pt idx="205">
                  <c:v>0.5</c:v>
                </c:pt>
                <c:pt idx="206">
                  <c:v>0.5</c:v>
                </c:pt>
                <c:pt idx="207">
                  <c:v>0.5</c:v>
                </c:pt>
                <c:pt idx="208">
                  <c:v>0.5</c:v>
                </c:pt>
                <c:pt idx="209">
                  <c:v>0.5</c:v>
                </c:pt>
                <c:pt idx="210">
                  <c:v>0.5</c:v>
                </c:pt>
                <c:pt idx="211">
                  <c:v>0.5</c:v>
                </c:pt>
                <c:pt idx="212">
                  <c:v>0.5</c:v>
                </c:pt>
                <c:pt idx="213">
                  <c:v>0.5</c:v>
                </c:pt>
                <c:pt idx="214">
                  <c:v>0.47</c:v>
                </c:pt>
                <c:pt idx="215">
                  <c:v>0.49</c:v>
                </c:pt>
                <c:pt idx="216">
                  <c:v>0.49</c:v>
                </c:pt>
                <c:pt idx="217">
                  <c:v>0.55000000000000004</c:v>
                </c:pt>
                <c:pt idx="218">
                  <c:v>0.53</c:v>
                </c:pt>
                <c:pt idx="219">
                  <c:v>0.52</c:v>
                </c:pt>
                <c:pt idx="220">
                  <c:v>0.5</c:v>
                </c:pt>
                <c:pt idx="221">
                  <c:v>0.54</c:v>
                </c:pt>
                <c:pt idx="222">
                  <c:v>0.54</c:v>
                </c:pt>
                <c:pt idx="223">
                  <c:v>0.51</c:v>
                </c:pt>
                <c:pt idx="224">
                  <c:v>0.53</c:v>
                </c:pt>
                <c:pt idx="225">
                  <c:v>0.5</c:v>
                </c:pt>
                <c:pt idx="226">
                  <c:v>0.52</c:v>
                </c:pt>
                <c:pt idx="227">
                  <c:v>0.51</c:v>
                </c:pt>
                <c:pt idx="228">
                  <c:v>0.52</c:v>
                </c:pt>
                <c:pt idx="229">
                  <c:v>0.52</c:v>
                </c:pt>
                <c:pt idx="230">
                  <c:v>0.52</c:v>
                </c:pt>
                <c:pt idx="231">
                  <c:v>0.51</c:v>
                </c:pt>
                <c:pt idx="232">
                  <c:v>0.49</c:v>
                </c:pt>
                <c:pt idx="233">
                  <c:v>0.51</c:v>
                </c:pt>
                <c:pt idx="234">
                  <c:v>0.51</c:v>
                </c:pt>
                <c:pt idx="235">
                  <c:v>0.51</c:v>
                </c:pt>
                <c:pt idx="236">
                  <c:v>0.5</c:v>
                </c:pt>
                <c:pt idx="237">
                  <c:v>0.5</c:v>
                </c:pt>
                <c:pt idx="238">
                  <c:v>0.5</c:v>
                </c:pt>
                <c:pt idx="239">
                  <c:v>0.5</c:v>
                </c:pt>
                <c:pt idx="240">
                  <c:v>0.5</c:v>
                </c:pt>
                <c:pt idx="241">
                  <c:v>0.5</c:v>
                </c:pt>
                <c:pt idx="242">
                  <c:v>0.5</c:v>
                </c:pt>
                <c:pt idx="243">
                  <c:v>0.51</c:v>
                </c:pt>
                <c:pt idx="244">
                  <c:v>0.51</c:v>
                </c:pt>
                <c:pt idx="245">
                  <c:v>0.51</c:v>
                </c:pt>
                <c:pt idx="246">
                  <c:v>0.51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06-448B-8AA0-0A87099F2CC5}"/>
            </c:ext>
          </c:extLst>
        </c:ser>
        <c:ser>
          <c:idx val="1"/>
          <c:order val="1"/>
          <c:tx>
            <c:strRef>
              <c:f>'ações (2)'!$D$2</c:f>
              <c:strCache>
                <c:ptCount val="1"/>
                <c:pt idx="0">
                  <c:v> UNIP6 </c:v>
                </c:pt>
              </c:strCache>
            </c:strRef>
          </c:tx>
          <c:spPr>
            <a:ln cap="flat">
              <a:solidFill>
                <a:srgbClr val="92D050"/>
              </a:solidFill>
            </a:ln>
          </c:spPr>
          <c:marker>
            <c:symbol val="none"/>
          </c:marker>
          <c:dLbls>
            <c:dLbl>
              <c:idx val="224"/>
              <c:layout>
                <c:manualLayout>
                  <c:x val="6.3175092243904288E-2"/>
                  <c:y val="5.7092418736119525E-2"/>
                </c:manualLayout>
              </c:layout>
              <c:tx>
                <c:rich>
                  <a:bodyPr/>
                  <a:lstStyle/>
                  <a:p>
                    <a:r>
                      <a:rPr lang="en-US" sz="1200" b="1"/>
                      <a:t>UNIP6; jun-14;  0,48 </a:t>
                    </a:r>
                    <a:endParaRPr lang="en-US" b="1"/>
                  </a:p>
                </c:rich>
              </c:tx>
              <c:dLblPos val="r"/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0D06-448B-8AA0-0A87099F2CC5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'ações (2)'!$B$3:$B$249</c:f>
              <c:numCache>
                <c:formatCode>[$-416]mmm\-yy;@</c:formatCode>
                <c:ptCount val="247"/>
                <c:pt idx="0">
                  <c:v>41456</c:v>
                </c:pt>
                <c:pt idx="1">
                  <c:v>41457</c:v>
                </c:pt>
                <c:pt idx="2">
                  <c:v>41458</c:v>
                </c:pt>
                <c:pt idx="3">
                  <c:v>41459</c:v>
                </c:pt>
                <c:pt idx="4">
                  <c:v>41460</c:v>
                </c:pt>
                <c:pt idx="5">
                  <c:v>41463</c:v>
                </c:pt>
                <c:pt idx="6">
                  <c:v>41465</c:v>
                </c:pt>
                <c:pt idx="7">
                  <c:v>41466</c:v>
                </c:pt>
                <c:pt idx="8">
                  <c:v>41467</c:v>
                </c:pt>
                <c:pt idx="9">
                  <c:v>41470</c:v>
                </c:pt>
                <c:pt idx="10">
                  <c:v>41471</c:v>
                </c:pt>
                <c:pt idx="11">
                  <c:v>41472</c:v>
                </c:pt>
                <c:pt idx="12">
                  <c:v>41473</c:v>
                </c:pt>
                <c:pt idx="13">
                  <c:v>41474</c:v>
                </c:pt>
                <c:pt idx="14">
                  <c:v>41477</c:v>
                </c:pt>
                <c:pt idx="15">
                  <c:v>41478</c:v>
                </c:pt>
                <c:pt idx="16">
                  <c:v>41479</c:v>
                </c:pt>
                <c:pt idx="17">
                  <c:v>41480</c:v>
                </c:pt>
                <c:pt idx="18">
                  <c:v>41481</c:v>
                </c:pt>
                <c:pt idx="19">
                  <c:v>41484</c:v>
                </c:pt>
                <c:pt idx="20">
                  <c:v>41485</c:v>
                </c:pt>
                <c:pt idx="21">
                  <c:v>41486</c:v>
                </c:pt>
                <c:pt idx="22">
                  <c:v>41487</c:v>
                </c:pt>
                <c:pt idx="23">
                  <c:v>41488</c:v>
                </c:pt>
                <c:pt idx="24">
                  <c:v>41491</c:v>
                </c:pt>
                <c:pt idx="25">
                  <c:v>41492</c:v>
                </c:pt>
                <c:pt idx="26">
                  <c:v>41493</c:v>
                </c:pt>
                <c:pt idx="27">
                  <c:v>41494</c:v>
                </c:pt>
                <c:pt idx="28">
                  <c:v>41495</c:v>
                </c:pt>
                <c:pt idx="29">
                  <c:v>41498</c:v>
                </c:pt>
                <c:pt idx="30">
                  <c:v>41499</c:v>
                </c:pt>
                <c:pt idx="31">
                  <c:v>41500</c:v>
                </c:pt>
                <c:pt idx="32">
                  <c:v>41501</c:v>
                </c:pt>
                <c:pt idx="33">
                  <c:v>41502</c:v>
                </c:pt>
                <c:pt idx="34">
                  <c:v>41505</c:v>
                </c:pt>
                <c:pt idx="35">
                  <c:v>41506</c:v>
                </c:pt>
                <c:pt idx="36">
                  <c:v>41507</c:v>
                </c:pt>
                <c:pt idx="37">
                  <c:v>41508</c:v>
                </c:pt>
                <c:pt idx="38">
                  <c:v>41509</c:v>
                </c:pt>
                <c:pt idx="39">
                  <c:v>41512</c:v>
                </c:pt>
                <c:pt idx="40">
                  <c:v>41513</c:v>
                </c:pt>
                <c:pt idx="41">
                  <c:v>41514</c:v>
                </c:pt>
                <c:pt idx="42">
                  <c:v>41515</c:v>
                </c:pt>
                <c:pt idx="43">
                  <c:v>41516</c:v>
                </c:pt>
                <c:pt idx="44">
                  <c:v>41519</c:v>
                </c:pt>
                <c:pt idx="45">
                  <c:v>41520</c:v>
                </c:pt>
                <c:pt idx="46">
                  <c:v>41521</c:v>
                </c:pt>
                <c:pt idx="47">
                  <c:v>41522</c:v>
                </c:pt>
                <c:pt idx="48">
                  <c:v>41523</c:v>
                </c:pt>
                <c:pt idx="49">
                  <c:v>41526</c:v>
                </c:pt>
                <c:pt idx="50">
                  <c:v>41527</c:v>
                </c:pt>
                <c:pt idx="51">
                  <c:v>41528</c:v>
                </c:pt>
                <c:pt idx="52">
                  <c:v>41529</c:v>
                </c:pt>
                <c:pt idx="53">
                  <c:v>41530</c:v>
                </c:pt>
                <c:pt idx="54">
                  <c:v>41533</c:v>
                </c:pt>
                <c:pt idx="55">
                  <c:v>41534</c:v>
                </c:pt>
                <c:pt idx="56">
                  <c:v>41535</c:v>
                </c:pt>
                <c:pt idx="57">
                  <c:v>41536</c:v>
                </c:pt>
                <c:pt idx="58">
                  <c:v>41537</c:v>
                </c:pt>
                <c:pt idx="59">
                  <c:v>41540</c:v>
                </c:pt>
                <c:pt idx="60">
                  <c:v>41541</c:v>
                </c:pt>
                <c:pt idx="61">
                  <c:v>41542</c:v>
                </c:pt>
                <c:pt idx="62">
                  <c:v>41543</c:v>
                </c:pt>
                <c:pt idx="63">
                  <c:v>41544</c:v>
                </c:pt>
                <c:pt idx="64">
                  <c:v>41547</c:v>
                </c:pt>
                <c:pt idx="65">
                  <c:v>41548</c:v>
                </c:pt>
                <c:pt idx="66">
                  <c:v>41549</c:v>
                </c:pt>
                <c:pt idx="67">
                  <c:v>41550</c:v>
                </c:pt>
                <c:pt idx="68">
                  <c:v>41551</c:v>
                </c:pt>
                <c:pt idx="69">
                  <c:v>41554</c:v>
                </c:pt>
                <c:pt idx="70">
                  <c:v>41555</c:v>
                </c:pt>
                <c:pt idx="71">
                  <c:v>41556</c:v>
                </c:pt>
                <c:pt idx="72">
                  <c:v>41557</c:v>
                </c:pt>
                <c:pt idx="73">
                  <c:v>41558</c:v>
                </c:pt>
                <c:pt idx="74">
                  <c:v>41561</c:v>
                </c:pt>
                <c:pt idx="75">
                  <c:v>41562</c:v>
                </c:pt>
                <c:pt idx="76">
                  <c:v>41563</c:v>
                </c:pt>
                <c:pt idx="77">
                  <c:v>41564</c:v>
                </c:pt>
                <c:pt idx="78">
                  <c:v>41565</c:v>
                </c:pt>
                <c:pt idx="79">
                  <c:v>41568</c:v>
                </c:pt>
                <c:pt idx="80">
                  <c:v>41569</c:v>
                </c:pt>
                <c:pt idx="81">
                  <c:v>41570</c:v>
                </c:pt>
                <c:pt idx="82">
                  <c:v>41571</c:v>
                </c:pt>
                <c:pt idx="83">
                  <c:v>41572</c:v>
                </c:pt>
                <c:pt idx="84">
                  <c:v>41575</c:v>
                </c:pt>
                <c:pt idx="85">
                  <c:v>41576</c:v>
                </c:pt>
                <c:pt idx="86">
                  <c:v>41577</c:v>
                </c:pt>
                <c:pt idx="87">
                  <c:v>41578</c:v>
                </c:pt>
                <c:pt idx="88">
                  <c:v>41579</c:v>
                </c:pt>
                <c:pt idx="89">
                  <c:v>41582</c:v>
                </c:pt>
                <c:pt idx="90">
                  <c:v>41583</c:v>
                </c:pt>
                <c:pt idx="91">
                  <c:v>41584</c:v>
                </c:pt>
                <c:pt idx="92">
                  <c:v>41585</c:v>
                </c:pt>
                <c:pt idx="93">
                  <c:v>41586</c:v>
                </c:pt>
                <c:pt idx="94">
                  <c:v>41589</c:v>
                </c:pt>
                <c:pt idx="95">
                  <c:v>41590</c:v>
                </c:pt>
                <c:pt idx="96">
                  <c:v>41591</c:v>
                </c:pt>
                <c:pt idx="97">
                  <c:v>41592</c:v>
                </c:pt>
                <c:pt idx="98">
                  <c:v>41596</c:v>
                </c:pt>
                <c:pt idx="99">
                  <c:v>41597</c:v>
                </c:pt>
                <c:pt idx="100">
                  <c:v>41599</c:v>
                </c:pt>
                <c:pt idx="101">
                  <c:v>41600</c:v>
                </c:pt>
                <c:pt idx="102">
                  <c:v>41603</c:v>
                </c:pt>
                <c:pt idx="103">
                  <c:v>41604</c:v>
                </c:pt>
                <c:pt idx="104">
                  <c:v>41605</c:v>
                </c:pt>
                <c:pt idx="105">
                  <c:v>41606</c:v>
                </c:pt>
                <c:pt idx="106">
                  <c:v>41607</c:v>
                </c:pt>
                <c:pt idx="107">
                  <c:v>41610</c:v>
                </c:pt>
                <c:pt idx="108">
                  <c:v>41611</c:v>
                </c:pt>
                <c:pt idx="109">
                  <c:v>41612</c:v>
                </c:pt>
                <c:pt idx="110">
                  <c:v>41613</c:v>
                </c:pt>
                <c:pt idx="111">
                  <c:v>41614</c:v>
                </c:pt>
                <c:pt idx="112">
                  <c:v>41617</c:v>
                </c:pt>
                <c:pt idx="113">
                  <c:v>41618</c:v>
                </c:pt>
                <c:pt idx="114">
                  <c:v>41619</c:v>
                </c:pt>
                <c:pt idx="115">
                  <c:v>41620</c:v>
                </c:pt>
                <c:pt idx="116">
                  <c:v>41621</c:v>
                </c:pt>
                <c:pt idx="117">
                  <c:v>41624</c:v>
                </c:pt>
                <c:pt idx="118">
                  <c:v>41625</c:v>
                </c:pt>
                <c:pt idx="119">
                  <c:v>41626</c:v>
                </c:pt>
                <c:pt idx="120">
                  <c:v>41627</c:v>
                </c:pt>
                <c:pt idx="121">
                  <c:v>41628</c:v>
                </c:pt>
                <c:pt idx="122">
                  <c:v>41631</c:v>
                </c:pt>
                <c:pt idx="123">
                  <c:v>41634</c:v>
                </c:pt>
                <c:pt idx="124">
                  <c:v>41635</c:v>
                </c:pt>
                <c:pt idx="125">
                  <c:v>41638</c:v>
                </c:pt>
                <c:pt idx="126">
                  <c:v>41641</c:v>
                </c:pt>
                <c:pt idx="127">
                  <c:v>41642</c:v>
                </c:pt>
                <c:pt idx="128">
                  <c:v>41645</c:v>
                </c:pt>
                <c:pt idx="129">
                  <c:v>41646</c:v>
                </c:pt>
                <c:pt idx="130">
                  <c:v>41647</c:v>
                </c:pt>
                <c:pt idx="131">
                  <c:v>41648</c:v>
                </c:pt>
                <c:pt idx="132">
                  <c:v>41649</c:v>
                </c:pt>
                <c:pt idx="133">
                  <c:v>41652</c:v>
                </c:pt>
                <c:pt idx="134">
                  <c:v>41653</c:v>
                </c:pt>
                <c:pt idx="135">
                  <c:v>41654</c:v>
                </c:pt>
                <c:pt idx="136">
                  <c:v>41655</c:v>
                </c:pt>
                <c:pt idx="137">
                  <c:v>41656</c:v>
                </c:pt>
                <c:pt idx="138">
                  <c:v>41659</c:v>
                </c:pt>
                <c:pt idx="139">
                  <c:v>41660</c:v>
                </c:pt>
                <c:pt idx="140">
                  <c:v>41661</c:v>
                </c:pt>
                <c:pt idx="141">
                  <c:v>41662</c:v>
                </c:pt>
                <c:pt idx="142">
                  <c:v>41663</c:v>
                </c:pt>
                <c:pt idx="143">
                  <c:v>41666</c:v>
                </c:pt>
                <c:pt idx="144">
                  <c:v>41667</c:v>
                </c:pt>
                <c:pt idx="145">
                  <c:v>41668</c:v>
                </c:pt>
                <c:pt idx="146">
                  <c:v>41669</c:v>
                </c:pt>
                <c:pt idx="147">
                  <c:v>41670</c:v>
                </c:pt>
                <c:pt idx="148">
                  <c:v>41673</c:v>
                </c:pt>
                <c:pt idx="149">
                  <c:v>41674</c:v>
                </c:pt>
                <c:pt idx="150">
                  <c:v>41675</c:v>
                </c:pt>
                <c:pt idx="151">
                  <c:v>41676</c:v>
                </c:pt>
                <c:pt idx="152">
                  <c:v>41677</c:v>
                </c:pt>
                <c:pt idx="153">
                  <c:v>41680</c:v>
                </c:pt>
                <c:pt idx="154">
                  <c:v>41681</c:v>
                </c:pt>
                <c:pt idx="155">
                  <c:v>41682</c:v>
                </c:pt>
                <c:pt idx="156">
                  <c:v>41683</c:v>
                </c:pt>
                <c:pt idx="157">
                  <c:v>41684</c:v>
                </c:pt>
                <c:pt idx="158">
                  <c:v>41687</c:v>
                </c:pt>
                <c:pt idx="159">
                  <c:v>41688</c:v>
                </c:pt>
                <c:pt idx="160">
                  <c:v>41689</c:v>
                </c:pt>
                <c:pt idx="161">
                  <c:v>41690</c:v>
                </c:pt>
                <c:pt idx="162">
                  <c:v>41691</c:v>
                </c:pt>
                <c:pt idx="163">
                  <c:v>41694</c:v>
                </c:pt>
                <c:pt idx="164">
                  <c:v>41695</c:v>
                </c:pt>
                <c:pt idx="165">
                  <c:v>41696</c:v>
                </c:pt>
                <c:pt idx="166">
                  <c:v>41697</c:v>
                </c:pt>
                <c:pt idx="167">
                  <c:v>41698</c:v>
                </c:pt>
                <c:pt idx="168">
                  <c:v>41703</c:v>
                </c:pt>
                <c:pt idx="169">
                  <c:v>41704</c:v>
                </c:pt>
                <c:pt idx="170">
                  <c:v>41705</c:v>
                </c:pt>
                <c:pt idx="171">
                  <c:v>41708</c:v>
                </c:pt>
                <c:pt idx="172">
                  <c:v>41709</c:v>
                </c:pt>
                <c:pt idx="173">
                  <c:v>41710</c:v>
                </c:pt>
                <c:pt idx="174">
                  <c:v>41711</c:v>
                </c:pt>
                <c:pt idx="175">
                  <c:v>41712</c:v>
                </c:pt>
                <c:pt idx="176">
                  <c:v>41715</c:v>
                </c:pt>
                <c:pt idx="177">
                  <c:v>41716</c:v>
                </c:pt>
                <c:pt idx="178">
                  <c:v>41717</c:v>
                </c:pt>
                <c:pt idx="179">
                  <c:v>41718</c:v>
                </c:pt>
                <c:pt idx="180">
                  <c:v>41719</c:v>
                </c:pt>
                <c:pt idx="181">
                  <c:v>41722</c:v>
                </c:pt>
                <c:pt idx="182">
                  <c:v>41723</c:v>
                </c:pt>
                <c:pt idx="183">
                  <c:v>41724</c:v>
                </c:pt>
                <c:pt idx="184">
                  <c:v>41725</c:v>
                </c:pt>
                <c:pt idx="185">
                  <c:v>41726</c:v>
                </c:pt>
                <c:pt idx="186">
                  <c:v>41729</c:v>
                </c:pt>
                <c:pt idx="187">
                  <c:v>41730</c:v>
                </c:pt>
                <c:pt idx="188">
                  <c:v>41731</c:v>
                </c:pt>
                <c:pt idx="189">
                  <c:v>41732</c:v>
                </c:pt>
                <c:pt idx="190">
                  <c:v>41733</c:v>
                </c:pt>
                <c:pt idx="191">
                  <c:v>41736</c:v>
                </c:pt>
                <c:pt idx="192">
                  <c:v>41737</c:v>
                </c:pt>
                <c:pt idx="193">
                  <c:v>41738</c:v>
                </c:pt>
                <c:pt idx="194">
                  <c:v>41739</c:v>
                </c:pt>
                <c:pt idx="195">
                  <c:v>41740</c:v>
                </c:pt>
                <c:pt idx="196">
                  <c:v>41743</c:v>
                </c:pt>
                <c:pt idx="197">
                  <c:v>41744</c:v>
                </c:pt>
                <c:pt idx="198">
                  <c:v>41745</c:v>
                </c:pt>
                <c:pt idx="199">
                  <c:v>41746</c:v>
                </c:pt>
                <c:pt idx="200">
                  <c:v>41751</c:v>
                </c:pt>
                <c:pt idx="201">
                  <c:v>41752</c:v>
                </c:pt>
                <c:pt idx="202">
                  <c:v>41753</c:v>
                </c:pt>
                <c:pt idx="203">
                  <c:v>41754</c:v>
                </c:pt>
                <c:pt idx="204">
                  <c:v>41757</c:v>
                </c:pt>
                <c:pt idx="205">
                  <c:v>41758</c:v>
                </c:pt>
                <c:pt idx="206">
                  <c:v>41759</c:v>
                </c:pt>
                <c:pt idx="207">
                  <c:v>41761</c:v>
                </c:pt>
                <c:pt idx="208">
                  <c:v>41764</c:v>
                </c:pt>
                <c:pt idx="209">
                  <c:v>41765</c:v>
                </c:pt>
                <c:pt idx="210">
                  <c:v>41766</c:v>
                </c:pt>
                <c:pt idx="211">
                  <c:v>41767</c:v>
                </c:pt>
                <c:pt idx="212">
                  <c:v>41768</c:v>
                </c:pt>
                <c:pt idx="213">
                  <c:v>41771</c:v>
                </c:pt>
                <c:pt idx="214">
                  <c:v>41772</c:v>
                </c:pt>
                <c:pt idx="215">
                  <c:v>41773</c:v>
                </c:pt>
                <c:pt idx="216">
                  <c:v>41774</c:v>
                </c:pt>
                <c:pt idx="217">
                  <c:v>41775</c:v>
                </c:pt>
                <c:pt idx="218">
                  <c:v>41778</c:v>
                </c:pt>
                <c:pt idx="219">
                  <c:v>41779</c:v>
                </c:pt>
                <c:pt idx="220">
                  <c:v>41780</c:v>
                </c:pt>
                <c:pt idx="221">
                  <c:v>41781</c:v>
                </c:pt>
                <c:pt idx="222">
                  <c:v>41782</c:v>
                </c:pt>
                <c:pt idx="223">
                  <c:v>41785</c:v>
                </c:pt>
                <c:pt idx="224">
                  <c:v>41786</c:v>
                </c:pt>
                <c:pt idx="225">
                  <c:v>41787</c:v>
                </c:pt>
                <c:pt idx="226">
                  <c:v>41788</c:v>
                </c:pt>
                <c:pt idx="227">
                  <c:v>41789</c:v>
                </c:pt>
                <c:pt idx="228">
                  <c:v>41792</c:v>
                </c:pt>
                <c:pt idx="229">
                  <c:v>41793</c:v>
                </c:pt>
                <c:pt idx="230">
                  <c:v>41794</c:v>
                </c:pt>
                <c:pt idx="231">
                  <c:v>41795</c:v>
                </c:pt>
                <c:pt idx="232">
                  <c:v>41796</c:v>
                </c:pt>
                <c:pt idx="233">
                  <c:v>41799</c:v>
                </c:pt>
                <c:pt idx="234">
                  <c:v>41800</c:v>
                </c:pt>
                <c:pt idx="235">
                  <c:v>41801</c:v>
                </c:pt>
                <c:pt idx="236">
                  <c:v>41803</c:v>
                </c:pt>
                <c:pt idx="237">
                  <c:v>41806</c:v>
                </c:pt>
                <c:pt idx="238">
                  <c:v>41807</c:v>
                </c:pt>
                <c:pt idx="239">
                  <c:v>41808</c:v>
                </c:pt>
                <c:pt idx="240">
                  <c:v>41810</c:v>
                </c:pt>
                <c:pt idx="241">
                  <c:v>41813</c:v>
                </c:pt>
                <c:pt idx="242">
                  <c:v>41814</c:v>
                </c:pt>
                <c:pt idx="243">
                  <c:v>41815</c:v>
                </c:pt>
                <c:pt idx="244">
                  <c:v>41816</c:v>
                </c:pt>
                <c:pt idx="245">
                  <c:v>41817</c:v>
                </c:pt>
                <c:pt idx="246">
                  <c:v>41820</c:v>
                </c:pt>
              </c:numCache>
            </c:numRef>
          </c:cat>
          <c:val>
            <c:numRef>
              <c:f>'ações (2)'!$D$3:$D$249</c:f>
              <c:numCache>
                <c:formatCode>_(* #,##0.00_);_(* \(#,##0.00\);_(* "-"??_);_(@_)</c:formatCode>
                <c:ptCount val="247"/>
                <c:pt idx="0">
                  <c:v>0.42199999999999999</c:v>
                </c:pt>
                <c:pt idx="1">
                  <c:v>0.41199999999999998</c:v>
                </c:pt>
                <c:pt idx="2">
                  <c:v>0.42199999999999999</c:v>
                </c:pt>
                <c:pt idx="3">
                  <c:v>0.43099999999999999</c:v>
                </c:pt>
                <c:pt idx="4">
                  <c:v>0.441</c:v>
                </c:pt>
                <c:pt idx="5">
                  <c:v>0.45100000000000001</c:v>
                </c:pt>
                <c:pt idx="6">
                  <c:v>0.45100000000000001</c:v>
                </c:pt>
                <c:pt idx="7">
                  <c:v>0.45100000000000001</c:v>
                </c:pt>
                <c:pt idx="8">
                  <c:v>0.43099999999999999</c:v>
                </c:pt>
                <c:pt idx="9">
                  <c:v>0.43099999999999999</c:v>
                </c:pt>
                <c:pt idx="10">
                  <c:v>0.43099999999999999</c:v>
                </c:pt>
                <c:pt idx="11">
                  <c:v>0.42199999999999999</c:v>
                </c:pt>
                <c:pt idx="12">
                  <c:v>0.43099999999999999</c:v>
                </c:pt>
                <c:pt idx="13">
                  <c:v>0.43099999999999999</c:v>
                </c:pt>
                <c:pt idx="14">
                  <c:v>0.43099999999999999</c:v>
                </c:pt>
                <c:pt idx="15">
                  <c:v>0.43099999999999999</c:v>
                </c:pt>
                <c:pt idx="16">
                  <c:v>0.43099999999999999</c:v>
                </c:pt>
                <c:pt idx="17">
                  <c:v>0.43099999999999999</c:v>
                </c:pt>
                <c:pt idx="18">
                  <c:v>0.43099999999999999</c:v>
                </c:pt>
                <c:pt idx="19">
                  <c:v>0.43099999999999999</c:v>
                </c:pt>
                <c:pt idx="20">
                  <c:v>0.42199999999999999</c:v>
                </c:pt>
                <c:pt idx="21">
                  <c:v>0.43099999999999999</c:v>
                </c:pt>
                <c:pt idx="22">
                  <c:v>0.43099999999999999</c:v>
                </c:pt>
                <c:pt idx="23">
                  <c:v>0.42199999999999999</c:v>
                </c:pt>
                <c:pt idx="24">
                  <c:v>0.43099999999999999</c:v>
                </c:pt>
                <c:pt idx="25">
                  <c:v>0.43099999999999999</c:v>
                </c:pt>
                <c:pt idx="26">
                  <c:v>0.43099999999999999</c:v>
                </c:pt>
                <c:pt idx="27">
                  <c:v>0.45100000000000001</c:v>
                </c:pt>
                <c:pt idx="28">
                  <c:v>0.45100000000000001</c:v>
                </c:pt>
                <c:pt idx="29">
                  <c:v>0.45100000000000001</c:v>
                </c:pt>
                <c:pt idx="30">
                  <c:v>0.441</c:v>
                </c:pt>
                <c:pt idx="31">
                  <c:v>0.441</c:v>
                </c:pt>
                <c:pt idx="32">
                  <c:v>0.441</c:v>
                </c:pt>
                <c:pt idx="33">
                  <c:v>0.46</c:v>
                </c:pt>
                <c:pt idx="34">
                  <c:v>0.46</c:v>
                </c:pt>
                <c:pt idx="35">
                  <c:v>0.45100000000000001</c:v>
                </c:pt>
                <c:pt idx="36">
                  <c:v>0.45100000000000001</c:v>
                </c:pt>
                <c:pt idx="37">
                  <c:v>0.45100000000000001</c:v>
                </c:pt>
                <c:pt idx="38">
                  <c:v>0.45100000000000001</c:v>
                </c:pt>
                <c:pt idx="39">
                  <c:v>0.45100000000000001</c:v>
                </c:pt>
                <c:pt idx="40">
                  <c:v>0.45100000000000001</c:v>
                </c:pt>
                <c:pt idx="41">
                  <c:v>0.45100000000000001</c:v>
                </c:pt>
                <c:pt idx="42">
                  <c:v>0.46</c:v>
                </c:pt>
                <c:pt idx="43">
                  <c:v>0.45100000000000001</c:v>
                </c:pt>
                <c:pt idx="44">
                  <c:v>0.46</c:v>
                </c:pt>
                <c:pt idx="45">
                  <c:v>0.45100000000000001</c:v>
                </c:pt>
                <c:pt idx="46">
                  <c:v>0.45100000000000001</c:v>
                </c:pt>
                <c:pt idx="47">
                  <c:v>0.46</c:v>
                </c:pt>
                <c:pt idx="48">
                  <c:v>0.46</c:v>
                </c:pt>
                <c:pt idx="49">
                  <c:v>0.47</c:v>
                </c:pt>
                <c:pt idx="50">
                  <c:v>0.46</c:v>
                </c:pt>
                <c:pt idx="51">
                  <c:v>0.46</c:v>
                </c:pt>
                <c:pt idx="52">
                  <c:v>0.46</c:v>
                </c:pt>
                <c:pt idx="53">
                  <c:v>0.47</c:v>
                </c:pt>
                <c:pt idx="54">
                  <c:v>0.47</c:v>
                </c:pt>
                <c:pt idx="55">
                  <c:v>0.47</c:v>
                </c:pt>
                <c:pt idx="56">
                  <c:v>0.46</c:v>
                </c:pt>
                <c:pt idx="57">
                  <c:v>0.47</c:v>
                </c:pt>
                <c:pt idx="58">
                  <c:v>0.46</c:v>
                </c:pt>
                <c:pt idx="59">
                  <c:v>0.46</c:v>
                </c:pt>
                <c:pt idx="60">
                  <c:v>0.45100000000000001</c:v>
                </c:pt>
                <c:pt idx="61">
                  <c:v>0.46</c:v>
                </c:pt>
                <c:pt idx="62">
                  <c:v>0.46</c:v>
                </c:pt>
                <c:pt idx="63">
                  <c:v>0.46</c:v>
                </c:pt>
                <c:pt idx="64">
                  <c:v>0.46</c:v>
                </c:pt>
                <c:pt idx="65">
                  <c:v>0.46</c:v>
                </c:pt>
                <c:pt idx="66">
                  <c:v>0.46</c:v>
                </c:pt>
                <c:pt idx="67">
                  <c:v>0.45100000000000001</c:v>
                </c:pt>
                <c:pt idx="68">
                  <c:v>0.45100000000000001</c:v>
                </c:pt>
                <c:pt idx="69">
                  <c:v>0.45100000000000001</c:v>
                </c:pt>
                <c:pt idx="70">
                  <c:v>0.45100000000000001</c:v>
                </c:pt>
                <c:pt idx="71">
                  <c:v>0.46</c:v>
                </c:pt>
                <c:pt idx="72">
                  <c:v>0.45100000000000001</c:v>
                </c:pt>
                <c:pt idx="73">
                  <c:v>0.46</c:v>
                </c:pt>
                <c:pt idx="74">
                  <c:v>0.45100000000000001</c:v>
                </c:pt>
                <c:pt idx="75">
                  <c:v>0.45100000000000001</c:v>
                </c:pt>
                <c:pt idx="76">
                  <c:v>0.45100000000000001</c:v>
                </c:pt>
                <c:pt idx="77">
                  <c:v>0.441</c:v>
                </c:pt>
                <c:pt idx="78">
                  <c:v>0.441</c:v>
                </c:pt>
                <c:pt idx="79">
                  <c:v>0.441</c:v>
                </c:pt>
                <c:pt idx="80">
                  <c:v>0.441</c:v>
                </c:pt>
                <c:pt idx="81">
                  <c:v>0.441</c:v>
                </c:pt>
                <c:pt idx="82">
                  <c:v>0.441</c:v>
                </c:pt>
                <c:pt idx="83">
                  <c:v>0.46</c:v>
                </c:pt>
                <c:pt idx="84">
                  <c:v>0.47</c:v>
                </c:pt>
                <c:pt idx="85">
                  <c:v>0.47</c:v>
                </c:pt>
                <c:pt idx="86">
                  <c:v>0.46</c:v>
                </c:pt>
                <c:pt idx="87">
                  <c:v>0.46</c:v>
                </c:pt>
                <c:pt idx="88">
                  <c:v>0.46</c:v>
                </c:pt>
                <c:pt idx="89">
                  <c:v>0.46</c:v>
                </c:pt>
                <c:pt idx="90">
                  <c:v>0.46</c:v>
                </c:pt>
                <c:pt idx="91">
                  <c:v>0.45100000000000001</c:v>
                </c:pt>
                <c:pt idx="92">
                  <c:v>0.45100000000000001</c:v>
                </c:pt>
                <c:pt idx="93">
                  <c:v>0.45100000000000001</c:v>
                </c:pt>
                <c:pt idx="94">
                  <c:v>0.46</c:v>
                </c:pt>
                <c:pt idx="95">
                  <c:v>0.45100000000000001</c:v>
                </c:pt>
                <c:pt idx="96">
                  <c:v>0.46</c:v>
                </c:pt>
                <c:pt idx="97">
                  <c:v>0.47899999999999998</c:v>
                </c:pt>
                <c:pt idx="98">
                  <c:v>0.50800000000000001</c:v>
                </c:pt>
                <c:pt idx="99">
                  <c:v>0.51800000000000002</c:v>
                </c:pt>
                <c:pt idx="100">
                  <c:v>0.52700000000000002</c:v>
                </c:pt>
                <c:pt idx="101">
                  <c:v>0.53700000000000003</c:v>
                </c:pt>
                <c:pt idx="102">
                  <c:v>0.53700000000000003</c:v>
                </c:pt>
                <c:pt idx="103">
                  <c:v>0.51800000000000002</c:v>
                </c:pt>
                <c:pt idx="104">
                  <c:v>0.51800000000000002</c:v>
                </c:pt>
                <c:pt idx="105">
                  <c:v>0.50800000000000001</c:v>
                </c:pt>
                <c:pt idx="106">
                  <c:v>0.51800000000000002</c:v>
                </c:pt>
                <c:pt idx="107">
                  <c:v>0.50800000000000001</c:v>
                </c:pt>
                <c:pt idx="108">
                  <c:v>0.499</c:v>
                </c:pt>
                <c:pt idx="109">
                  <c:v>0.50800000000000001</c:v>
                </c:pt>
                <c:pt idx="110">
                  <c:v>0.50800000000000001</c:v>
                </c:pt>
                <c:pt idx="111">
                  <c:v>0.50800000000000001</c:v>
                </c:pt>
                <c:pt idx="112">
                  <c:v>0.50800000000000001</c:v>
                </c:pt>
                <c:pt idx="113">
                  <c:v>0.50800000000000001</c:v>
                </c:pt>
                <c:pt idx="114">
                  <c:v>0.499</c:v>
                </c:pt>
                <c:pt idx="115">
                  <c:v>0.499</c:v>
                </c:pt>
                <c:pt idx="116">
                  <c:v>0.499</c:v>
                </c:pt>
                <c:pt idx="117">
                  <c:v>0.499</c:v>
                </c:pt>
                <c:pt idx="118">
                  <c:v>0.50800000000000001</c:v>
                </c:pt>
                <c:pt idx="119">
                  <c:v>0.50800000000000001</c:v>
                </c:pt>
                <c:pt idx="120">
                  <c:v>0.51800000000000002</c:v>
                </c:pt>
                <c:pt idx="121">
                  <c:v>0.50800000000000001</c:v>
                </c:pt>
                <c:pt idx="122">
                  <c:v>0.50800000000000001</c:v>
                </c:pt>
                <c:pt idx="123">
                  <c:v>0.499</c:v>
                </c:pt>
                <c:pt idx="124">
                  <c:v>0.50800000000000001</c:v>
                </c:pt>
                <c:pt idx="125">
                  <c:v>0.50800000000000001</c:v>
                </c:pt>
                <c:pt idx="126">
                  <c:v>0.50800000000000001</c:v>
                </c:pt>
                <c:pt idx="127">
                  <c:v>0.50800000000000001</c:v>
                </c:pt>
                <c:pt idx="128">
                  <c:v>0.50800000000000001</c:v>
                </c:pt>
                <c:pt idx="129">
                  <c:v>0.499</c:v>
                </c:pt>
                <c:pt idx="130">
                  <c:v>0.499</c:v>
                </c:pt>
                <c:pt idx="131">
                  <c:v>0.48899999999999999</c:v>
                </c:pt>
                <c:pt idx="132">
                  <c:v>0.47899999999999998</c:v>
                </c:pt>
                <c:pt idx="133">
                  <c:v>0.48899999999999999</c:v>
                </c:pt>
                <c:pt idx="134">
                  <c:v>0.47899999999999998</c:v>
                </c:pt>
                <c:pt idx="135">
                  <c:v>0.48899999999999999</c:v>
                </c:pt>
                <c:pt idx="136">
                  <c:v>0.48899999999999999</c:v>
                </c:pt>
                <c:pt idx="137">
                  <c:v>0.47899999999999998</c:v>
                </c:pt>
                <c:pt idx="138">
                  <c:v>0.47899999999999998</c:v>
                </c:pt>
                <c:pt idx="139">
                  <c:v>0.47899999999999998</c:v>
                </c:pt>
                <c:pt idx="140">
                  <c:v>0.47899999999999998</c:v>
                </c:pt>
                <c:pt idx="141">
                  <c:v>0.47</c:v>
                </c:pt>
                <c:pt idx="142">
                  <c:v>0.47899999999999998</c:v>
                </c:pt>
                <c:pt idx="143">
                  <c:v>0.47</c:v>
                </c:pt>
                <c:pt idx="144">
                  <c:v>0.47899999999999998</c:v>
                </c:pt>
                <c:pt idx="145">
                  <c:v>0.47899999999999998</c:v>
                </c:pt>
                <c:pt idx="146">
                  <c:v>0.47</c:v>
                </c:pt>
                <c:pt idx="147">
                  <c:v>0.46</c:v>
                </c:pt>
                <c:pt idx="148">
                  <c:v>0.441</c:v>
                </c:pt>
                <c:pt idx="149">
                  <c:v>0.46</c:v>
                </c:pt>
                <c:pt idx="150">
                  <c:v>0.45100000000000001</c:v>
                </c:pt>
                <c:pt idx="151">
                  <c:v>0.45100000000000001</c:v>
                </c:pt>
                <c:pt idx="152">
                  <c:v>0.45100000000000001</c:v>
                </c:pt>
                <c:pt idx="153">
                  <c:v>0.45100000000000001</c:v>
                </c:pt>
                <c:pt idx="154">
                  <c:v>0.45100000000000001</c:v>
                </c:pt>
                <c:pt idx="155">
                  <c:v>0.441</c:v>
                </c:pt>
                <c:pt idx="156">
                  <c:v>0.441</c:v>
                </c:pt>
                <c:pt idx="157">
                  <c:v>0.441</c:v>
                </c:pt>
                <c:pt idx="158">
                  <c:v>0.441</c:v>
                </c:pt>
                <c:pt idx="159">
                  <c:v>0.43099999999999999</c:v>
                </c:pt>
                <c:pt idx="160">
                  <c:v>0.43099999999999999</c:v>
                </c:pt>
                <c:pt idx="161">
                  <c:v>0.43099999999999999</c:v>
                </c:pt>
                <c:pt idx="162">
                  <c:v>0.43099999999999999</c:v>
                </c:pt>
                <c:pt idx="163">
                  <c:v>0.42199999999999999</c:v>
                </c:pt>
                <c:pt idx="164">
                  <c:v>0.42199999999999999</c:v>
                </c:pt>
                <c:pt idx="165">
                  <c:v>0.43099999999999999</c:v>
                </c:pt>
                <c:pt idx="166">
                  <c:v>0.42199999999999999</c:v>
                </c:pt>
                <c:pt idx="167">
                  <c:v>0.42199999999999999</c:v>
                </c:pt>
                <c:pt idx="168">
                  <c:v>0.42199999999999999</c:v>
                </c:pt>
                <c:pt idx="169">
                  <c:v>0.42199999999999999</c:v>
                </c:pt>
                <c:pt idx="170">
                  <c:v>0.41199999999999998</c:v>
                </c:pt>
                <c:pt idx="171">
                  <c:v>0.40300000000000002</c:v>
                </c:pt>
                <c:pt idx="172">
                  <c:v>0.41199999999999998</c:v>
                </c:pt>
                <c:pt idx="173">
                  <c:v>0.41199999999999998</c:v>
                </c:pt>
                <c:pt idx="174">
                  <c:v>0.40300000000000002</c:v>
                </c:pt>
                <c:pt idx="175">
                  <c:v>0.39300000000000002</c:v>
                </c:pt>
                <c:pt idx="176">
                  <c:v>0.39300000000000002</c:v>
                </c:pt>
                <c:pt idx="177">
                  <c:v>0.40300000000000002</c:v>
                </c:pt>
                <c:pt idx="178">
                  <c:v>0.39300000000000002</c:v>
                </c:pt>
                <c:pt idx="179">
                  <c:v>0.39300000000000002</c:v>
                </c:pt>
                <c:pt idx="180">
                  <c:v>0.38300000000000001</c:v>
                </c:pt>
                <c:pt idx="181">
                  <c:v>0.374</c:v>
                </c:pt>
                <c:pt idx="182">
                  <c:v>0.38300000000000001</c:v>
                </c:pt>
                <c:pt idx="183">
                  <c:v>0.38300000000000001</c:v>
                </c:pt>
                <c:pt idx="184">
                  <c:v>0.40300000000000002</c:v>
                </c:pt>
                <c:pt idx="185">
                  <c:v>0.41199999999999998</c:v>
                </c:pt>
                <c:pt idx="186">
                  <c:v>0.42199999999999999</c:v>
                </c:pt>
                <c:pt idx="187">
                  <c:v>0.42199999999999999</c:v>
                </c:pt>
                <c:pt idx="188">
                  <c:v>0.43099999999999999</c:v>
                </c:pt>
                <c:pt idx="189">
                  <c:v>0.42199999999999999</c:v>
                </c:pt>
                <c:pt idx="190">
                  <c:v>0.42199999999999999</c:v>
                </c:pt>
                <c:pt idx="191">
                  <c:v>0.45100000000000001</c:v>
                </c:pt>
                <c:pt idx="192">
                  <c:v>0.45100000000000001</c:v>
                </c:pt>
                <c:pt idx="193">
                  <c:v>0.45100000000000001</c:v>
                </c:pt>
                <c:pt idx="194">
                  <c:v>0.46</c:v>
                </c:pt>
                <c:pt idx="195">
                  <c:v>0.441</c:v>
                </c:pt>
                <c:pt idx="196">
                  <c:v>0.46</c:v>
                </c:pt>
                <c:pt idx="197">
                  <c:v>0.46</c:v>
                </c:pt>
                <c:pt idx="198">
                  <c:v>0.45100000000000001</c:v>
                </c:pt>
                <c:pt idx="199">
                  <c:v>0.46</c:v>
                </c:pt>
                <c:pt idx="200">
                  <c:v>0.45100000000000001</c:v>
                </c:pt>
                <c:pt idx="201">
                  <c:v>0.45100000000000001</c:v>
                </c:pt>
                <c:pt idx="202">
                  <c:v>0.46</c:v>
                </c:pt>
                <c:pt idx="203">
                  <c:v>0.46</c:v>
                </c:pt>
                <c:pt idx="204">
                  <c:v>0.46</c:v>
                </c:pt>
                <c:pt idx="205">
                  <c:v>0.45100000000000001</c:v>
                </c:pt>
                <c:pt idx="206">
                  <c:v>0.46</c:v>
                </c:pt>
                <c:pt idx="207">
                  <c:v>0.47</c:v>
                </c:pt>
                <c:pt idx="208">
                  <c:v>0.47</c:v>
                </c:pt>
                <c:pt idx="209">
                  <c:v>0.45</c:v>
                </c:pt>
                <c:pt idx="210">
                  <c:v>0.46</c:v>
                </c:pt>
                <c:pt idx="211">
                  <c:v>0.45</c:v>
                </c:pt>
                <c:pt idx="212">
                  <c:v>0.45</c:v>
                </c:pt>
                <c:pt idx="213">
                  <c:v>0.45</c:v>
                </c:pt>
                <c:pt idx="214">
                  <c:v>0.46</c:v>
                </c:pt>
                <c:pt idx="215">
                  <c:v>0.46</c:v>
                </c:pt>
                <c:pt idx="216">
                  <c:v>0.46</c:v>
                </c:pt>
                <c:pt idx="217">
                  <c:v>0.48</c:v>
                </c:pt>
                <c:pt idx="218">
                  <c:v>0.49</c:v>
                </c:pt>
                <c:pt idx="219">
                  <c:v>0.48</c:v>
                </c:pt>
                <c:pt idx="220">
                  <c:v>0.48</c:v>
                </c:pt>
                <c:pt idx="221">
                  <c:v>0.48</c:v>
                </c:pt>
                <c:pt idx="222">
                  <c:v>0.48</c:v>
                </c:pt>
                <c:pt idx="223">
                  <c:v>0.48</c:v>
                </c:pt>
                <c:pt idx="224">
                  <c:v>0.47</c:v>
                </c:pt>
                <c:pt idx="225">
                  <c:v>0.47</c:v>
                </c:pt>
                <c:pt idx="226">
                  <c:v>0.47</c:v>
                </c:pt>
                <c:pt idx="227">
                  <c:v>0.43</c:v>
                </c:pt>
                <c:pt idx="228">
                  <c:v>0.44</c:v>
                </c:pt>
                <c:pt idx="229">
                  <c:v>0.44</c:v>
                </c:pt>
                <c:pt idx="230">
                  <c:v>0.45</c:v>
                </c:pt>
                <c:pt idx="231">
                  <c:v>0.45</c:v>
                </c:pt>
                <c:pt idx="232">
                  <c:v>0.46</c:v>
                </c:pt>
                <c:pt idx="233">
                  <c:v>0.46</c:v>
                </c:pt>
                <c:pt idx="234">
                  <c:v>0.46</c:v>
                </c:pt>
                <c:pt idx="235">
                  <c:v>0.46</c:v>
                </c:pt>
                <c:pt idx="236">
                  <c:v>0.47</c:v>
                </c:pt>
                <c:pt idx="237">
                  <c:v>0.46</c:v>
                </c:pt>
                <c:pt idx="238">
                  <c:v>0.47</c:v>
                </c:pt>
                <c:pt idx="239">
                  <c:v>0.48</c:v>
                </c:pt>
                <c:pt idx="240">
                  <c:v>0.47</c:v>
                </c:pt>
                <c:pt idx="241">
                  <c:v>0.46</c:v>
                </c:pt>
                <c:pt idx="242">
                  <c:v>0.47</c:v>
                </c:pt>
                <c:pt idx="243">
                  <c:v>0.47</c:v>
                </c:pt>
                <c:pt idx="244">
                  <c:v>0.48</c:v>
                </c:pt>
                <c:pt idx="245">
                  <c:v>0.48</c:v>
                </c:pt>
                <c:pt idx="246">
                  <c:v>0.48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D06-448B-8AA0-0A87099F2CC5}"/>
            </c:ext>
          </c:extLst>
        </c:ser>
        <c:ser>
          <c:idx val="2"/>
          <c:order val="2"/>
          <c:tx>
            <c:strRef>
              <c:f>'ações (2)'!$E$2</c:f>
              <c:strCache>
                <c:ptCount val="1"/>
                <c:pt idx="0">
                  <c:v> UNIP5 </c:v>
                </c:pt>
              </c:strCache>
            </c:strRef>
          </c:tx>
          <c:spPr>
            <a:ln>
              <a:solidFill>
                <a:srgbClr val="003300"/>
              </a:solidFill>
            </a:ln>
          </c:spPr>
          <c:marker>
            <c:symbol val="none"/>
          </c:marker>
          <c:dLbls>
            <c:dLbl>
              <c:idx val="2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06-448B-8AA0-0A87099F2CC5}"/>
                </c:ext>
              </c:extLst>
            </c:dLbl>
            <c:dLbl>
              <c:idx val="230"/>
              <c:layout>
                <c:manualLayout>
                  <c:x val="3.864734299516908E-2"/>
                  <c:y val="-6.1127094690086814E-2"/>
                </c:manualLayout>
              </c:layout>
              <c:dLblPos val="r"/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06-448B-8AA0-0A87099F2C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'ações (2)'!$B$3:$B$249</c:f>
              <c:numCache>
                <c:formatCode>[$-416]mmm\-yy;@</c:formatCode>
                <c:ptCount val="247"/>
                <c:pt idx="0">
                  <c:v>41456</c:v>
                </c:pt>
                <c:pt idx="1">
                  <c:v>41457</c:v>
                </c:pt>
                <c:pt idx="2">
                  <c:v>41458</c:v>
                </c:pt>
                <c:pt idx="3">
                  <c:v>41459</c:v>
                </c:pt>
                <c:pt idx="4">
                  <c:v>41460</c:v>
                </c:pt>
                <c:pt idx="5">
                  <c:v>41463</c:v>
                </c:pt>
                <c:pt idx="6">
                  <c:v>41465</c:v>
                </c:pt>
                <c:pt idx="7">
                  <c:v>41466</c:v>
                </c:pt>
                <c:pt idx="8">
                  <c:v>41467</c:v>
                </c:pt>
                <c:pt idx="9">
                  <c:v>41470</c:v>
                </c:pt>
                <c:pt idx="10">
                  <c:v>41471</c:v>
                </c:pt>
                <c:pt idx="11">
                  <c:v>41472</c:v>
                </c:pt>
                <c:pt idx="12">
                  <c:v>41473</c:v>
                </c:pt>
                <c:pt idx="13">
                  <c:v>41474</c:v>
                </c:pt>
                <c:pt idx="14">
                  <c:v>41477</c:v>
                </c:pt>
                <c:pt idx="15">
                  <c:v>41478</c:v>
                </c:pt>
                <c:pt idx="16">
                  <c:v>41479</c:v>
                </c:pt>
                <c:pt idx="17">
                  <c:v>41480</c:v>
                </c:pt>
                <c:pt idx="18">
                  <c:v>41481</c:v>
                </c:pt>
                <c:pt idx="19">
                  <c:v>41484</c:v>
                </c:pt>
                <c:pt idx="20">
                  <c:v>41485</c:v>
                </c:pt>
                <c:pt idx="21">
                  <c:v>41486</c:v>
                </c:pt>
                <c:pt idx="22">
                  <c:v>41487</c:v>
                </c:pt>
                <c:pt idx="23">
                  <c:v>41488</c:v>
                </c:pt>
                <c:pt idx="24">
                  <c:v>41491</c:v>
                </c:pt>
                <c:pt idx="25">
                  <c:v>41492</c:v>
                </c:pt>
                <c:pt idx="26">
                  <c:v>41493</c:v>
                </c:pt>
                <c:pt idx="27">
                  <c:v>41494</c:v>
                </c:pt>
                <c:pt idx="28">
                  <c:v>41495</c:v>
                </c:pt>
                <c:pt idx="29">
                  <c:v>41498</c:v>
                </c:pt>
                <c:pt idx="30">
                  <c:v>41499</c:v>
                </c:pt>
                <c:pt idx="31">
                  <c:v>41500</c:v>
                </c:pt>
                <c:pt idx="32">
                  <c:v>41501</c:v>
                </c:pt>
                <c:pt idx="33">
                  <c:v>41502</c:v>
                </c:pt>
                <c:pt idx="34">
                  <c:v>41505</c:v>
                </c:pt>
                <c:pt idx="35">
                  <c:v>41506</c:v>
                </c:pt>
                <c:pt idx="36">
                  <c:v>41507</c:v>
                </c:pt>
                <c:pt idx="37">
                  <c:v>41508</c:v>
                </c:pt>
                <c:pt idx="38">
                  <c:v>41509</c:v>
                </c:pt>
                <c:pt idx="39">
                  <c:v>41512</c:v>
                </c:pt>
                <c:pt idx="40">
                  <c:v>41513</c:v>
                </c:pt>
                <c:pt idx="41">
                  <c:v>41514</c:v>
                </c:pt>
                <c:pt idx="42">
                  <c:v>41515</c:v>
                </c:pt>
                <c:pt idx="43">
                  <c:v>41516</c:v>
                </c:pt>
                <c:pt idx="44">
                  <c:v>41519</c:v>
                </c:pt>
                <c:pt idx="45">
                  <c:v>41520</c:v>
                </c:pt>
                <c:pt idx="46">
                  <c:v>41521</c:v>
                </c:pt>
                <c:pt idx="47">
                  <c:v>41522</c:v>
                </c:pt>
                <c:pt idx="48">
                  <c:v>41523</c:v>
                </c:pt>
                <c:pt idx="49">
                  <c:v>41526</c:v>
                </c:pt>
                <c:pt idx="50">
                  <c:v>41527</c:v>
                </c:pt>
                <c:pt idx="51">
                  <c:v>41528</c:v>
                </c:pt>
                <c:pt idx="52">
                  <c:v>41529</c:v>
                </c:pt>
                <c:pt idx="53">
                  <c:v>41530</c:v>
                </c:pt>
                <c:pt idx="54">
                  <c:v>41533</c:v>
                </c:pt>
                <c:pt idx="55">
                  <c:v>41534</c:v>
                </c:pt>
                <c:pt idx="56">
                  <c:v>41535</c:v>
                </c:pt>
                <c:pt idx="57">
                  <c:v>41536</c:v>
                </c:pt>
                <c:pt idx="58">
                  <c:v>41537</c:v>
                </c:pt>
                <c:pt idx="59">
                  <c:v>41540</c:v>
                </c:pt>
                <c:pt idx="60">
                  <c:v>41541</c:v>
                </c:pt>
                <c:pt idx="61">
                  <c:v>41542</c:v>
                </c:pt>
                <c:pt idx="62">
                  <c:v>41543</c:v>
                </c:pt>
                <c:pt idx="63">
                  <c:v>41544</c:v>
                </c:pt>
                <c:pt idx="64">
                  <c:v>41547</c:v>
                </c:pt>
                <c:pt idx="65">
                  <c:v>41548</c:v>
                </c:pt>
                <c:pt idx="66">
                  <c:v>41549</c:v>
                </c:pt>
                <c:pt idx="67">
                  <c:v>41550</c:v>
                </c:pt>
                <c:pt idx="68">
                  <c:v>41551</c:v>
                </c:pt>
                <c:pt idx="69">
                  <c:v>41554</c:v>
                </c:pt>
                <c:pt idx="70">
                  <c:v>41555</c:v>
                </c:pt>
                <c:pt idx="71">
                  <c:v>41556</c:v>
                </c:pt>
                <c:pt idx="72">
                  <c:v>41557</c:v>
                </c:pt>
                <c:pt idx="73">
                  <c:v>41558</c:v>
                </c:pt>
                <c:pt idx="74">
                  <c:v>41561</c:v>
                </c:pt>
                <c:pt idx="75">
                  <c:v>41562</c:v>
                </c:pt>
                <c:pt idx="76">
                  <c:v>41563</c:v>
                </c:pt>
                <c:pt idx="77">
                  <c:v>41564</c:v>
                </c:pt>
                <c:pt idx="78">
                  <c:v>41565</c:v>
                </c:pt>
                <c:pt idx="79">
                  <c:v>41568</c:v>
                </c:pt>
                <c:pt idx="80">
                  <c:v>41569</c:v>
                </c:pt>
                <c:pt idx="81">
                  <c:v>41570</c:v>
                </c:pt>
                <c:pt idx="82">
                  <c:v>41571</c:v>
                </c:pt>
                <c:pt idx="83">
                  <c:v>41572</c:v>
                </c:pt>
                <c:pt idx="84">
                  <c:v>41575</c:v>
                </c:pt>
                <c:pt idx="85">
                  <c:v>41576</c:v>
                </c:pt>
                <c:pt idx="86">
                  <c:v>41577</c:v>
                </c:pt>
                <c:pt idx="87">
                  <c:v>41578</c:v>
                </c:pt>
                <c:pt idx="88">
                  <c:v>41579</c:v>
                </c:pt>
                <c:pt idx="89">
                  <c:v>41582</c:v>
                </c:pt>
                <c:pt idx="90">
                  <c:v>41583</c:v>
                </c:pt>
                <c:pt idx="91">
                  <c:v>41584</c:v>
                </c:pt>
                <c:pt idx="92">
                  <c:v>41585</c:v>
                </c:pt>
                <c:pt idx="93">
                  <c:v>41586</c:v>
                </c:pt>
                <c:pt idx="94">
                  <c:v>41589</c:v>
                </c:pt>
                <c:pt idx="95">
                  <c:v>41590</c:v>
                </c:pt>
                <c:pt idx="96">
                  <c:v>41591</c:v>
                </c:pt>
                <c:pt idx="97">
                  <c:v>41592</c:v>
                </c:pt>
                <c:pt idx="98">
                  <c:v>41596</c:v>
                </c:pt>
                <c:pt idx="99">
                  <c:v>41597</c:v>
                </c:pt>
                <c:pt idx="100">
                  <c:v>41599</c:v>
                </c:pt>
                <c:pt idx="101">
                  <c:v>41600</c:v>
                </c:pt>
                <c:pt idx="102">
                  <c:v>41603</c:v>
                </c:pt>
                <c:pt idx="103">
                  <c:v>41604</c:v>
                </c:pt>
                <c:pt idx="104">
                  <c:v>41605</c:v>
                </c:pt>
                <c:pt idx="105">
                  <c:v>41606</c:v>
                </c:pt>
                <c:pt idx="106">
                  <c:v>41607</c:v>
                </c:pt>
                <c:pt idx="107">
                  <c:v>41610</c:v>
                </c:pt>
                <c:pt idx="108">
                  <c:v>41611</c:v>
                </c:pt>
                <c:pt idx="109">
                  <c:v>41612</c:v>
                </c:pt>
                <c:pt idx="110">
                  <c:v>41613</c:v>
                </c:pt>
                <c:pt idx="111">
                  <c:v>41614</c:v>
                </c:pt>
                <c:pt idx="112">
                  <c:v>41617</c:v>
                </c:pt>
                <c:pt idx="113">
                  <c:v>41618</c:v>
                </c:pt>
                <c:pt idx="114">
                  <c:v>41619</c:v>
                </c:pt>
                <c:pt idx="115">
                  <c:v>41620</c:v>
                </c:pt>
                <c:pt idx="116">
                  <c:v>41621</c:v>
                </c:pt>
                <c:pt idx="117">
                  <c:v>41624</c:v>
                </c:pt>
                <c:pt idx="118">
                  <c:v>41625</c:v>
                </c:pt>
                <c:pt idx="119">
                  <c:v>41626</c:v>
                </c:pt>
                <c:pt idx="120">
                  <c:v>41627</c:v>
                </c:pt>
                <c:pt idx="121">
                  <c:v>41628</c:v>
                </c:pt>
                <c:pt idx="122">
                  <c:v>41631</c:v>
                </c:pt>
                <c:pt idx="123">
                  <c:v>41634</c:v>
                </c:pt>
                <c:pt idx="124">
                  <c:v>41635</c:v>
                </c:pt>
                <c:pt idx="125">
                  <c:v>41638</c:v>
                </c:pt>
                <c:pt idx="126">
                  <c:v>41641</c:v>
                </c:pt>
                <c:pt idx="127">
                  <c:v>41642</c:v>
                </c:pt>
                <c:pt idx="128">
                  <c:v>41645</c:v>
                </c:pt>
                <c:pt idx="129">
                  <c:v>41646</c:v>
                </c:pt>
                <c:pt idx="130">
                  <c:v>41647</c:v>
                </c:pt>
                <c:pt idx="131">
                  <c:v>41648</c:v>
                </c:pt>
                <c:pt idx="132">
                  <c:v>41649</c:v>
                </c:pt>
                <c:pt idx="133">
                  <c:v>41652</c:v>
                </c:pt>
                <c:pt idx="134">
                  <c:v>41653</c:v>
                </c:pt>
                <c:pt idx="135">
                  <c:v>41654</c:v>
                </c:pt>
                <c:pt idx="136">
                  <c:v>41655</c:v>
                </c:pt>
                <c:pt idx="137">
                  <c:v>41656</c:v>
                </c:pt>
                <c:pt idx="138">
                  <c:v>41659</c:v>
                </c:pt>
                <c:pt idx="139">
                  <c:v>41660</c:v>
                </c:pt>
                <c:pt idx="140">
                  <c:v>41661</c:v>
                </c:pt>
                <c:pt idx="141">
                  <c:v>41662</c:v>
                </c:pt>
                <c:pt idx="142">
                  <c:v>41663</c:v>
                </c:pt>
                <c:pt idx="143">
                  <c:v>41666</c:v>
                </c:pt>
                <c:pt idx="144">
                  <c:v>41667</c:v>
                </c:pt>
                <c:pt idx="145">
                  <c:v>41668</c:v>
                </c:pt>
                <c:pt idx="146">
                  <c:v>41669</c:v>
                </c:pt>
                <c:pt idx="147">
                  <c:v>41670</c:v>
                </c:pt>
                <c:pt idx="148">
                  <c:v>41673</c:v>
                </c:pt>
                <c:pt idx="149">
                  <c:v>41674</c:v>
                </c:pt>
                <c:pt idx="150">
                  <c:v>41675</c:v>
                </c:pt>
                <c:pt idx="151">
                  <c:v>41676</c:v>
                </c:pt>
                <c:pt idx="152">
                  <c:v>41677</c:v>
                </c:pt>
                <c:pt idx="153">
                  <c:v>41680</c:v>
                </c:pt>
                <c:pt idx="154">
                  <c:v>41681</c:v>
                </c:pt>
                <c:pt idx="155">
                  <c:v>41682</c:v>
                </c:pt>
                <c:pt idx="156">
                  <c:v>41683</c:v>
                </c:pt>
                <c:pt idx="157">
                  <c:v>41684</c:v>
                </c:pt>
                <c:pt idx="158">
                  <c:v>41687</c:v>
                </c:pt>
                <c:pt idx="159">
                  <c:v>41688</c:v>
                </c:pt>
                <c:pt idx="160">
                  <c:v>41689</c:v>
                </c:pt>
                <c:pt idx="161">
                  <c:v>41690</c:v>
                </c:pt>
                <c:pt idx="162">
                  <c:v>41691</c:v>
                </c:pt>
                <c:pt idx="163">
                  <c:v>41694</c:v>
                </c:pt>
                <c:pt idx="164">
                  <c:v>41695</c:v>
                </c:pt>
                <c:pt idx="165">
                  <c:v>41696</c:v>
                </c:pt>
                <c:pt idx="166">
                  <c:v>41697</c:v>
                </c:pt>
                <c:pt idx="167">
                  <c:v>41698</c:v>
                </c:pt>
                <c:pt idx="168">
                  <c:v>41703</c:v>
                </c:pt>
                <c:pt idx="169">
                  <c:v>41704</c:v>
                </c:pt>
                <c:pt idx="170">
                  <c:v>41705</c:v>
                </c:pt>
                <c:pt idx="171">
                  <c:v>41708</c:v>
                </c:pt>
                <c:pt idx="172">
                  <c:v>41709</c:v>
                </c:pt>
                <c:pt idx="173">
                  <c:v>41710</c:v>
                </c:pt>
                <c:pt idx="174">
                  <c:v>41711</c:v>
                </c:pt>
                <c:pt idx="175">
                  <c:v>41712</c:v>
                </c:pt>
                <c:pt idx="176">
                  <c:v>41715</c:v>
                </c:pt>
                <c:pt idx="177">
                  <c:v>41716</c:v>
                </c:pt>
                <c:pt idx="178">
                  <c:v>41717</c:v>
                </c:pt>
                <c:pt idx="179">
                  <c:v>41718</c:v>
                </c:pt>
                <c:pt idx="180">
                  <c:v>41719</c:v>
                </c:pt>
                <c:pt idx="181">
                  <c:v>41722</c:v>
                </c:pt>
                <c:pt idx="182">
                  <c:v>41723</c:v>
                </c:pt>
                <c:pt idx="183">
                  <c:v>41724</c:v>
                </c:pt>
                <c:pt idx="184">
                  <c:v>41725</c:v>
                </c:pt>
                <c:pt idx="185">
                  <c:v>41726</c:v>
                </c:pt>
                <c:pt idx="186">
                  <c:v>41729</c:v>
                </c:pt>
                <c:pt idx="187">
                  <c:v>41730</c:v>
                </c:pt>
                <c:pt idx="188">
                  <c:v>41731</c:v>
                </c:pt>
                <c:pt idx="189">
                  <c:v>41732</c:v>
                </c:pt>
                <c:pt idx="190">
                  <c:v>41733</c:v>
                </c:pt>
                <c:pt idx="191">
                  <c:v>41736</c:v>
                </c:pt>
                <c:pt idx="192">
                  <c:v>41737</c:v>
                </c:pt>
                <c:pt idx="193">
                  <c:v>41738</c:v>
                </c:pt>
                <c:pt idx="194">
                  <c:v>41739</c:v>
                </c:pt>
                <c:pt idx="195">
                  <c:v>41740</c:v>
                </c:pt>
                <c:pt idx="196">
                  <c:v>41743</c:v>
                </c:pt>
                <c:pt idx="197">
                  <c:v>41744</c:v>
                </c:pt>
                <c:pt idx="198">
                  <c:v>41745</c:v>
                </c:pt>
                <c:pt idx="199">
                  <c:v>41746</c:v>
                </c:pt>
                <c:pt idx="200">
                  <c:v>41751</c:v>
                </c:pt>
                <c:pt idx="201">
                  <c:v>41752</c:v>
                </c:pt>
                <c:pt idx="202">
                  <c:v>41753</c:v>
                </c:pt>
                <c:pt idx="203">
                  <c:v>41754</c:v>
                </c:pt>
                <c:pt idx="204">
                  <c:v>41757</c:v>
                </c:pt>
                <c:pt idx="205">
                  <c:v>41758</c:v>
                </c:pt>
                <c:pt idx="206">
                  <c:v>41759</c:v>
                </c:pt>
                <c:pt idx="207">
                  <c:v>41761</c:v>
                </c:pt>
                <c:pt idx="208">
                  <c:v>41764</c:v>
                </c:pt>
                <c:pt idx="209">
                  <c:v>41765</c:v>
                </c:pt>
                <c:pt idx="210">
                  <c:v>41766</c:v>
                </c:pt>
                <c:pt idx="211">
                  <c:v>41767</c:v>
                </c:pt>
                <c:pt idx="212">
                  <c:v>41768</c:v>
                </c:pt>
                <c:pt idx="213">
                  <c:v>41771</c:v>
                </c:pt>
                <c:pt idx="214">
                  <c:v>41772</c:v>
                </c:pt>
                <c:pt idx="215">
                  <c:v>41773</c:v>
                </c:pt>
                <c:pt idx="216">
                  <c:v>41774</c:v>
                </c:pt>
                <c:pt idx="217">
                  <c:v>41775</c:v>
                </c:pt>
                <c:pt idx="218">
                  <c:v>41778</c:v>
                </c:pt>
                <c:pt idx="219">
                  <c:v>41779</c:v>
                </c:pt>
                <c:pt idx="220">
                  <c:v>41780</c:v>
                </c:pt>
                <c:pt idx="221">
                  <c:v>41781</c:v>
                </c:pt>
                <c:pt idx="222">
                  <c:v>41782</c:v>
                </c:pt>
                <c:pt idx="223">
                  <c:v>41785</c:v>
                </c:pt>
                <c:pt idx="224">
                  <c:v>41786</c:v>
                </c:pt>
                <c:pt idx="225">
                  <c:v>41787</c:v>
                </c:pt>
                <c:pt idx="226">
                  <c:v>41788</c:v>
                </c:pt>
                <c:pt idx="227">
                  <c:v>41789</c:v>
                </c:pt>
                <c:pt idx="228">
                  <c:v>41792</c:v>
                </c:pt>
                <c:pt idx="229">
                  <c:v>41793</c:v>
                </c:pt>
                <c:pt idx="230">
                  <c:v>41794</c:v>
                </c:pt>
                <c:pt idx="231">
                  <c:v>41795</c:v>
                </c:pt>
                <c:pt idx="232">
                  <c:v>41796</c:v>
                </c:pt>
                <c:pt idx="233">
                  <c:v>41799</c:v>
                </c:pt>
                <c:pt idx="234">
                  <c:v>41800</c:v>
                </c:pt>
                <c:pt idx="235">
                  <c:v>41801</c:v>
                </c:pt>
                <c:pt idx="236">
                  <c:v>41803</c:v>
                </c:pt>
                <c:pt idx="237">
                  <c:v>41806</c:v>
                </c:pt>
                <c:pt idx="238">
                  <c:v>41807</c:v>
                </c:pt>
                <c:pt idx="239">
                  <c:v>41808</c:v>
                </c:pt>
                <c:pt idx="240">
                  <c:v>41810</c:v>
                </c:pt>
                <c:pt idx="241">
                  <c:v>41813</c:v>
                </c:pt>
                <c:pt idx="242">
                  <c:v>41814</c:v>
                </c:pt>
                <c:pt idx="243">
                  <c:v>41815</c:v>
                </c:pt>
                <c:pt idx="244">
                  <c:v>41816</c:v>
                </c:pt>
                <c:pt idx="245">
                  <c:v>41817</c:v>
                </c:pt>
                <c:pt idx="246">
                  <c:v>41820</c:v>
                </c:pt>
              </c:numCache>
            </c:numRef>
          </c:cat>
          <c:val>
            <c:numRef>
              <c:f>'ações (2)'!$E$3:$E$249</c:f>
              <c:numCache>
                <c:formatCode>_(* #,##0.00_);_(* \(#,##0.00\);_(* "-"??_);_(@_)</c:formatCode>
                <c:ptCount val="247"/>
                <c:pt idx="0">
                  <c:v>0.56599999999999995</c:v>
                </c:pt>
                <c:pt idx="1">
                  <c:v>0.57499999999999996</c:v>
                </c:pt>
                <c:pt idx="2">
                  <c:v>0.78</c:v>
                </c:pt>
                <c:pt idx="3">
                  <c:v>0.77</c:v>
                </c:pt>
                <c:pt idx="4">
                  <c:v>0.77</c:v>
                </c:pt>
                <c:pt idx="5">
                  <c:v>0.73299999999999998</c:v>
                </c:pt>
                <c:pt idx="6">
                  <c:v>0.73299999999999998</c:v>
                </c:pt>
                <c:pt idx="7">
                  <c:v>0.73299999999999998</c:v>
                </c:pt>
                <c:pt idx="8">
                  <c:v>0.73299999999999998</c:v>
                </c:pt>
                <c:pt idx="9">
                  <c:v>0.78</c:v>
                </c:pt>
                <c:pt idx="10">
                  <c:v>0.69599999999999995</c:v>
                </c:pt>
                <c:pt idx="11">
                  <c:v>0.69599999999999995</c:v>
                </c:pt>
                <c:pt idx="12">
                  <c:v>0.70499999999999996</c:v>
                </c:pt>
                <c:pt idx="13">
                  <c:v>0.72399999999999998</c:v>
                </c:pt>
                <c:pt idx="14">
                  <c:v>0.78</c:v>
                </c:pt>
                <c:pt idx="15">
                  <c:v>0.74299999999999999</c:v>
                </c:pt>
                <c:pt idx="16">
                  <c:v>0.74299999999999999</c:v>
                </c:pt>
                <c:pt idx="17">
                  <c:v>0.65</c:v>
                </c:pt>
                <c:pt idx="18">
                  <c:v>0.65900000000000003</c:v>
                </c:pt>
                <c:pt idx="19">
                  <c:v>0.65</c:v>
                </c:pt>
                <c:pt idx="20">
                  <c:v>0.60299999999999998</c:v>
                </c:pt>
                <c:pt idx="21">
                  <c:v>0.55700000000000005</c:v>
                </c:pt>
                <c:pt idx="22">
                  <c:v>0.55700000000000005</c:v>
                </c:pt>
                <c:pt idx="23">
                  <c:v>0.54800000000000004</c:v>
                </c:pt>
                <c:pt idx="24">
                  <c:v>0.55700000000000005</c:v>
                </c:pt>
                <c:pt idx="25">
                  <c:v>0.55700000000000005</c:v>
                </c:pt>
                <c:pt idx="26">
                  <c:v>0.53800000000000003</c:v>
                </c:pt>
                <c:pt idx="27">
                  <c:v>0.52900000000000003</c:v>
                </c:pt>
                <c:pt idx="28">
                  <c:v>0.53800000000000003</c:v>
                </c:pt>
                <c:pt idx="29">
                  <c:v>0.54800000000000004</c:v>
                </c:pt>
                <c:pt idx="30">
                  <c:v>0.53800000000000003</c:v>
                </c:pt>
                <c:pt idx="31">
                  <c:v>0.54800000000000004</c:v>
                </c:pt>
                <c:pt idx="32">
                  <c:v>0.54800000000000004</c:v>
                </c:pt>
                <c:pt idx="33">
                  <c:v>0.53800000000000003</c:v>
                </c:pt>
                <c:pt idx="34">
                  <c:v>0.53800000000000003</c:v>
                </c:pt>
                <c:pt idx="35">
                  <c:v>0.53800000000000003</c:v>
                </c:pt>
                <c:pt idx="36">
                  <c:v>0.53800000000000003</c:v>
                </c:pt>
                <c:pt idx="37">
                  <c:v>0.53800000000000003</c:v>
                </c:pt>
                <c:pt idx="38">
                  <c:v>0.53800000000000003</c:v>
                </c:pt>
                <c:pt idx="39">
                  <c:v>0.501</c:v>
                </c:pt>
                <c:pt idx="40">
                  <c:v>0.501</c:v>
                </c:pt>
                <c:pt idx="41">
                  <c:v>0.51</c:v>
                </c:pt>
                <c:pt idx="42">
                  <c:v>0.501</c:v>
                </c:pt>
                <c:pt idx="43">
                  <c:v>0.501</c:v>
                </c:pt>
                <c:pt idx="44">
                  <c:v>0.501</c:v>
                </c:pt>
                <c:pt idx="45">
                  <c:v>0.501</c:v>
                </c:pt>
                <c:pt idx="46">
                  <c:v>0.49199999999999999</c:v>
                </c:pt>
                <c:pt idx="47">
                  <c:v>0.49199999999999999</c:v>
                </c:pt>
                <c:pt idx="48">
                  <c:v>0.49199999999999999</c:v>
                </c:pt>
                <c:pt idx="49">
                  <c:v>0.49199999999999999</c:v>
                </c:pt>
                <c:pt idx="50">
                  <c:v>0.49199999999999999</c:v>
                </c:pt>
                <c:pt idx="51">
                  <c:v>0.49199999999999999</c:v>
                </c:pt>
                <c:pt idx="52">
                  <c:v>0.48299999999999998</c:v>
                </c:pt>
                <c:pt idx="53">
                  <c:v>0.49199999999999999</c:v>
                </c:pt>
                <c:pt idx="54">
                  <c:v>0.52900000000000003</c:v>
                </c:pt>
                <c:pt idx="55">
                  <c:v>0.52900000000000003</c:v>
                </c:pt>
                <c:pt idx="56">
                  <c:v>0.51</c:v>
                </c:pt>
                <c:pt idx="57">
                  <c:v>0.52</c:v>
                </c:pt>
                <c:pt idx="58">
                  <c:v>0.49199999999999999</c:v>
                </c:pt>
                <c:pt idx="59">
                  <c:v>0.49199999999999999</c:v>
                </c:pt>
                <c:pt idx="60">
                  <c:v>0.49199999999999999</c:v>
                </c:pt>
                <c:pt idx="61">
                  <c:v>0.52</c:v>
                </c:pt>
                <c:pt idx="62">
                  <c:v>0.51</c:v>
                </c:pt>
                <c:pt idx="63">
                  <c:v>0.52</c:v>
                </c:pt>
                <c:pt idx="64">
                  <c:v>0.52</c:v>
                </c:pt>
                <c:pt idx="65">
                  <c:v>0.52</c:v>
                </c:pt>
                <c:pt idx="66">
                  <c:v>0.51</c:v>
                </c:pt>
                <c:pt idx="67">
                  <c:v>0.51</c:v>
                </c:pt>
                <c:pt idx="68">
                  <c:v>0.51</c:v>
                </c:pt>
                <c:pt idx="69">
                  <c:v>0.501</c:v>
                </c:pt>
                <c:pt idx="70">
                  <c:v>0.501</c:v>
                </c:pt>
                <c:pt idx="71">
                  <c:v>0.49199999999999999</c:v>
                </c:pt>
                <c:pt idx="72">
                  <c:v>0.49199999999999999</c:v>
                </c:pt>
                <c:pt idx="73">
                  <c:v>0.49199999999999999</c:v>
                </c:pt>
                <c:pt idx="74">
                  <c:v>0.501</c:v>
                </c:pt>
                <c:pt idx="75">
                  <c:v>0.501</c:v>
                </c:pt>
                <c:pt idx="76">
                  <c:v>0.51</c:v>
                </c:pt>
                <c:pt idx="77">
                  <c:v>0.52900000000000003</c:v>
                </c:pt>
                <c:pt idx="78">
                  <c:v>0.53800000000000003</c:v>
                </c:pt>
                <c:pt idx="79">
                  <c:v>0.52</c:v>
                </c:pt>
                <c:pt idx="80">
                  <c:v>0.52900000000000003</c:v>
                </c:pt>
                <c:pt idx="81">
                  <c:v>0.49199999999999999</c:v>
                </c:pt>
                <c:pt idx="82">
                  <c:v>0.51</c:v>
                </c:pt>
                <c:pt idx="83">
                  <c:v>0.501</c:v>
                </c:pt>
                <c:pt idx="84">
                  <c:v>0.49199999999999999</c:v>
                </c:pt>
                <c:pt idx="85">
                  <c:v>0.52900000000000003</c:v>
                </c:pt>
                <c:pt idx="86">
                  <c:v>0.52</c:v>
                </c:pt>
                <c:pt idx="87">
                  <c:v>0.501</c:v>
                </c:pt>
                <c:pt idx="88">
                  <c:v>0.51</c:v>
                </c:pt>
                <c:pt idx="89">
                  <c:v>0.51</c:v>
                </c:pt>
                <c:pt idx="90">
                  <c:v>0.51</c:v>
                </c:pt>
                <c:pt idx="91">
                  <c:v>0.52</c:v>
                </c:pt>
                <c:pt idx="92">
                  <c:v>0.52</c:v>
                </c:pt>
                <c:pt idx="93">
                  <c:v>0.52</c:v>
                </c:pt>
                <c:pt idx="94">
                  <c:v>0.52900000000000003</c:v>
                </c:pt>
                <c:pt idx="95">
                  <c:v>0.52900000000000003</c:v>
                </c:pt>
                <c:pt idx="96">
                  <c:v>0.52900000000000003</c:v>
                </c:pt>
                <c:pt idx="97">
                  <c:v>0.52</c:v>
                </c:pt>
                <c:pt idx="98">
                  <c:v>0.57499999999999996</c:v>
                </c:pt>
                <c:pt idx="99">
                  <c:v>0.60299999999999998</c:v>
                </c:pt>
                <c:pt idx="100">
                  <c:v>0.59399999999999997</c:v>
                </c:pt>
                <c:pt idx="101">
                  <c:v>0.622</c:v>
                </c:pt>
                <c:pt idx="102">
                  <c:v>0.58499999999999996</c:v>
                </c:pt>
                <c:pt idx="103">
                  <c:v>0.58499999999999996</c:v>
                </c:pt>
                <c:pt idx="104">
                  <c:v>0.58499999999999996</c:v>
                </c:pt>
                <c:pt idx="105">
                  <c:v>0.59399999999999997</c:v>
                </c:pt>
                <c:pt idx="106">
                  <c:v>0.61299999999999999</c:v>
                </c:pt>
                <c:pt idx="107">
                  <c:v>0.57499999999999996</c:v>
                </c:pt>
                <c:pt idx="108">
                  <c:v>0.59399999999999997</c:v>
                </c:pt>
                <c:pt idx="109">
                  <c:v>0.59399999999999997</c:v>
                </c:pt>
                <c:pt idx="110">
                  <c:v>0.60299999999999998</c:v>
                </c:pt>
                <c:pt idx="111">
                  <c:v>0.61299999999999999</c:v>
                </c:pt>
                <c:pt idx="112">
                  <c:v>0.61299999999999999</c:v>
                </c:pt>
                <c:pt idx="113">
                  <c:v>0.60299999999999998</c:v>
                </c:pt>
                <c:pt idx="114">
                  <c:v>0.622</c:v>
                </c:pt>
                <c:pt idx="115">
                  <c:v>0.64</c:v>
                </c:pt>
                <c:pt idx="116">
                  <c:v>0.622</c:v>
                </c:pt>
                <c:pt idx="117">
                  <c:v>0.622</c:v>
                </c:pt>
                <c:pt idx="118">
                  <c:v>0.61299999999999999</c:v>
                </c:pt>
                <c:pt idx="119">
                  <c:v>0.622</c:v>
                </c:pt>
                <c:pt idx="120">
                  <c:v>0.59399999999999997</c:v>
                </c:pt>
                <c:pt idx="121">
                  <c:v>0.61299999999999999</c:v>
                </c:pt>
                <c:pt idx="122">
                  <c:v>0.63100000000000001</c:v>
                </c:pt>
                <c:pt idx="123">
                  <c:v>0.622</c:v>
                </c:pt>
                <c:pt idx="124">
                  <c:v>0.63100000000000001</c:v>
                </c:pt>
                <c:pt idx="125">
                  <c:v>0.622</c:v>
                </c:pt>
                <c:pt idx="126">
                  <c:v>0.61299999999999999</c:v>
                </c:pt>
                <c:pt idx="127">
                  <c:v>0.60299999999999998</c:v>
                </c:pt>
                <c:pt idx="128">
                  <c:v>0.57499999999999996</c:v>
                </c:pt>
                <c:pt idx="129">
                  <c:v>0.58499999999999996</c:v>
                </c:pt>
                <c:pt idx="130">
                  <c:v>0.57499999999999996</c:v>
                </c:pt>
                <c:pt idx="131">
                  <c:v>0.59399999999999997</c:v>
                </c:pt>
                <c:pt idx="132">
                  <c:v>0.57499999999999996</c:v>
                </c:pt>
                <c:pt idx="133">
                  <c:v>0.57499999999999996</c:v>
                </c:pt>
                <c:pt idx="134">
                  <c:v>0.56599999999999995</c:v>
                </c:pt>
                <c:pt idx="135">
                  <c:v>0.56599999999999995</c:v>
                </c:pt>
                <c:pt idx="136">
                  <c:v>0.56599999999999995</c:v>
                </c:pt>
                <c:pt idx="137">
                  <c:v>0.56599999999999995</c:v>
                </c:pt>
                <c:pt idx="138">
                  <c:v>0.56599999999999995</c:v>
                </c:pt>
                <c:pt idx="139">
                  <c:v>0.55700000000000005</c:v>
                </c:pt>
                <c:pt idx="140">
                  <c:v>0.56599999999999995</c:v>
                </c:pt>
                <c:pt idx="141">
                  <c:v>0.56599999999999995</c:v>
                </c:pt>
                <c:pt idx="142">
                  <c:v>0.56599999999999995</c:v>
                </c:pt>
                <c:pt idx="143">
                  <c:v>0.58499999999999996</c:v>
                </c:pt>
                <c:pt idx="144">
                  <c:v>0.58499999999999996</c:v>
                </c:pt>
                <c:pt idx="145">
                  <c:v>0.58499999999999996</c:v>
                </c:pt>
                <c:pt idx="146">
                  <c:v>0.55700000000000005</c:v>
                </c:pt>
                <c:pt idx="147">
                  <c:v>0.58499999999999996</c:v>
                </c:pt>
                <c:pt idx="148">
                  <c:v>0.58499999999999996</c:v>
                </c:pt>
                <c:pt idx="149">
                  <c:v>0.59399999999999997</c:v>
                </c:pt>
                <c:pt idx="150">
                  <c:v>0.59399999999999997</c:v>
                </c:pt>
                <c:pt idx="151">
                  <c:v>0.59399999999999997</c:v>
                </c:pt>
                <c:pt idx="152">
                  <c:v>0.58499999999999996</c:v>
                </c:pt>
                <c:pt idx="153">
                  <c:v>0.61299999999999999</c:v>
                </c:pt>
                <c:pt idx="154">
                  <c:v>0.60299999999999998</c:v>
                </c:pt>
                <c:pt idx="155">
                  <c:v>0.59399999999999997</c:v>
                </c:pt>
                <c:pt idx="156">
                  <c:v>0.59399999999999997</c:v>
                </c:pt>
                <c:pt idx="157">
                  <c:v>0.57499999999999996</c:v>
                </c:pt>
                <c:pt idx="158">
                  <c:v>0.60299999999999998</c:v>
                </c:pt>
                <c:pt idx="159">
                  <c:v>0.61299999999999999</c:v>
                </c:pt>
                <c:pt idx="160">
                  <c:v>0.622</c:v>
                </c:pt>
                <c:pt idx="161">
                  <c:v>0.56599999999999995</c:v>
                </c:pt>
                <c:pt idx="162">
                  <c:v>0.59399999999999997</c:v>
                </c:pt>
                <c:pt idx="163">
                  <c:v>0.58499999999999996</c:v>
                </c:pt>
                <c:pt idx="164">
                  <c:v>0.57499999999999996</c:v>
                </c:pt>
                <c:pt idx="165">
                  <c:v>0.59399999999999997</c:v>
                </c:pt>
                <c:pt idx="166">
                  <c:v>0.56599999999999995</c:v>
                </c:pt>
                <c:pt idx="167">
                  <c:v>0.58499999999999996</c:v>
                </c:pt>
                <c:pt idx="168">
                  <c:v>0.57499999999999996</c:v>
                </c:pt>
                <c:pt idx="169">
                  <c:v>0.60299999999999998</c:v>
                </c:pt>
                <c:pt idx="170">
                  <c:v>0.59399999999999997</c:v>
                </c:pt>
                <c:pt idx="171">
                  <c:v>0.58499999999999996</c:v>
                </c:pt>
                <c:pt idx="172">
                  <c:v>0.58499999999999996</c:v>
                </c:pt>
                <c:pt idx="173">
                  <c:v>0.59399999999999997</c:v>
                </c:pt>
                <c:pt idx="174">
                  <c:v>0.59399999999999997</c:v>
                </c:pt>
                <c:pt idx="175">
                  <c:v>0.59399999999999997</c:v>
                </c:pt>
                <c:pt idx="176">
                  <c:v>0.59399999999999997</c:v>
                </c:pt>
                <c:pt idx="177">
                  <c:v>0.59399999999999997</c:v>
                </c:pt>
                <c:pt idx="178">
                  <c:v>0.58499999999999996</c:v>
                </c:pt>
                <c:pt idx="179">
                  <c:v>0.59399999999999997</c:v>
                </c:pt>
                <c:pt idx="180">
                  <c:v>0.59399999999999997</c:v>
                </c:pt>
                <c:pt idx="181">
                  <c:v>0.59399999999999997</c:v>
                </c:pt>
                <c:pt idx="182">
                  <c:v>0.59</c:v>
                </c:pt>
                <c:pt idx="183">
                  <c:v>0.6</c:v>
                </c:pt>
                <c:pt idx="184">
                  <c:v>0.56999999999999995</c:v>
                </c:pt>
                <c:pt idx="185">
                  <c:v>0.59</c:v>
                </c:pt>
                <c:pt idx="186">
                  <c:v>0.62</c:v>
                </c:pt>
                <c:pt idx="187">
                  <c:v>0.62</c:v>
                </c:pt>
                <c:pt idx="188">
                  <c:v>0.63</c:v>
                </c:pt>
                <c:pt idx="189">
                  <c:v>0.63</c:v>
                </c:pt>
                <c:pt idx="190">
                  <c:v>0.64</c:v>
                </c:pt>
                <c:pt idx="191">
                  <c:v>0.65</c:v>
                </c:pt>
                <c:pt idx="192">
                  <c:v>0.65</c:v>
                </c:pt>
                <c:pt idx="193">
                  <c:v>0.7</c:v>
                </c:pt>
                <c:pt idx="194">
                  <c:v>0.73</c:v>
                </c:pt>
                <c:pt idx="195">
                  <c:v>0.72</c:v>
                </c:pt>
                <c:pt idx="196">
                  <c:v>0.69</c:v>
                </c:pt>
                <c:pt idx="197">
                  <c:v>0.68</c:v>
                </c:pt>
                <c:pt idx="198">
                  <c:v>0.7</c:v>
                </c:pt>
                <c:pt idx="199">
                  <c:v>0.68</c:v>
                </c:pt>
                <c:pt idx="200">
                  <c:v>0.62</c:v>
                </c:pt>
                <c:pt idx="201">
                  <c:v>0.63</c:v>
                </c:pt>
                <c:pt idx="202">
                  <c:v>0.6</c:v>
                </c:pt>
                <c:pt idx="203">
                  <c:v>0.63</c:v>
                </c:pt>
                <c:pt idx="204">
                  <c:v>0.62</c:v>
                </c:pt>
                <c:pt idx="205">
                  <c:v>0.59</c:v>
                </c:pt>
                <c:pt idx="206">
                  <c:v>0.6</c:v>
                </c:pt>
                <c:pt idx="207">
                  <c:v>0.6</c:v>
                </c:pt>
                <c:pt idx="208">
                  <c:v>0.6</c:v>
                </c:pt>
                <c:pt idx="209">
                  <c:v>0.61</c:v>
                </c:pt>
                <c:pt idx="210">
                  <c:v>0.61</c:v>
                </c:pt>
                <c:pt idx="211">
                  <c:v>0.61</c:v>
                </c:pt>
                <c:pt idx="212">
                  <c:v>0.6</c:v>
                </c:pt>
                <c:pt idx="213">
                  <c:v>0.6</c:v>
                </c:pt>
                <c:pt idx="214">
                  <c:v>0.6</c:v>
                </c:pt>
                <c:pt idx="215">
                  <c:v>0.6</c:v>
                </c:pt>
                <c:pt idx="216">
                  <c:v>0.59</c:v>
                </c:pt>
                <c:pt idx="217">
                  <c:v>0.59</c:v>
                </c:pt>
                <c:pt idx="218">
                  <c:v>0.6</c:v>
                </c:pt>
                <c:pt idx="219">
                  <c:v>0.57999999999999996</c:v>
                </c:pt>
                <c:pt idx="220">
                  <c:v>0.59</c:v>
                </c:pt>
                <c:pt idx="221">
                  <c:v>0.59</c:v>
                </c:pt>
                <c:pt idx="222">
                  <c:v>0.7</c:v>
                </c:pt>
                <c:pt idx="223">
                  <c:v>0.7</c:v>
                </c:pt>
                <c:pt idx="224">
                  <c:v>0.68</c:v>
                </c:pt>
                <c:pt idx="225">
                  <c:v>0.62</c:v>
                </c:pt>
                <c:pt idx="226">
                  <c:v>0.63</c:v>
                </c:pt>
                <c:pt idx="227">
                  <c:v>0.6</c:v>
                </c:pt>
                <c:pt idx="228">
                  <c:v>0.63</c:v>
                </c:pt>
                <c:pt idx="229">
                  <c:v>0.62</c:v>
                </c:pt>
                <c:pt idx="230">
                  <c:v>0.59</c:v>
                </c:pt>
                <c:pt idx="231">
                  <c:v>0.6</c:v>
                </c:pt>
                <c:pt idx="232">
                  <c:v>0.6</c:v>
                </c:pt>
                <c:pt idx="233">
                  <c:v>0.6</c:v>
                </c:pt>
                <c:pt idx="234">
                  <c:v>0.61</c:v>
                </c:pt>
                <c:pt idx="235">
                  <c:v>0.61</c:v>
                </c:pt>
                <c:pt idx="236">
                  <c:v>0.61</c:v>
                </c:pt>
                <c:pt idx="237">
                  <c:v>0.6</c:v>
                </c:pt>
                <c:pt idx="238">
                  <c:v>0.6</c:v>
                </c:pt>
                <c:pt idx="239">
                  <c:v>0.6</c:v>
                </c:pt>
                <c:pt idx="240">
                  <c:v>0.6</c:v>
                </c:pt>
                <c:pt idx="241">
                  <c:v>0.59</c:v>
                </c:pt>
                <c:pt idx="242">
                  <c:v>0.59</c:v>
                </c:pt>
                <c:pt idx="243">
                  <c:v>0.6</c:v>
                </c:pt>
                <c:pt idx="244">
                  <c:v>0.57999999999999996</c:v>
                </c:pt>
                <c:pt idx="245">
                  <c:v>0.59</c:v>
                </c:pt>
                <c:pt idx="246">
                  <c:v>0.59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D06-448B-8AA0-0A87099F2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986240"/>
        <c:axId val="100885632"/>
      </c:lineChart>
      <c:dateAx>
        <c:axId val="100986240"/>
        <c:scaling>
          <c:orientation val="minMax"/>
        </c:scaling>
        <c:delete val="0"/>
        <c:axPos val="b"/>
        <c:numFmt formatCode="[$-416]mmm\-yy;@" sourceLinked="1"/>
        <c:majorTickMark val="out"/>
        <c:minorTickMark val="none"/>
        <c:tickLblPos val="nextTo"/>
        <c:crossAx val="100885632"/>
        <c:crossesAt val="0.30000000000000004"/>
        <c:auto val="1"/>
        <c:lblOffset val="100"/>
        <c:baseTimeUnit val="days"/>
      </c:dateAx>
      <c:valAx>
        <c:axId val="100885632"/>
        <c:scaling>
          <c:orientation val="minMax"/>
          <c:max val="0.9"/>
          <c:min val="0.30000000000000004"/>
        </c:scaling>
        <c:delete val="0"/>
        <c:axPos val="l"/>
        <c:majorGridlines>
          <c:spPr>
            <a:ln>
              <a:noFill/>
            </a:ln>
          </c:spPr>
        </c:majorGridlines>
        <c:numFmt formatCode="_(* #,##0.00_);_(* \(#,##0.00\);_(* &quot;-&quot;??_);_(@_)" sourceLinked="1"/>
        <c:majorTickMark val="out"/>
        <c:minorTickMark val="none"/>
        <c:tickLblPos val="nextTo"/>
        <c:crossAx val="100986240"/>
        <c:crosses val="autoZero"/>
        <c:crossBetween val="between"/>
        <c:majorUnit val="0.1"/>
      </c:valAx>
      <c:spPr>
        <a:noFill/>
      </c:spPr>
    </c:plotArea>
    <c:legend>
      <c:legendPos val="b"/>
      <c:layout>
        <c:manualLayout>
          <c:xMode val="edge"/>
          <c:yMode val="edge"/>
          <c:x val="0.27952879531362929"/>
          <c:y val="0.92502700383605907"/>
          <c:w val="0.43007274905854159"/>
          <c:h val="5.2221690547251308E-2"/>
        </c:manualLayout>
      </c:layout>
      <c:overlay val="1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BR" sz="1400"/>
              <a:t>INDICE</a:t>
            </a:r>
            <a:r>
              <a:rPr lang="pt-BR" sz="1400" baseline="0"/>
              <a:t> DE EVOLUÇÃO NO PREÇOS DOS ATIVOS: </a:t>
            </a:r>
            <a:r>
              <a:rPr lang="pt-BR" sz="1400"/>
              <a:t>UNIP3,</a:t>
            </a:r>
            <a:r>
              <a:rPr lang="pt-BR" sz="1400" baseline="0"/>
              <a:t> UNIP5, UNIP6 e IBOV - JUL13 BASE 100</a:t>
            </a:r>
            <a:endParaRPr lang="pt-BR" sz="14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1273162533005052E-2"/>
          <c:y val="1.6776686419352219E-2"/>
          <c:w val="0.79490982377202846"/>
          <c:h val="0.80344421895716644"/>
        </c:manualLayout>
      </c:layout>
      <c:lineChart>
        <c:grouping val="standard"/>
        <c:varyColors val="0"/>
        <c:ser>
          <c:idx val="0"/>
          <c:order val="0"/>
          <c:tx>
            <c:strRef>
              <c:f>'ações (2)'!$N$2</c:f>
              <c:strCache>
                <c:ptCount val="1"/>
                <c:pt idx="0">
                  <c:v> UNIP3 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246"/>
              <c:layout>
                <c:manualLayout>
                  <c:x val="-5.9523809523809521E-3"/>
                  <c:y val="-3.2989690721649485E-2"/>
                </c:manualLayout>
              </c:layout>
              <c:spPr/>
              <c:txPr>
                <a:bodyPr/>
                <a:lstStyle/>
                <a:p>
                  <a:pPr>
                    <a:defRPr sz="1200" b="1"/>
                  </a:pPr>
                  <a:endParaRPr lang="pt-BR"/>
                </a:p>
              </c:txPr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BC-45AC-A47A-7C9165BE481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'ações (2)'!$M$3:$M$249</c:f>
              <c:numCache>
                <c:formatCode>[$-416]mmm\-yy;@</c:formatCode>
                <c:ptCount val="247"/>
                <c:pt idx="0">
                  <c:v>41456</c:v>
                </c:pt>
                <c:pt idx="1">
                  <c:v>41457</c:v>
                </c:pt>
                <c:pt idx="2">
                  <c:v>41458</c:v>
                </c:pt>
                <c:pt idx="3">
                  <c:v>41459</c:v>
                </c:pt>
                <c:pt idx="4">
                  <c:v>41460</c:v>
                </c:pt>
                <c:pt idx="5">
                  <c:v>41463</c:v>
                </c:pt>
                <c:pt idx="6">
                  <c:v>41465</c:v>
                </c:pt>
                <c:pt idx="7">
                  <c:v>41466</c:v>
                </c:pt>
                <c:pt idx="8">
                  <c:v>41467</c:v>
                </c:pt>
                <c:pt idx="9">
                  <c:v>41470</c:v>
                </c:pt>
                <c:pt idx="10">
                  <c:v>41471</c:v>
                </c:pt>
                <c:pt idx="11">
                  <c:v>41472</c:v>
                </c:pt>
                <c:pt idx="12">
                  <c:v>41473</c:v>
                </c:pt>
                <c:pt idx="13">
                  <c:v>41474</c:v>
                </c:pt>
                <c:pt idx="14">
                  <c:v>41477</c:v>
                </c:pt>
                <c:pt idx="15">
                  <c:v>41478</c:v>
                </c:pt>
                <c:pt idx="16">
                  <c:v>41479</c:v>
                </c:pt>
                <c:pt idx="17">
                  <c:v>41480</c:v>
                </c:pt>
                <c:pt idx="18">
                  <c:v>41481</c:v>
                </c:pt>
                <c:pt idx="19">
                  <c:v>41484</c:v>
                </c:pt>
                <c:pt idx="20">
                  <c:v>41485</c:v>
                </c:pt>
                <c:pt idx="21">
                  <c:v>41486</c:v>
                </c:pt>
                <c:pt idx="22">
                  <c:v>41487</c:v>
                </c:pt>
                <c:pt idx="23">
                  <c:v>41488</c:v>
                </c:pt>
                <c:pt idx="24">
                  <c:v>41491</c:v>
                </c:pt>
                <c:pt idx="25">
                  <c:v>41492</c:v>
                </c:pt>
                <c:pt idx="26">
                  <c:v>41493</c:v>
                </c:pt>
                <c:pt idx="27">
                  <c:v>41494</c:v>
                </c:pt>
                <c:pt idx="28">
                  <c:v>41495</c:v>
                </c:pt>
                <c:pt idx="29">
                  <c:v>41498</c:v>
                </c:pt>
                <c:pt idx="30">
                  <c:v>41499</c:v>
                </c:pt>
                <c:pt idx="31">
                  <c:v>41500</c:v>
                </c:pt>
                <c:pt idx="32">
                  <c:v>41501</c:v>
                </c:pt>
                <c:pt idx="33">
                  <c:v>41502</c:v>
                </c:pt>
                <c:pt idx="34">
                  <c:v>41505</c:v>
                </c:pt>
                <c:pt idx="35">
                  <c:v>41506</c:v>
                </c:pt>
                <c:pt idx="36">
                  <c:v>41507</c:v>
                </c:pt>
                <c:pt idx="37">
                  <c:v>41508</c:v>
                </c:pt>
                <c:pt idx="38">
                  <c:v>41509</c:v>
                </c:pt>
                <c:pt idx="39">
                  <c:v>41512</c:v>
                </c:pt>
                <c:pt idx="40">
                  <c:v>41513</c:v>
                </c:pt>
                <c:pt idx="41">
                  <c:v>41514</c:v>
                </c:pt>
                <c:pt idx="42">
                  <c:v>41515</c:v>
                </c:pt>
                <c:pt idx="43">
                  <c:v>41516</c:v>
                </c:pt>
                <c:pt idx="44">
                  <c:v>41519</c:v>
                </c:pt>
                <c:pt idx="45">
                  <c:v>41520</c:v>
                </c:pt>
                <c:pt idx="46">
                  <c:v>41521</c:v>
                </c:pt>
                <c:pt idx="47">
                  <c:v>41522</c:v>
                </c:pt>
                <c:pt idx="48">
                  <c:v>41523</c:v>
                </c:pt>
                <c:pt idx="49">
                  <c:v>41526</c:v>
                </c:pt>
                <c:pt idx="50">
                  <c:v>41527</c:v>
                </c:pt>
                <c:pt idx="51">
                  <c:v>41528</c:v>
                </c:pt>
                <c:pt idx="52">
                  <c:v>41529</c:v>
                </c:pt>
                <c:pt idx="53">
                  <c:v>41530</c:v>
                </c:pt>
                <c:pt idx="54">
                  <c:v>41533</c:v>
                </c:pt>
                <c:pt idx="55">
                  <c:v>41534</c:v>
                </c:pt>
                <c:pt idx="56">
                  <c:v>41535</c:v>
                </c:pt>
                <c:pt idx="57">
                  <c:v>41536</c:v>
                </c:pt>
                <c:pt idx="58">
                  <c:v>41537</c:v>
                </c:pt>
                <c:pt idx="59">
                  <c:v>41540</c:v>
                </c:pt>
                <c:pt idx="60">
                  <c:v>41541</c:v>
                </c:pt>
                <c:pt idx="61">
                  <c:v>41542</c:v>
                </c:pt>
                <c:pt idx="62">
                  <c:v>41543</c:v>
                </c:pt>
                <c:pt idx="63">
                  <c:v>41544</c:v>
                </c:pt>
                <c:pt idx="64">
                  <c:v>41547</c:v>
                </c:pt>
                <c:pt idx="65">
                  <c:v>41548</c:v>
                </c:pt>
                <c:pt idx="66">
                  <c:v>41549</c:v>
                </c:pt>
                <c:pt idx="67">
                  <c:v>41550</c:v>
                </c:pt>
                <c:pt idx="68">
                  <c:v>41551</c:v>
                </c:pt>
                <c:pt idx="69">
                  <c:v>41554</c:v>
                </c:pt>
                <c:pt idx="70">
                  <c:v>41555</c:v>
                </c:pt>
                <c:pt idx="71">
                  <c:v>41556</c:v>
                </c:pt>
                <c:pt idx="72">
                  <c:v>41557</c:v>
                </c:pt>
                <c:pt idx="73">
                  <c:v>41558</c:v>
                </c:pt>
                <c:pt idx="74">
                  <c:v>41561</c:v>
                </c:pt>
                <c:pt idx="75">
                  <c:v>41562</c:v>
                </c:pt>
                <c:pt idx="76">
                  <c:v>41563</c:v>
                </c:pt>
                <c:pt idx="77">
                  <c:v>41564</c:v>
                </c:pt>
                <c:pt idx="78">
                  <c:v>41565</c:v>
                </c:pt>
                <c:pt idx="79">
                  <c:v>41568</c:v>
                </c:pt>
                <c:pt idx="80">
                  <c:v>41569</c:v>
                </c:pt>
                <c:pt idx="81">
                  <c:v>41570</c:v>
                </c:pt>
                <c:pt idx="82">
                  <c:v>41571</c:v>
                </c:pt>
                <c:pt idx="83">
                  <c:v>41572</c:v>
                </c:pt>
                <c:pt idx="84">
                  <c:v>41575</c:v>
                </c:pt>
                <c:pt idx="85">
                  <c:v>41576</c:v>
                </c:pt>
                <c:pt idx="86">
                  <c:v>41577</c:v>
                </c:pt>
                <c:pt idx="87">
                  <c:v>41578</c:v>
                </c:pt>
                <c:pt idx="88">
                  <c:v>41579</c:v>
                </c:pt>
                <c:pt idx="89">
                  <c:v>41582</c:v>
                </c:pt>
                <c:pt idx="90">
                  <c:v>41583</c:v>
                </c:pt>
                <c:pt idx="91">
                  <c:v>41584</c:v>
                </c:pt>
                <c:pt idx="92">
                  <c:v>41585</c:v>
                </c:pt>
                <c:pt idx="93">
                  <c:v>41586</c:v>
                </c:pt>
                <c:pt idx="94">
                  <c:v>41589</c:v>
                </c:pt>
                <c:pt idx="95">
                  <c:v>41590</c:v>
                </c:pt>
                <c:pt idx="96">
                  <c:v>41591</c:v>
                </c:pt>
                <c:pt idx="97">
                  <c:v>41592</c:v>
                </c:pt>
                <c:pt idx="98">
                  <c:v>41596</c:v>
                </c:pt>
                <c:pt idx="99">
                  <c:v>41597</c:v>
                </c:pt>
                <c:pt idx="100">
                  <c:v>41599</c:v>
                </c:pt>
                <c:pt idx="101">
                  <c:v>41600</c:v>
                </c:pt>
                <c:pt idx="102">
                  <c:v>41603</c:v>
                </c:pt>
                <c:pt idx="103">
                  <c:v>41604</c:v>
                </c:pt>
                <c:pt idx="104">
                  <c:v>41605</c:v>
                </c:pt>
                <c:pt idx="105">
                  <c:v>41606</c:v>
                </c:pt>
                <c:pt idx="106">
                  <c:v>41607</c:v>
                </c:pt>
                <c:pt idx="107">
                  <c:v>41610</c:v>
                </c:pt>
                <c:pt idx="108">
                  <c:v>41611</c:v>
                </c:pt>
                <c:pt idx="109">
                  <c:v>41612</c:v>
                </c:pt>
                <c:pt idx="110">
                  <c:v>41613</c:v>
                </c:pt>
                <c:pt idx="111">
                  <c:v>41614</c:v>
                </c:pt>
                <c:pt idx="112">
                  <c:v>41617</c:v>
                </c:pt>
                <c:pt idx="113">
                  <c:v>41618</c:v>
                </c:pt>
                <c:pt idx="114">
                  <c:v>41619</c:v>
                </c:pt>
                <c:pt idx="115">
                  <c:v>41620</c:v>
                </c:pt>
                <c:pt idx="116">
                  <c:v>41621</c:v>
                </c:pt>
                <c:pt idx="117">
                  <c:v>41624</c:v>
                </c:pt>
                <c:pt idx="118">
                  <c:v>41625</c:v>
                </c:pt>
                <c:pt idx="119">
                  <c:v>41626</c:v>
                </c:pt>
                <c:pt idx="120">
                  <c:v>41627</c:v>
                </c:pt>
                <c:pt idx="121">
                  <c:v>41628</c:v>
                </c:pt>
                <c:pt idx="122">
                  <c:v>41631</c:v>
                </c:pt>
                <c:pt idx="123">
                  <c:v>41634</c:v>
                </c:pt>
                <c:pt idx="124">
                  <c:v>41635</c:v>
                </c:pt>
                <c:pt idx="125">
                  <c:v>41638</c:v>
                </c:pt>
                <c:pt idx="126">
                  <c:v>41641</c:v>
                </c:pt>
                <c:pt idx="127">
                  <c:v>41642</c:v>
                </c:pt>
                <c:pt idx="128">
                  <c:v>41645</c:v>
                </c:pt>
                <c:pt idx="129">
                  <c:v>41646</c:v>
                </c:pt>
                <c:pt idx="130">
                  <c:v>41647</c:v>
                </c:pt>
                <c:pt idx="131">
                  <c:v>41648</c:v>
                </c:pt>
                <c:pt idx="132">
                  <c:v>41649</c:v>
                </c:pt>
                <c:pt idx="133">
                  <c:v>41652</c:v>
                </c:pt>
                <c:pt idx="134">
                  <c:v>41653</c:v>
                </c:pt>
                <c:pt idx="135">
                  <c:v>41654</c:v>
                </c:pt>
                <c:pt idx="136">
                  <c:v>41655</c:v>
                </c:pt>
                <c:pt idx="137">
                  <c:v>41656</c:v>
                </c:pt>
                <c:pt idx="138">
                  <c:v>41659</c:v>
                </c:pt>
                <c:pt idx="139">
                  <c:v>41660</c:v>
                </c:pt>
                <c:pt idx="140">
                  <c:v>41661</c:v>
                </c:pt>
                <c:pt idx="141">
                  <c:v>41662</c:v>
                </c:pt>
                <c:pt idx="142">
                  <c:v>41663</c:v>
                </c:pt>
                <c:pt idx="143">
                  <c:v>41666</c:v>
                </c:pt>
                <c:pt idx="144">
                  <c:v>41667</c:v>
                </c:pt>
                <c:pt idx="145">
                  <c:v>41668</c:v>
                </c:pt>
                <c:pt idx="146">
                  <c:v>41669</c:v>
                </c:pt>
                <c:pt idx="147">
                  <c:v>41670</c:v>
                </c:pt>
                <c:pt idx="148">
                  <c:v>41673</c:v>
                </c:pt>
                <c:pt idx="149">
                  <c:v>41674</c:v>
                </c:pt>
                <c:pt idx="150">
                  <c:v>41675</c:v>
                </c:pt>
                <c:pt idx="151">
                  <c:v>41676</c:v>
                </c:pt>
                <c:pt idx="152">
                  <c:v>41677</c:v>
                </c:pt>
                <c:pt idx="153">
                  <c:v>41680</c:v>
                </c:pt>
                <c:pt idx="154">
                  <c:v>41681</c:v>
                </c:pt>
                <c:pt idx="155">
                  <c:v>41682</c:v>
                </c:pt>
                <c:pt idx="156">
                  <c:v>41683</c:v>
                </c:pt>
                <c:pt idx="157">
                  <c:v>41684</c:v>
                </c:pt>
                <c:pt idx="158">
                  <c:v>41687</c:v>
                </c:pt>
                <c:pt idx="159">
                  <c:v>41688</c:v>
                </c:pt>
                <c:pt idx="160">
                  <c:v>41689</c:v>
                </c:pt>
                <c:pt idx="161">
                  <c:v>41690</c:v>
                </c:pt>
                <c:pt idx="162">
                  <c:v>41691</c:v>
                </c:pt>
                <c:pt idx="163">
                  <c:v>41694</c:v>
                </c:pt>
                <c:pt idx="164">
                  <c:v>41695</c:v>
                </c:pt>
                <c:pt idx="165">
                  <c:v>41696</c:v>
                </c:pt>
                <c:pt idx="166">
                  <c:v>41697</c:v>
                </c:pt>
                <c:pt idx="167">
                  <c:v>41698</c:v>
                </c:pt>
                <c:pt idx="168">
                  <c:v>41703</c:v>
                </c:pt>
                <c:pt idx="169">
                  <c:v>41704</c:v>
                </c:pt>
                <c:pt idx="170">
                  <c:v>41705</c:v>
                </c:pt>
                <c:pt idx="171">
                  <c:v>41708</c:v>
                </c:pt>
                <c:pt idx="172">
                  <c:v>41709</c:v>
                </c:pt>
                <c:pt idx="173">
                  <c:v>41710</c:v>
                </c:pt>
                <c:pt idx="174">
                  <c:v>41711</c:v>
                </c:pt>
                <c:pt idx="175">
                  <c:v>41712</c:v>
                </c:pt>
                <c:pt idx="176">
                  <c:v>41715</c:v>
                </c:pt>
                <c:pt idx="177">
                  <c:v>41716</c:v>
                </c:pt>
                <c:pt idx="178">
                  <c:v>41717</c:v>
                </c:pt>
                <c:pt idx="179">
                  <c:v>41718</c:v>
                </c:pt>
                <c:pt idx="180">
                  <c:v>41719</c:v>
                </c:pt>
                <c:pt idx="181">
                  <c:v>41722</c:v>
                </c:pt>
                <c:pt idx="182">
                  <c:v>41723</c:v>
                </c:pt>
                <c:pt idx="183">
                  <c:v>41724</c:v>
                </c:pt>
                <c:pt idx="184">
                  <c:v>41725</c:v>
                </c:pt>
                <c:pt idx="185">
                  <c:v>41726</c:v>
                </c:pt>
                <c:pt idx="186">
                  <c:v>41729</c:v>
                </c:pt>
                <c:pt idx="187">
                  <c:v>41730</c:v>
                </c:pt>
                <c:pt idx="188">
                  <c:v>41731</c:v>
                </c:pt>
                <c:pt idx="189">
                  <c:v>41732</c:v>
                </c:pt>
                <c:pt idx="190">
                  <c:v>41733</c:v>
                </c:pt>
                <c:pt idx="191">
                  <c:v>41736</c:v>
                </c:pt>
                <c:pt idx="192">
                  <c:v>41737</c:v>
                </c:pt>
                <c:pt idx="193">
                  <c:v>41738</c:v>
                </c:pt>
                <c:pt idx="194">
                  <c:v>41739</c:v>
                </c:pt>
                <c:pt idx="195">
                  <c:v>41740</c:v>
                </c:pt>
                <c:pt idx="196">
                  <c:v>41743</c:v>
                </c:pt>
                <c:pt idx="197">
                  <c:v>41744</c:v>
                </c:pt>
                <c:pt idx="198">
                  <c:v>41745</c:v>
                </c:pt>
                <c:pt idx="199">
                  <c:v>41746</c:v>
                </c:pt>
                <c:pt idx="200">
                  <c:v>41751</c:v>
                </c:pt>
                <c:pt idx="201">
                  <c:v>41752</c:v>
                </c:pt>
                <c:pt idx="202">
                  <c:v>41753</c:v>
                </c:pt>
                <c:pt idx="203">
                  <c:v>41754</c:v>
                </c:pt>
                <c:pt idx="204">
                  <c:v>41757</c:v>
                </c:pt>
                <c:pt idx="205">
                  <c:v>41758</c:v>
                </c:pt>
                <c:pt idx="206">
                  <c:v>41759</c:v>
                </c:pt>
                <c:pt idx="207">
                  <c:v>41761</c:v>
                </c:pt>
                <c:pt idx="208">
                  <c:v>41764</c:v>
                </c:pt>
                <c:pt idx="209">
                  <c:v>41765</c:v>
                </c:pt>
                <c:pt idx="210">
                  <c:v>41766</c:v>
                </c:pt>
                <c:pt idx="211">
                  <c:v>41767</c:v>
                </c:pt>
                <c:pt idx="212">
                  <c:v>41768</c:v>
                </c:pt>
                <c:pt idx="213">
                  <c:v>41771</c:v>
                </c:pt>
                <c:pt idx="214">
                  <c:v>41772</c:v>
                </c:pt>
                <c:pt idx="215">
                  <c:v>41773</c:v>
                </c:pt>
                <c:pt idx="216">
                  <c:v>41774</c:v>
                </c:pt>
                <c:pt idx="217">
                  <c:v>41775</c:v>
                </c:pt>
                <c:pt idx="218">
                  <c:v>41778</c:v>
                </c:pt>
                <c:pt idx="219">
                  <c:v>41779</c:v>
                </c:pt>
                <c:pt idx="220">
                  <c:v>41780</c:v>
                </c:pt>
                <c:pt idx="221">
                  <c:v>41781</c:v>
                </c:pt>
                <c:pt idx="222">
                  <c:v>41782</c:v>
                </c:pt>
                <c:pt idx="223">
                  <c:v>41785</c:v>
                </c:pt>
                <c:pt idx="224">
                  <c:v>41786</c:v>
                </c:pt>
                <c:pt idx="225">
                  <c:v>41787</c:v>
                </c:pt>
                <c:pt idx="226">
                  <c:v>41788</c:v>
                </c:pt>
                <c:pt idx="227">
                  <c:v>41789</c:v>
                </c:pt>
                <c:pt idx="228">
                  <c:v>41792</c:v>
                </c:pt>
                <c:pt idx="229">
                  <c:v>41793</c:v>
                </c:pt>
                <c:pt idx="230">
                  <c:v>41794</c:v>
                </c:pt>
                <c:pt idx="231">
                  <c:v>41795</c:v>
                </c:pt>
                <c:pt idx="232">
                  <c:v>41796</c:v>
                </c:pt>
                <c:pt idx="233">
                  <c:v>41799</c:v>
                </c:pt>
                <c:pt idx="234">
                  <c:v>41800</c:v>
                </c:pt>
                <c:pt idx="235">
                  <c:v>41801</c:v>
                </c:pt>
                <c:pt idx="236">
                  <c:v>41803</c:v>
                </c:pt>
                <c:pt idx="237">
                  <c:v>41806</c:v>
                </c:pt>
                <c:pt idx="238">
                  <c:v>41807</c:v>
                </c:pt>
                <c:pt idx="239">
                  <c:v>41808</c:v>
                </c:pt>
                <c:pt idx="240">
                  <c:v>41810</c:v>
                </c:pt>
                <c:pt idx="241">
                  <c:v>41813</c:v>
                </c:pt>
                <c:pt idx="242">
                  <c:v>41814</c:v>
                </c:pt>
                <c:pt idx="243">
                  <c:v>41815</c:v>
                </c:pt>
                <c:pt idx="244">
                  <c:v>41816</c:v>
                </c:pt>
                <c:pt idx="245">
                  <c:v>41817</c:v>
                </c:pt>
                <c:pt idx="246">
                  <c:v>41820</c:v>
                </c:pt>
              </c:numCache>
            </c:numRef>
          </c:cat>
          <c:val>
            <c:numRef>
              <c:f>'ações (2)'!$N$3:$N$249</c:f>
              <c:numCache>
                <c:formatCode>0</c:formatCode>
                <c:ptCount val="247"/>
                <c:pt idx="0" formatCode="General">
                  <c:v>100</c:v>
                </c:pt>
                <c:pt idx="1">
                  <c:v>102.52525252525253</c:v>
                </c:pt>
                <c:pt idx="2">
                  <c:v>107.32323232323232</c:v>
                </c:pt>
                <c:pt idx="3">
                  <c:v>109.84848484848483</c:v>
                </c:pt>
                <c:pt idx="4">
                  <c:v>112.12121212121211</c:v>
                </c:pt>
                <c:pt idx="5">
                  <c:v>109.84848484848483</c:v>
                </c:pt>
                <c:pt idx="6">
                  <c:v>104.79797979797978</c:v>
                </c:pt>
                <c:pt idx="7">
                  <c:v>102.52525252525251</c:v>
                </c:pt>
                <c:pt idx="8">
                  <c:v>102.52525252525251</c:v>
                </c:pt>
                <c:pt idx="9">
                  <c:v>102.52525252525251</c:v>
                </c:pt>
                <c:pt idx="10">
                  <c:v>107.3232323232323</c:v>
                </c:pt>
                <c:pt idx="11">
                  <c:v>112.1212121212121</c:v>
                </c:pt>
                <c:pt idx="12">
                  <c:v>112.1212121212121</c:v>
                </c:pt>
                <c:pt idx="13">
                  <c:v>109.84848484848482</c:v>
                </c:pt>
                <c:pt idx="14">
                  <c:v>109.84848484848482</c:v>
                </c:pt>
                <c:pt idx="15">
                  <c:v>109.84848484848482</c:v>
                </c:pt>
                <c:pt idx="16">
                  <c:v>117.17171717171713</c:v>
                </c:pt>
                <c:pt idx="17">
                  <c:v>114.64646464646461</c:v>
                </c:pt>
                <c:pt idx="18">
                  <c:v>112.12121212121208</c:v>
                </c:pt>
                <c:pt idx="19">
                  <c:v>117.17171717171713</c:v>
                </c:pt>
                <c:pt idx="20">
                  <c:v>114.64646464646461</c:v>
                </c:pt>
                <c:pt idx="21">
                  <c:v>114.64646464646461</c:v>
                </c:pt>
                <c:pt idx="22">
                  <c:v>114.64646464646461</c:v>
                </c:pt>
                <c:pt idx="23">
                  <c:v>117.17171717171712</c:v>
                </c:pt>
                <c:pt idx="24">
                  <c:v>129.29292929292924</c:v>
                </c:pt>
                <c:pt idx="25">
                  <c:v>139.14141414141409</c:v>
                </c:pt>
                <c:pt idx="26">
                  <c:v>136.61616161616158</c:v>
                </c:pt>
                <c:pt idx="27">
                  <c:v>136.61616161616158</c:v>
                </c:pt>
                <c:pt idx="28">
                  <c:v>126.76767676767673</c:v>
                </c:pt>
                <c:pt idx="29">
                  <c:v>121.96969696969693</c:v>
                </c:pt>
                <c:pt idx="30">
                  <c:v>126.76767676767673</c:v>
                </c:pt>
                <c:pt idx="31">
                  <c:v>124.49494949494947</c:v>
                </c:pt>
                <c:pt idx="32">
                  <c:v>119.44444444444441</c:v>
                </c:pt>
                <c:pt idx="33">
                  <c:v>119.44444444444441</c:v>
                </c:pt>
                <c:pt idx="34">
                  <c:v>129.29292929292927</c:v>
                </c:pt>
                <c:pt idx="35">
                  <c:v>119.44444444444441</c:v>
                </c:pt>
                <c:pt idx="36">
                  <c:v>119.44444444444441</c:v>
                </c:pt>
                <c:pt idx="37">
                  <c:v>119.44444444444441</c:v>
                </c:pt>
                <c:pt idx="38">
                  <c:v>121.96969696969694</c:v>
                </c:pt>
                <c:pt idx="39">
                  <c:v>121.96969696969694</c:v>
                </c:pt>
                <c:pt idx="40">
                  <c:v>119.44444444444441</c:v>
                </c:pt>
                <c:pt idx="41">
                  <c:v>121.96969696969694</c:v>
                </c:pt>
                <c:pt idx="42">
                  <c:v>117.17171717171716</c:v>
                </c:pt>
                <c:pt idx="43">
                  <c:v>119.44444444444443</c:v>
                </c:pt>
                <c:pt idx="44">
                  <c:v>119.44444444444443</c:v>
                </c:pt>
                <c:pt idx="45">
                  <c:v>119.44444444444443</c:v>
                </c:pt>
                <c:pt idx="46">
                  <c:v>119.44444444444443</c:v>
                </c:pt>
                <c:pt idx="47">
                  <c:v>124.49494949494948</c:v>
                </c:pt>
                <c:pt idx="48">
                  <c:v>124.49494949494948</c:v>
                </c:pt>
                <c:pt idx="49">
                  <c:v>124.49494949494948</c:v>
                </c:pt>
                <c:pt idx="50">
                  <c:v>124.49494949494948</c:v>
                </c:pt>
                <c:pt idx="51">
                  <c:v>124.49494949494948</c:v>
                </c:pt>
                <c:pt idx="52">
                  <c:v>124.49494949494948</c:v>
                </c:pt>
                <c:pt idx="53">
                  <c:v>124.49494949494948</c:v>
                </c:pt>
                <c:pt idx="54">
                  <c:v>124.49494949494948</c:v>
                </c:pt>
                <c:pt idx="55">
                  <c:v>124.49494949494948</c:v>
                </c:pt>
                <c:pt idx="56">
                  <c:v>129.29292929292927</c:v>
                </c:pt>
                <c:pt idx="57">
                  <c:v>129.29292929292927</c:v>
                </c:pt>
                <c:pt idx="58">
                  <c:v>126.76767676767675</c:v>
                </c:pt>
                <c:pt idx="59">
                  <c:v>124.49494949494948</c:v>
                </c:pt>
                <c:pt idx="60">
                  <c:v>121.96969696969695</c:v>
                </c:pt>
                <c:pt idx="61">
                  <c:v>126.76767676767676</c:v>
                </c:pt>
                <c:pt idx="62">
                  <c:v>124.49494949494949</c:v>
                </c:pt>
                <c:pt idx="63">
                  <c:v>124.49494949494949</c:v>
                </c:pt>
                <c:pt idx="64">
                  <c:v>124.49494949494949</c:v>
                </c:pt>
                <c:pt idx="65">
                  <c:v>126.76767676767676</c:v>
                </c:pt>
                <c:pt idx="66">
                  <c:v>126.76767676767676</c:v>
                </c:pt>
                <c:pt idx="67">
                  <c:v>124.49494949494949</c:v>
                </c:pt>
                <c:pt idx="68">
                  <c:v>126.76767676767676</c:v>
                </c:pt>
                <c:pt idx="69">
                  <c:v>129.29292929292927</c:v>
                </c:pt>
                <c:pt idx="70">
                  <c:v>126.76767676767675</c:v>
                </c:pt>
                <c:pt idx="71">
                  <c:v>126.76767676767675</c:v>
                </c:pt>
                <c:pt idx="72">
                  <c:v>124.49494949494948</c:v>
                </c:pt>
                <c:pt idx="73">
                  <c:v>124.49494949494948</c:v>
                </c:pt>
                <c:pt idx="74">
                  <c:v>134.09090909090907</c:v>
                </c:pt>
                <c:pt idx="75">
                  <c:v>129.29292929292927</c:v>
                </c:pt>
                <c:pt idx="76">
                  <c:v>126.76767676767675</c:v>
                </c:pt>
                <c:pt idx="77">
                  <c:v>134.09090909090907</c:v>
                </c:pt>
                <c:pt idx="78">
                  <c:v>126.76767676767675</c:v>
                </c:pt>
                <c:pt idx="79">
                  <c:v>126.76767676767675</c:v>
                </c:pt>
                <c:pt idx="80">
                  <c:v>126.76767676767675</c:v>
                </c:pt>
                <c:pt idx="81">
                  <c:v>121.96969696969694</c:v>
                </c:pt>
                <c:pt idx="82">
                  <c:v>126.76767676767675</c:v>
                </c:pt>
                <c:pt idx="83">
                  <c:v>126.76767676767675</c:v>
                </c:pt>
                <c:pt idx="84">
                  <c:v>126.76767676767675</c:v>
                </c:pt>
                <c:pt idx="85">
                  <c:v>126.76767676767675</c:v>
                </c:pt>
                <c:pt idx="86">
                  <c:v>131.81818181818178</c:v>
                </c:pt>
                <c:pt idx="87">
                  <c:v>134.09090909090904</c:v>
                </c:pt>
                <c:pt idx="88">
                  <c:v>141.41414141414137</c:v>
                </c:pt>
                <c:pt idx="89">
                  <c:v>158.58585858585852</c:v>
                </c:pt>
                <c:pt idx="90">
                  <c:v>151.26262626262618</c:v>
                </c:pt>
                <c:pt idx="91">
                  <c:v>156.06060606060601</c:v>
                </c:pt>
                <c:pt idx="92">
                  <c:v>148.73737373737367</c:v>
                </c:pt>
                <c:pt idx="93">
                  <c:v>146.46464646464639</c:v>
                </c:pt>
                <c:pt idx="94">
                  <c:v>146.46464646464639</c:v>
                </c:pt>
                <c:pt idx="95">
                  <c:v>143.93939393939385</c:v>
                </c:pt>
                <c:pt idx="96">
                  <c:v>148.73737373737367</c:v>
                </c:pt>
                <c:pt idx="97">
                  <c:v>148.73737373737367</c:v>
                </c:pt>
                <c:pt idx="98">
                  <c:v>143.93939393939385</c:v>
                </c:pt>
                <c:pt idx="99">
                  <c:v>146.46464646464639</c:v>
                </c:pt>
                <c:pt idx="100">
                  <c:v>141.41414141414137</c:v>
                </c:pt>
                <c:pt idx="101">
                  <c:v>146.46464646464639</c:v>
                </c:pt>
                <c:pt idx="102">
                  <c:v>143.93939393939385</c:v>
                </c:pt>
                <c:pt idx="103">
                  <c:v>143.93939393939385</c:v>
                </c:pt>
                <c:pt idx="104">
                  <c:v>143.93939393939385</c:v>
                </c:pt>
                <c:pt idx="105">
                  <c:v>139.14141414141406</c:v>
                </c:pt>
                <c:pt idx="106">
                  <c:v>143.93939393939382</c:v>
                </c:pt>
                <c:pt idx="107">
                  <c:v>143.93939393939382</c:v>
                </c:pt>
                <c:pt idx="108">
                  <c:v>146.46464646464636</c:v>
                </c:pt>
                <c:pt idx="109">
                  <c:v>143.93939393939382</c:v>
                </c:pt>
                <c:pt idx="110">
                  <c:v>141.41414141414131</c:v>
                </c:pt>
                <c:pt idx="111">
                  <c:v>143.9393939393938</c:v>
                </c:pt>
                <c:pt idx="112">
                  <c:v>139.14141414141403</c:v>
                </c:pt>
                <c:pt idx="113">
                  <c:v>143.9393939393938</c:v>
                </c:pt>
                <c:pt idx="114">
                  <c:v>143.9393939393938</c:v>
                </c:pt>
                <c:pt idx="115">
                  <c:v>139.14141414141403</c:v>
                </c:pt>
                <c:pt idx="116">
                  <c:v>143.9393939393938</c:v>
                </c:pt>
                <c:pt idx="117">
                  <c:v>139.14141414141403</c:v>
                </c:pt>
                <c:pt idx="118">
                  <c:v>141.41414141414131</c:v>
                </c:pt>
                <c:pt idx="119">
                  <c:v>143.9393939393938</c:v>
                </c:pt>
                <c:pt idx="120">
                  <c:v>141.41414141414128</c:v>
                </c:pt>
                <c:pt idx="121">
                  <c:v>136.61616161616149</c:v>
                </c:pt>
                <c:pt idx="122">
                  <c:v>129.29292929292916</c:v>
                </c:pt>
                <c:pt idx="123">
                  <c:v>139.141414141414</c:v>
                </c:pt>
                <c:pt idx="124">
                  <c:v>121.96969696969684</c:v>
                </c:pt>
                <c:pt idx="125">
                  <c:v>139.141414141414</c:v>
                </c:pt>
                <c:pt idx="126">
                  <c:v>136.61616161616149</c:v>
                </c:pt>
                <c:pt idx="127">
                  <c:v>141.41414141414128</c:v>
                </c:pt>
                <c:pt idx="128">
                  <c:v>153.78787878787864</c:v>
                </c:pt>
                <c:pt idx="129">
                  <c:v>136.61616161616149</c:v>
                </c:pt>
                <c:pt idx="130">
                  <c:v>156.06060606060589</c:v>
                </c:pt>
                <c:pt idx="131">
                  <c:v>156.06060606060589</c:v>
                </c:pt>
                <c:pt idx="132">
                  <c:v>148.73737373737356</c:v>
                </c:pt>
                <c:pt idx="133">
                  <c:v>156.06060606060589</c:v>
                </c:pt>
                <c:pt idx="134">
                  <c:v>151.2626262626261</c:v>
                </c:pt>
                <c:pt idx="135">
                  <c:v>146.46464646464631</c:v>
                </c:pt>
                <c:pt idx="136">
                  <c:v>148.73737373737359</c:v>
                </c:pt>
                <c:pt idx="137">
                  <c:v>148.73737373737359</c:v>
                </c:pt>
                <c:pt idx="138">
                  <c:v>146.46464646464631</c:v>
                </c:pt>
                <c:pt idx="139">
                  <c:v>143.93939393939377</c:v>
                </c:pt>
                <c:pt idx="140">
                  <c:v>143.93939393939377</c:v>
                </c:pt>
                <c:pt idx="141">
                  <c:v>146.46464646464631</c:v>
                </c:pt>
                <c:pt idx="142">
                  <c:v>151.26262626262613</c:v>
                </c:pt>
                <c:pt idx="143">
                  <c:v>146.46464646464634</c:v>
                </c:pt>
                <c:pt idx="144">
                  <c:v>148.73737373737362</c:v>
                </c:pt>
                <c:pt idx="145">
                  <c:v>146.46464646464634</c:v>
                </c:pt>
                <c:pt idx="146">
                  <c:v>134.09090909090898</c:v>
                </c:pt>
                <c:pt idx="147">
                  <c:v>141.41414141414131</c:v>
                </c:pt>
                <c:pt idx="148">
                  <c:v>141.41414141414131</c:v>
                </c:pt>
                <c:pt idx="149">
                  <c:v>141.41414141414131</c:v>
                </c:pt>
                <c:pt idx="150">
                  <c:v>141.41414141414131</c:v>
                </c:pt>
                <c:pt idx="151">
                  <c:v>141.41414141414131</c:v>
                </c:pt>
                <c:pt idx="152">
                  <c:v>141.41414141414131</c:v>
                </c:pt>
                <c:pt idx="153">
                  <c:v>141.41414141414131</c:v>
                </c:pt>
                <c:pt idx="154">
                  <c:v>143.9393939393938</c:v>
                </c:pt>
                <c:pt idx="155">
                  <c:v>143.9393939393938</c:v>
                </c:pt>
                <c:pt idx="156">
                  <c:v>139.14141414141403</c:v>
                </c:pt>
                <c:pt idx="157">
                  <c:v>136.61616161616152</c:v>
                </c:pt>
                <c:pt idx="158">
                  <c:v>129.29292929292919</c:v>
                </c:pt>
                <c:pt idx="159">
                  <c:v>134.09090909090898</c:v>
                </c:pt>
                <c:pt idx="160">
                  <c:v>131.8181818181817</c:v>
                </c:pt>
                <c:pt idx="161">
                  <c:v>131.8181818181817</c:v>
                </c:pt>
                <c:pt idx="162">
                  <c:v>134.09090909090895</c:v>
                </c:pt>
                <c:pt idx="163">
                  <c:v>134.09090909090895</c:v>
                </c:pt>
                <c:pt idx="164">
                  <c:v>131.81818181818167</c:v>
                </c:pt>
                <c:pt idx="165">
                  <c:v>131.81818181818167</c:v>
                </c:pt>
                <c:pt idx="166">
                  <c:v>126.76767676767663</c:v>
                </c:pt>
                <c:pt idx="167">
                  <c:v>126.76767676767663</c:v>
                </c:pt>
                <c:pt idx="168">
                  <c:v>121.96969696969683</c:v>
                </c:pt>
                <c:pt idx="169">
                  <c:v>119.44444444444431</c:v>
                </c:pt>
                <c:pt idx="170">
                  <c:v>126.76767676767663</c:v>
                </c:pt>
                <c:pt idx="171">
                  <c:v>126.26262626262613</c:v>
                </c:pt>
                <c:pt idx="172">
                  <c:v>126.26262626262613</c:v>
                </c:pt>
                <c:pt idx="173">
                  <c:v>126.26262626262613</c:v>
                </c:pt>
                <c:pt idx="174">
                  <c:v>126.26262626262613</c:v>
                </c:pt>
                <c:pt idx="175">
                  <c:v>126.26262626262613</c:v>
                </c:pt>
                <c:pt idx="176">
                  <c:v>118.68686868686855</c:v>
                </c:pt>
                <c:pt idx="177">
                  <c:v>123.7373737373736</c:v>
                </c:pt>
                <c:pt idx="178">
                  <c:v>123.7373737373736</c:v>
                </c:pt>
                <c:pt idx="179">
                  <c:v>138.88888888888874</c:v>
                </c:pt>
                <c:pt idx="180">
                  <c:v>133.83838383838369</c:v>
                </c:pt>
                <c:pt idx="181">
                  <c:v>131.31313131313118</c:v>
                </c:pt>
                <c:pt idx="182">
                  <c:v>126.26262626262613</c:v>
                </c:pt>
                <c:pt idx="183">
                  <c:v>136.36363636363623</c:v>
                </c:pt>
                <c:pt idx="184">
                  <c:v>128.78787878787867</c:v>
                </c:pt>
                <c:pt idx="185">
                  <c:v>133.83838383838372</c:v>
                </c:pt>
                <c:pt idx="186">
                  <c:v>126.26262626262614</c:v>
                </c:pt>
                <c:pt idx="187">
                  <c:v>131.31313131313118</c:v>
                </c:pt>
                <c:pt idx="188">
                  <c:v>128.78787878787864</c:v>
                </c:pt>
                <c:pt idx="189">
                  <c:v>131.31313131313115</c:v>
                </c:pt>
                <c:pt idx="190">
                  <c:v>131.31313131313115</c:v>
                </c:pt>
                <c:pt idx="191">
                  <c:v>131.31313131313115</c:v>
                </c:pt>
                <c:pt idx="192">
                  <c:v>128.78787878787861</c:v>
                </c:pt>
                <c:pt idx="193">
                  <c:v>123.73737373737356</c:v>
                </c:pt>
                <c:pt idx="194">
                  <c:v>128.78787878787861</c:v>
                </c:pt>
                <c:pt idx="195">
                  <c:v>128.78787878787861</c:v>
                </c:pt>
                <c:pt idx="196">
                  <c:v>128.78787878787861</c:v>
                </c:pt>
                <c:pt idx="197">
                  <c:v>126.26262626262609</c:v>
                </c:pt>
                <c:pt idx="198">
                  <c:v>126.26262626262609</c:v>
                </c:pt>
                <c:pt idx="199">
                  <c:v>126.26262626262609</c:v>
                </c:pt>
                <c:pt idx="200">
                  <c:v>128.78787878787861</c:v>
                </c:pt>
                <c:pt idx="201">
                  <c:v>128.78787878787861</c:v>
                </c:pt>
                <c:pt idx="202">
                  <c:v>128.78787878787861</c:v>
                </c:pt>
                <c:pt idx="203">
                  <c:v>128.78787878787861</c:v>
                </c:pt>
                <c:pt idx="204">
                  <c:v>118.68686868686852</c:v>
                </c:pt>
                <c:pt idx="205">
                  <c:v>126.26262626262609</c:v>
                </c:pt>
                <c:pt idx="206">
                  <c:v>126.26262626262609</c:v>
                </c:pt>
                <c:pt idx="207">
                  <c:v>126.26262626262609</c:v>
                </c:pt>
                <c:pt idx="208">
                  <c:v>126.26262626262609</c:v>
                </c:pt>
                <c:pt idx="209">
                  <c:v>126.26262626262609</c:v>
                </c:pt>
                <c:pt idx="210">
                  <c:v>126.26262626262609</c:v>
                </c:pt>
                <c:pt idx="211">
                  <c:v>126.26262626262609</c:v>
                </c:pt>
                <c:pt idx="212">
                  <c:v>126.26262626262609</c:v>
                </c:pt>
                <c:pt idx="213">
                  <c:v>126.26262626262609</c:v>
                </c:pt>
                <c:pt idx="214">
                  <c:v>118.68686868686851</c:v>
                </c:pt>
                <c:pt idx="215">
                  <c:v>123.73737373737356</c:v>
                </c:pt>
                <c:pt idx="216">
                  <c:v>123.73737373737356</c:v>
                </c:pt>
                <c:pt idx="217">
                  <c:v>138.88888888888872</c:v>
                </c:pt>
                <c:pt idx="218">
                  <c:v>133.83838383838366</c:v>
                </c:pt>
                <c:pt idx="219">
                  <c:v>131.31313131313115</c:v>
                </c:pt>
                <c:pt idx="220">
                  <c:v>126.2626262626261</c:v>
                </c:pt>
                <c:pt idx="221">
                  <c:v>136.3636363636362</c:v>
                </c:pt>
                <c:pt idx="222">
                  <c:v>136.3636363636362</c:v>
                </c:pt>
                <c:pt idx="223">
                  <c:v>128.78787878787864</c:v>
                </c:pt>
                <c:pt idx="224">
                  <c:v>133.83838383838369</c:v>
                </c:pt>
                <c:pt idx="225">
                  <c:v>126.26262626262611</c:v>
                </c:pt>
                <c:pt idx="226">
                  <c:v>131.31313131313115</c:v>
                </c:pt>
                <c:pt idx="227">
                  <c:v>128.78787878787861</c:v>
                </c:pt>
                <c:pt idx="228">
                  <c:v>131.31313131313112</c:v>
                </c:pt>
                <c:pt idx="229">
                  <c:v>131.31313131313112</c:v>
                </c:pt>
                <c:pt idx="230">
                  <c:v>131.31313131313112</c:v>
                </c:pt>
                <c:pt idx="231">
                  <c:v>128.78787878787858</c:v>
                </c:pt>
                <c:pt idx="232">
                  <c:v>123.73737373737353</c:v>
                </c:pt>
                <c:pt idx="233">
                  <c:v>128.78787878787858</c:v>
                </c:pt>
                <c:pt idx="234">
                  <c:v>128.78787878787858</c:v>
                </c:pt>
                <c:pt idx="235">
                  <c:v>128.78787878787858</c:v>
                </c:pt>
                <c:pt idx="236">
                  <c:v>126.26262626262606</c:v>
                </c:pt>
                <c:pt idx="237">
                  <c:v>126.26262626262606</c:v>
                </c:pt>
                <c:pt idx="238">
                  <c:v>126.26262626262606</c:v>
                </c:pt>
                <c:pt idx="239">
                  <c:v>126.26262626262606</c:v>
                </c:pt>
                <c:pt idx="240">
                  <c:v>126.26262626262606</c:v>
                </c:pt>
                <c:pt idx="241">
                  <c:v>126.26262626262606</c:v>
                </c:pt>
                <c:pt idx="242">
                  <c:v>126.26262626262606</c:v>
                </c:pt>
                <c:pt idx="243">
                  <c:v>128.78787878787858</c:v>
                </c:pt>
                <c:pt idx="244">
                  <c:v>128.78787878787858</c:v>
                </c:pt>
                <c:pt idx="245">
                  <c:v>128.78787878787858</c:v>
                </c:pt>
                <c:pt idx="246" formatCode="0.0">
                  <c:v>128.78787878787858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BC-45AC-A47A-7C9165BE4819}"/>
            </c:ext>
          </c:extLst>
        </c:ser>
        <c:ser>
          <c:idx val="1"/>
          <c:order val="1"/>
          <c:tx>
            <c:strRef>
              <c:f>'ações (2)'!$O$2</c:f>
              <c:strCache>
                <c:ptCount val="1"/>
                <c:pt idx="0">
                  <c:v>UNIP6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dLbls>
            <c:dLbl>
              <c:idx val="246"/>
              <c:layout>
                <c:manualLayout>
                  <c:x val="-3.2249718785151856E-3"/>
                  <c:y val="-4.6735395189003437E-2"/>
                </c:manualLayout>
              </c:layout>
              <c:spPr/>
              <c:txPr>
                <a:bodyPr/>
                <a:lstStyle/>
                <a:p>
                  <a:pPr>
                    <a:defRPr sz="1200" b="1"/>
                  </a:pPr>
                  <a:endParaRPr lang="pt-BR"/>
                </a:p>
              </c:txPr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BC-45AC-A47A-7C9165BE481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'ações (2)'!$M$3:$M$249</c:f>
              <c:numCache>
                <c:formatCode>[$-416]mmm\-yy;@</c:formatCode>
                <c:ptCount val="247"/>
                <c:pt idx="0">
                  <c:v>41456</c:v>
                </c:pt>
                <c:pt idx="1">
                  <c:v>41457</c:v>
                </c:pt>
                <c:pt idx="2">
                  <c:v>41458</c:v>
                </c:pt>
                <c:pt idx="3">
                  <c:v>41459</c:v>
                </c:pt>
                <c:pt idx="4">
                  <c:v>41460</c:v>
                </c:pt>
                <c:pt idx="5">
                  <c:v>41463</c:v>
                </c:pt>
                <c:pt idx="6">
                  <c:v>41465</c:v>
                </c:pt>
                <c:pt idx="7">
                  <c:v>41466</c:v>
                </c:pt>
                <c:pt idx="8">
                  <c:v>41467</c:v>
                </c:pt>
                <c:pt idx="9">
                  <c:v>41470</c:v>
                </c:pt>
                <c:pt idx="10">
                  <c:v>41471</c:v>
                </c:pt>
                <c:pt idx="11">
                  <c:v>41472</c:v>
                </c:pt>
                <c:pt idx="12">
                  <c:v>41473</c:v>
                </c:pt>
                <c:pt idx="13">
                  <c:v>41474</c:v>
                </c:pt>
                <c:pt idx="14">
                  <c:v>41477</c:v>
                </c:pt>
                <c:pt idx="15">
                  <c:v>41478</c:v>
                </c:pt>
                <c:pt idx="16">
                  <c:v>41479</c:v>
                </c:pt>
                <c:pt idx="17">
                  <c:v>41480</c:v>
                </c:pt>
                <c:pt idx="18">
                  <c:v>41481</c:v>
                </c:pt>
                <c:pt idx="19">
                  <c:v>41484</c:v>
                </c:pt>
                <c:pt idx="20">
                  <c:v>41485</c:v>
                </c:pt>
                <c:pt idx="21">
                  <c:v>41486</c:v>
                </c:pt>
                <c:pt idx="22">
                  <c:v>41487</c:v>
                </c:pt>
                <c:pt idx="23">
                  <c:v>41488</c:v>
                </c:pt>
                <c:pt idx="24">
                  <c:v>41491</c:v>
                </c:pt>
                <c:pt idx="25">
                  <c:v>41492</c:v>
                </c:pt>
                <c:pt idx="26">
                  <c:v>41493</c:v>
                </c:pt>
                <c:pt idx="27">
                  <c:v>41494</c:v>
                </c:pt>
                <c:pt idx="28">
                  <c:v>41495</c:v>
                </c:pt>
                <c:pt idx="29">
                  <c:v>41498</c:v>
                </c:pt>
                <c:pt idx="30">
                  <c:v>41499</c:v>
                </c:pt>
                <c:pt idx="31">
                  <c:v>41500</c:v>
                </c:pt>
                <c:pt idx="32">
                  <c:v>41501</c:v>
                </c:pt>
                <c:pt idx="33">
                  <c:v>41502</c:v>
                </c:pt>
                <c:pt idx="34">
                  <c:v>41505</c:v>
                </c:pt>
                <c:pt idx="35">
                  <c:v>41506</c:v>
                </c:pt>
                <c:pt idx="36">
                  <c:v>41507</c:v>
                </c:pt>
                <c:pt idx="37">
                  <c:v>41508</c:v>
                </c:pt>
                <c:pt idx="38">
                  <c:v>41509</c:v>
                </c:pt>
                <c:pt idx="39">
                  <c:v>41512</c:v>
                </c:pt>
                <c:pt idx="40">
                  <c:v>41513</c:v>
                </c:pt>
                <c:pt idx="41">
                  <c:v>41514</c:v>
                </c:pt>
                <c:pt idx="42">
                  <c:v>41515</c:v>
                </c:pt>
                <c:pt idx="43">
                  <c:v>41516</c:v>
                </c:pt>
                <c:pt idx="44">
                  <c:v>41519</c:v>
                </c:pt>
                <c:pt idx="45">
                  <c:v>41520</c:v>
                </c:pt>
                <c:pt idx="46">
                  <c:v>41521</c:v>
                </c:pt>
                <c:pt idx="47">
                  <c:v>41522</c:v>
                </c:pt>
                <c:pt idx="48">
                  <c:v>41523</c:v>
                </c:pt>
                <c:pt idx="49">
                  <c:v>41526</c:v>
                </c:pt>
                <c:pt idx="50">
                  <c:v>41527</c:v>
                </c:pt>
                <c:pt idx="51">
                  <c:v>41528</c:v>
                </c:pt>
                <c:pt idx="52">
                  <c:v>41529</c:v>
                </c:pt>
                <c:pt idx="53">
                  <c:v>41530</c:v>
                </c:pt>
                <c:pt idx="54">
                  <c:v>41533</c:v>
                </c:pt>
                <c:pt idx="55">
                  <c:v>41534</c:v>
                </c:pt>
                <c:pt idx="56">
                  <c:v>41535</c:v>
                </c:pt>
                <c:pt idx="57">
                  <c:v>41536</c:v>
                </c:pt>
                <c:pt idx="58">
                  <c:v>41537</c:v>
                </c:pt>
                <c:pt idx="59">
                  <c:v>41540</c:v>
                </c:pt>
                <c:pt idx="60">
                  <c:v>41541</c:v>
                </c:pt>
                <c:pt idx="61">
                  <c:v>41542</c:v>
                </c:pt>
                <c:pt idx="62">
                  <c:v>41543</c:v>
                </c:pt>
                <c:pt idx="63">
                  <c:v>41544</c:v>
                </c:pt>
                <c:pt idx="64">
                  <c:v>41547</c:v>
                </c:pt>
                <c:pt idx="65">
                  <c:v>41548</c:v>
                </c:pt>
                <c:pt idx="66">
                  <c:v>41549</c:v>
                </c:pt>
                <c:pt idx="67">
                  <c:v>41550</c:v>
                </c:pt>
                <c:pt idx="68">
                  <c:v>41551</c:v>
                </c:pt>
                <c:pt idx="69">
                  <c:v>41554</c:v>
                </c:pt>
                <c:pt idx="70">
                  <c:v>41555</c:v>
                </c:pt>
                <c:pt idx="71">
                  <c:v>41556</c:v>
                </c:pt>
                <c:pt idx="72">
                  <c:v>41557</c:v>
                </c:pt>
                <c:pt idx="73">
                  <c:v>41558</c:v>
                </c:pt>
                <c:pt idx="74">
                  <c:v>41561</c:v>
                </c:pt>
                <c:pt idx="75">
                  <c:v>41562</c:v>
                </c:pt>
                <c:pt idx="76">
                  <c:v>41563</c:v>
                </c:pt>
                <c:pt idx="77">
                  <c:v>41564</c:v>
                </c:pt>
                <c:pt idx="78">
                  <c:v>41565</c:v>
                </c:pt>
                <c:pt idx="79">
                  <c:v>41568</c:v>
                </c:pt>
                <c:pt idx="80">
                  <c:v>41569</c:v>
                </c:pt>
                <c:pt idx="81">
                  <c:v>41570</c:v>
                </c:pt>
                <c:pt idx="82">
                  <c:v>41571</c:v>
                </c:pt>
                <c:pt idx="83">
                  <c:v>41572</c:v>
                </c:pt>
                <c:pt idx="84">
                  <c:v>41575</c:v>
                </c:pt>
                <c:pt idx="85">
                  <c:v>41576</c:v>
                </c:pt>
                <c:pt idx="86">
                  <c:v>41577</c:v>
                </c:pt>
                <c:pt idx="87">
                  <c:v>41578</c:v>
                </c:pt>
                <c:pt idx="88">
                  <c:v>41579</c:v>
                </c:pt>
                <c:pt idx="89">
                  <c:v>41582</c:v>
                </c:pt>
                <c:pt idx="90">
                  <c:v>41583</c:v>
                </c:pt>
                <c:pt idx="91">
                  <c:v>41584</c:v>
                </c:pt>
                <c:pt idx="92">
                  <c:v>41585</c:v>
                </c:pt>
                <c:pt idx="93">
                  <c:v>41586</c:v>
                </c:pt>
                <c:pt idx="94">
                  <c:v>41589</c:v>
                </c:pt>
                <c:pt idx="95">
                  <c:v>41590</c:v>
                </c:pt>
                <c:pt idx="96">
                  <c:v>41591</c:v>
                </c:pt>
                <c:pt idx="97">
                  <c:v>41592</c:v>
                </c:pt>
                <c:pt idx="98">
                  <c:v>41596</c:v>
                </c:pt>
                <c:pt idx="99">
                  <c:v>41597</c:v>
                </c:pt>
                <c:pt idx="100">
                  <c:v>41599</c:v>
                </c:pt>
                <c:pt idx="101">
                  <c:v>41600</c:v>
                </c:pt>
                <c:pt idx="102">
                  <c:v>41603</c:v>
                </c:pt>
                <c:pt idx="103">
                  <c:v>41604</c:v>
                </c:pt>
                <c:pt idx="104">
                  <c:v>41605</c:v>
                </c:pt>
                <c:pt idx="105">
                  <c:v>41606</c:v>
                </c:pt>
                <c:pt idx="106">
                  <c:v>41607</c:v>
                </c:pt>
                <c:pt idx="107">
                  <c:v>41610</c:v>
                </c:pt>
                <c:pt idx="108">
                  <c:v>41611</c:v>
                </c:pt>
                <c:pt idx="109">
                  <c:v>41612</c:v>
                </c:pt>
                <c:pt idx="110">
                  <c:v>41613</c:v>
                </c:pt>
                <c:pt idx="111">
                  <c:v>41614</c:v>
                </c:pt>
                <c:pt idx="112">
                  <c:v>41617</c:v>
                </c:pt>
                <c:pt idx="113">
                  <c:v>41618</c:v>
                </c:pt>
                <c:pt idx="114">
                  <c:v>41619</c:v>
                </c:pt>
                <c:pt idx="115">
                  <c:v>41620</c:v>
                </c:pt>
                <c:pt idx="116">
                  <c:v>41621</c:v>
                </c:pt>
                <c:pt idx="117">
                  <c:v>41624</c:v>
                </c:pt>
                <c:pt idx="118">
                  <c:v>41625</c:v>
                </c:pt>
                <c:pt idx="119">
                  <c:v>41626</c:v>
                </c:pt>
                <c:pt idx="120">
                  <c:v>41627</c:v>
                </c:pt>
                <c:pt idx="121">
                  <c:v>41628</c:v>
                </c:pt>
                <c:pt idx="122">
                  <c:v>41631</c:v>
                </c:pt>
                <c:pt idx="123">
                  <c:v>41634</c:v>
                </c:pt>
                <c:pt idx="124">
                  <c:v>41635</c:v>
                </c:pt>
                <c:pt idx="125">
                  <c:v>41638</c:v>
                </c:pt>
                <c:pt idx="126">
                  <c:v>41641</c:v>
                </c:pt>
                <c:pt idx="127">
                  <c:v>41642</c:v>
                </c:pt>
                <c:pt idx="128">
                  <c:v>41645</c:v>
                </c:pt>
                <c:pt idx="129">
                  <c:v>41646</c:v>
                </c:pt>
                <c:pt idx="130">
                  <c:v>41647</c:v>
                </c:pt>
                <c:pt idx="131">
                  <c:v>41648</c:v>
                </c:pt>
                <c:pt idx="132">
                  <c:v>41649</c:v>
                </c:pt>
                <c:pt idx="133">
                  <c:v>41652</c:v>
                </c:pt>
                <c:pt idx="134">
                  <c:v>41653</c:v>
                </c:pt>
                <c:pt idx="135">
                  <c:v>41654</c:v>
                </c:pt>
                <c:pt idx="136">
                  <c:v>41655</c:v>
                </c:pt>
                <c:pt idx="137">
                  <c:v>41656</c:v>
                </c:pt>
                <c:pt idx="138">
                  <c:v>41659</c:v>
                </c:pt>
                <c:pt idx="139">
                  <c:v>41660</c:v>
                </c:pt>
                <c:pt idx="140">
                  <c:v>41661</c:v>
                </c:pt>
                <c:pt idx="141">
                  <c:v>41662</c:v>
                </c:pt>
                <c:pt idx="142">
                  <c:v>41663</c:v>
                </c:pt>
                <c:pt idx="143">
                  <c:v>41666</c:v>
                </c:pt>
                <c:pt idx="144">
                  <c:v>41667</c:v>
                </c:pt>
                <c:pt idx="145">
                  <c:v>41668</c:v>
                </c:pt>
                <c:pt idx="146">
                  <c:v>41669</c:v>
                </c:pt>
                <c:pt idx="147">
                  <c:v>41670</c:v>
                </c:pt>
                <c:pt idx="148">
                  <c:v>41673</c:v>
                </c:pt>
                <c:pt idx="149">
                  <c:v>41674</c:v>
                </c:pt>
                <c:pt idx="150">
                  <c:v>41675</c:v>
                </c:pt>
                <c:pt idx="151">
                  <c:v>41676</c:v>
                </c:pt>
                <c:pt idx="152">
                  <c:v>41677</c:v>
                </c:pt>
                <c:pt idx="153">
                  <c:v>41680</c:v>
                </c:pt>
                <c:pt idx="154">
                  <c:v>41681</c:v>
                </c:pt>
                <c:pt idx="155">
                  <c:v>41682</c:v>
                </c:pt>
                <c:pt idx="156">
                  <c:v>41683</c:v>
                </c:pt>
                <c:pt idx="157">
                  <c:v>41684</c:v>
                </c:pt>
                <c:pt idx="158">
                  <c:v>41687</c:v>
                </c:pt>
                <c:pt idx="159">
                  <c:v>41688</c:v>
                </c:pt>
                <c:pt idx="160">
                  <c:v>41689</c:v>
                </c:pt>
                <c:pt idx="161">
                  <c:v>41690</c:v>
                </c:pt>
                <c:pt idx="162">
                  <c:v>41691</c:v>
                </c:pt>
                <c:pt idx="163">
                  <c:v>41694</c:v>
                </c:pt>
                <c:pt idx="164">
                  <c:v>41695</c:v>
                </c:pt>
                <c:pt idx="165">
                  <c:v>41696</c:v>
                </c:pt>
                <c:pt idx="166">
                  <c:v>41697</c:v>
                </c:pt>
                <c:pt idx="167">
                  <c:v>41698</c:v>
                </c:pt>
                <c:pt idx="168">
                  <c:v>41703</c:v>
                </c:pt>
                <c:pt idx="169">
                  <c:v>41704</c:v>
                </c:pt>
                <c:pt idx="170">
                  <c:v>41705</c:v>
                </c:pt>
                <c:pt idx="171">
                  <c:v>41708</c:v>
                </c:pt>
                <c:pt idx="172">
                  <c:v>41709</c:v>
                </c:pt>
                <c:pt idx="173">
                  <c:v>41710</c:v>
                </c:pt>
                <c:pt idx="174">
                  <c:v>41711</c:v>
                </c:pt>
                <c:pt idx="175">
                  <c:v>41712</c:v>
                </c:pt>
                <c:pt idx="176">
                  <c:v>41715</c:v>
                </c:pt>
                <c:pt idx="177">
                  <c:v>41716</c:v>
                </c:pt>
                <c:pt idx="178">
                  <c:v>41717</c:v>
                </c:pt>
                <c:pt idx="179">
                  <c:v>41718</c:v>
                </c:pt>
                <c:pt idx="180">
                  <c:v>41719</c:v>
                </c:pt>
                <c:pt idx="181">
                  <c:v>41722</c:v>
                </c:pt>
                <c:pt idx="182">
                  <c:v>41723</c:v>
                </c:pt>
                <c:pt idx="183">
                  <c:v>41724</c:v>
                </c:pt>
                <c:pt idx="184">
                  <c:v>41725</c:v>
                </c:pt>
                <c:pt idx="185">
                  <c:v>41726</c:v>
                </c:pt>
                <c:pt idx="186">
                  <c:v>41729</c:v>
                </c:pt>
                <c:pt idx="187">
                  <c:v>41730</c:v>
                </c:pt>
                <c:pt idx="188">
                  <c:v>41731</c:v>
                </c:pt>
                <c:pt idx="189">
                  <c:v>41732</c:v>
                </c:pt>
                <c:pt idx="190">
                  <c:v>41733</c:v>
                </c:pt>
                <c:pt idx="191">
                  <c:v>41736</c:v>
                </c:pt>
                <c:pt idx="192">
                  <c:v>41737</c:v>
                </c:pt>
                <c:pt idx="193">
                  <c:v>41738</c:v>
                </c:pt>
                <c:pt idx="194">
                  <c:v>41739</c:v>
                </c:pt>
                <c:pt idx="195">
                  <c:v>41740</c:v>
                </c:pt>
                <c:pt idx="196">
                  <c:v>41743</c:v>
                </c:pt>
                <c:pt idx="197">
                  <c:v>41744</c:v>
                </c:pt>
                <c:pt idx="198">
                  <c:v>41745</c:v>
                </c:pt>
                <c:pt idx="199">
                  <c:v>41746</c:v>
                </c:pt>
                <c:pt idx="200">
                  <c:v>41751</c:v>
                </c:pt>
                <c:pt idx="201">
                  <c:v>41752</c:v>
                </c:pt>
                <c:pt idx="202">
                  <c:v>41753</c:v>
                </c:pt>
                <c:pt idx="203">
                  <c:v>41754</c:v>
                </c:pt>
                <c:pt idx="204">
                  <c:v>41757</c:v>
                </c:pt>
                <c:pt idx="205">
                  <c:v>41758</c:v>
                </c:pt>
                <c:pt idx="206">
                  <c:v>41759</c:v>
                </c:pt>
                <c:pt idx="207">
                  <c:v>41761</c:v>
                </c:pt>
                <c:pt idx="208">
                  <c:v>41764</c:v>
                </c:pt>
                <c:pt idx="209">
                  <c:v>41765</c:v>
                </c:pt>
                <c:pt idx="210">
                  <c:v>41766</c:v>
                </c:pt>
                <c:pt idx="211">
                  <c:v>41767</c:v>
                </c:pt>
                <c:pt idx="212">
                  <c:v>41768</c:v>
                </c:pt>
                <c:pt idx="213">
                  <c:v>41771</c:v>
                </c:pt>
                <c:pt idx="214">
                  <c:v>41772</c:v>
                </c:pt>
                <c:pt idx="215">
                  <c:v>41773</c:v>
                </c:pt>
                <c:pt idx="216">
                  <c:v>41774</c:v>
                </c:pt>
                <c:pt idx="217">
                  <c:v>41775</c:v>
                </c:pt>
                <c:pt idx="218">
                  <c:v>41778</c:v>
                </c:pt>
                <c:pt idx="219">
                  <c:v>41779</c:v>
                </c:pt>
                <c:pt idx="220">
                  <c:v>41780</c:v>
                </c:pt>
                <c:pt idx="221">
                  <c:v>41781</c:v>
                </c:pt>
                <c:pt idx="222">
                  <c:v>41782</c:v>
                </c:pt>
                <c:pt idx="223">
                  <c:v>41785</c:v>
                </c:pt>
                <c:pt idx="224">
                  <c:v>41786</c:v>
                </c:pt>
                <c:pt idx="225">
                  <c:v>41787</c:v>
                </c:pt>
                <c:pt idx="226">
                  <c:v>41788</c:v>
                </c:pt>
                <c:pt idx="227">
                  <c:v>41789</c:v>
                </c:pt>
                <c:pt idx="228">
                  <c:v>41792</c:v>
                </c:pt>
                <c:pt idx="229">
                  <c:v>41793</c:v>
                </c:pt>
                <c:pt idx="230">
                  <c:v>41794</c:v>
                </c:pt>
                <c:pt idx="231">
                  <c:v>41795</c:v>
                </c:pt>
                <c:pt idx="232">
                  <c:v>41796</c:v>
                </c:pt>
                <c:pt idx="233">
                  <c:v>41799</c:v>
                </c:pt>
                <c:pt idx="234">
                  <c:v>41800</c:v>
                </c:pt>
                <c:pt idx="235">
                  <c:v>41801</c:v>
                </c:pt>
                <c:pt idx="236">
                  <c:v>41803</c:v>
                </c:pt>
                <c:pt idx="237">
                  <c:v>41806</c:v>
                </c:pt>
                <c:pt idx="238">
                  <c:v>41807</c:v>
                </c:pt>
                <c:pt idx="239">
                  <c:v>41808</c:v>
                </c:pt>
                <c:pt idx="240">
                  <c:v>41810</c:v>
                </c:pt>
                <c:pt idx="241">
                  <c:v>41813</c:v>
                </c:pt>
                <c:pt idx="242">
                  <c:v>41814</c:v>
                </c:pt>
                <c:pt idx="243">
                  <c:v>41815</c:v>
                </c:pt>
                <c:pt idx="244">
                  <c:v>41816</c:v>
                </c:pt>
                <c:pt idx="245">
                  <c:v>41817</c:v>
                </c:pt>
                <c:pt idx="246">
                  <c:v>41820</c:v>
                </c:pt>
              </c:numCache>
            </c:numRef>
          </c:cat>
          <c:val>
            <c:numRef>
              <c:f>'ações (2)'!$O$3:$O$249</c:f>
              <c:numCache>
                <c:formatCode>0</c:formatCode>
                <c:ptCount val="247"/>
                <c:pt idx="0" formatCode="0.00">
                  <c:v>100</c:v>
                </c:pt>
                <c:pt idx="1">
                  <c:v>97.630331753554501</c:v>
                </c:pt>
                <c:pt idx="2">
                  <c:v>100</c:v>
                </c:pt>
                <c:pt idx="3">
                  <c:v>102.13270142180096</c:v>
                </c:pt>
                <c:pt idx="4">
                  <c:v>104.50236966824646</c:v>
                </c:pt>
                <c:pt idx="5">
                  <c:v>106.87203791469196</c:v>
                </c:pt>
                <c:pt idx="6">
                  <c:v>106.87203791469196</c:v>
                </c:pt>
                <c:pt idx="7">
                  <c:v>106.87203791469196</c:v>
                </c:pt>
                <c:pt idx="8">
                  <c:v>102.13270142180096</c:v>
                </c:pt>
                <c:pt idx="9">
                  <c:v>102.13270142180096</c:v>
                </c:pt>
                <c:pt idx="10">
                  <c:v>102.13270142180096</c:v>
                </c:pt>
                <c:pt idx="11">
                  <c:v>100</c:v>
                </c:pt>
                <c:pt idx="12">
                  <c:v>102.13270142180096</c:v>
                </c:pt>
                <c:pt idx="13">
                  <c:v>102.13270142180096</c:v>
                </c:pt>
                <c:pt idx="14">
                  <c:v>102.13270142180096</c:v>
                </c:pt>
                <c:pt idx="15">
                  <c:v>102.13270142180096</c:v>
                </c:pt>
                <c:pt idx="16">
                  <c:v>102.13270142180096</c:v>
                </c:pt>
                <c:pt idx="17">
                  <c:v>102.13270142180096</c:v>
                </c:pt>
                <c:pt idx="18">
                  <c:v>102.13270142180096</c:v>
                </c:pt>
                <c:pt idx="19">
                  <c:v>102.13270142180096</c:v>
                </c:pt>
                <c:pt idx="20">
                  <c:v>100</c:v>
                </c:pt>
                <c:pt idx="21">
                  <c:v>102.13270142180096</c:v>
                </c:pt>
                <c:pt idx="22">
                  <c:v>102.13270142180096</c:v>
                </c:pt>
                <c:pt idx="23">
                  <c:v>100</c:v>
                </c:pt>
                <c:pt idx="24">
                  <c:v>102.13270142180096</c:v>
                </c:pt>
                <c:pt idx="25">
                  <c:v>102.13270142180096</c:v>
                </c:pt>
                <c:pt idx="26">
                  <c:v>102.13270142180096</c:v>
                </c:pt>
                <c:pt idx="27">
                  <c:v>106.87203791469196</c:v>
                </c:pt>
                <c:pt idx="28">
                  <c:v>106.87203791469196</c:v>
                </c:pt>
                <c:pt idx="29">
                  <c:v>106.87203791469196</c:v>
                </c:pt>
                <c:pt idx="30">
                  <c:v>104.50236966824646</c:v>
                </c:pt>
                <c:pt idx="31">
                  <c:v>104.50236966824646</c:v>
                </c:pt>
                <c:pt idx="32">
                  <c:v>104.50236966824646</c:v>
                </c:pt>
                <c:pt idx="33">
                  <c:v>109.0047393364929</c:v>
                </c:pt>
                <c:pt idx="34">
                  <c:v>109.0047393364929</c:v>
                </c:pt>
                <c:pt idx="35">
                  <c:v>106.87203791469196</c:v>
                </c:pt>
                <c:pt idx="36">
                  <c:v>106.87203791469196</c:v>
                </c:pt>
                <c:pt idx="37">
                  <c:v>106.87203791469196</c:v>
                </c:pt>
                <c:pt idx="38">
                  <c:v>106.87203791469196</c:v>
                </c:pt>
                <c:pt idx="39">
                  <c:v>106.87203791469196</c:v>
                </c:pt>
                <c:pt idx="40">
                  <c:v>106.87203791469196</c:v>
                </c:pt>
                <c:pt idx="41">
                  <c:v>106.87203791469196</c:v>
                </c:pt>
                <c:pt idx="42">
                  <c:v>109.00473933649292</c:v>
                </c:pt>
                <c:pt idx="43">
                  <c:v>106.87203791469197</c:v>
                </c:pt>
                <c:pt idx="44">
                  <c:v>109.00473933649293</c:v>
                </c:pt>
                <c:pt idx="45">
                  <c:v>106.87203791469199</c:v>
                </c:pt>
                <c:pt idx="46">
                  <c:v>106.87203791469199</c:v>
                </c:pt>
                <c:pt idx="47">
                  <c:v>109.00473933649295</c:v>
                </c:pt>
                <c:pt idx="48">
                  <c:v>109.00473933649295</c:v>
                </c:pt>
                <c:pt idx="49">
                  <c:v>111.37440758293843</c:v>
                </c:pt>
                <c:pt idx="50">
                  <c:v>109.00473933649295</c:v>
                </c:pt>
                <c:pt idx="51">
                  <c:v>109.00473933649295</c:v>
                </c:pt>
                <c:pt idx="52">
                  <c:v>109.00473933649295</c:v>
                </c:pt>
                <c:pt idx="53">
                  <c:v>111.37440758293843</c:v>
                </c:pt>
                <c:pt idx="54">
                  <c:v>111.37440758293843</c:v>
                </c:pt>
                <c:pt idx="55">
                  <c:v>111.37440758293843</c:v>
                </c:pt>
                <c:pt idx="56">
                  <c:v>109.00473933649295</c:v>
                </c:pt>
                <c:pt idx="57">
                  <c:v>111.37440758293843</c:v>
                </c:pt>
                <c:pt idx="58">
                  <c:v>109.00473933649295</c:v>
                </c:pt>
                <c:pt idx="59">
                  <c:v>109.00473933649295</c:v>
                </c:pt>
                <c:pt idx="60">
                  <c:v>106.872037914692</c:v>
                </c:pt>
                <c:pt idx="61">
                  <c:v>109.00473933649296</c:v>
                </c:pt>
                <c:pt idx="62">
                  <c:v>109.00473933649296</c:v>
                </c:pt>
                <c:pt idx="63">
                  <c:v>109.00473933649296</c:v>
                </c:pt>
                <c:pt idx="64">
                  <c:v>109.00473933649296</c:v>
                </c:pt>
                <c:pt idx="65">
                  <c:v>109.00473933649296</c:v>
                </c:pt>
                <c:pt idx="66">
                  <c:v>109.00473933649296</c:v>
                </c:pt>
                <c:pt idx="67">
                  <c:v>106.87203791469202</c:v>
                </c:pt>
                <c:pt idx="68">
                  <c:v>106.87203791469202</c:v>
                </c:pt>
                <c:pt idx="69">
                  <c:v>106.87203791469202</c:v>
                </c:pt>
                <c:pt idx="70">
                  <c:v>106.87203791469202</c:v>
                </c:pt>
                <c:pt idx="71">
                  <c:v>109.00473933649297</c:v>
                </c:pt>
                <c:pt idx="72">
                  <c:v>106.87203791469203</c:v>
                </c:pt>
                <c:pt idx="73">
                  <c:v>109.00473933649299</c:v>
                </c:pt>
                <c:pt idx="74">
                  <c:v>106.87203791469204</c:v>
                </c:pt>
                <c:pt idx="75">
                  <c:v>106.87203791469204</c:v>
                </c:pt>
                <c:pt idx="76">
                  <c:v>106.87203791469204</c:v>
                </c:pt>
                <c:pt idx="77">
                  <c:v>104.50236966824654</c:v>
                </c:pt>
                <c:pt idx="78">
                  <c:v>104.50236966824654</c:v>
                </c:pt>
                <c:pt idx="79">
                  <c:v>104.50236966824654</c:v>
                </c:pt>
                <c:pt idx="80">
                  <c:v>104.50236966824654</c:v>
                </c:pt>
                <c:pt idx="81">
                  <c:v>104.50236966824654</c:v>
                </c:pt>
                <c:pt idx="82">
                  <c:v>104.50236966824654</c:v>
                </c:pt>
                <c:pt idx="83">
                  <c:v>109.00473933649299</c:v>
                </c:pt>
                <c:pt idx="84">
                  <c:v>111.37440758293847</c:v>
                </c:pt>
                <c:pt idx="85">
                  <c:v>111.37440758293847</c:v>
                </c:pt>
                <c:pt idx="86">
                  <c:v>109.00473933649299</c:v>
                </c:pt>
                <c:pt idx="87">
                  <c:v>109.00473933649299</c:v>
                </c:pt>
                <c:pt idx="88">
                  <c:v>109.00473933649299</c:v>
                </c:pt>
                <c:pt idx="89">
                  <c:v>109.00473933649299</c:v>
                </c:pt>
                <c:pt idx="90">
                  <c:v>109.00473933649299</c:v>
                </c:pt>
                <c:pt idx="91">
                  <c:v>106.87203791469204</c:v>
                </c:pt>
                <c:pt idx="92">
                  <c:v>106.87203791469204</c:v>
                </c:pt>
                <c:pt idx="93">
                  <c:v>106.87203791469204</c:v>
                </c:pt>
                <c:pt idx="94">
                  <c:v>109.004739336493</c:v>
                </c:pt>
                <c:pt idx="95">
                  <c:v>106.87203791469206</c:v>
                </c:pt>
                <c:pt idx="96">
                  <c:v>109.00473933649302</c:v>
                </c:pt>
                <c:pt idx="97">
                  <c:v>113.50710900473945</c:v>
                </c:pt>
                <c:pt idx="98">
                  <c:v>120.37914691943139</c:v>
                </c:pt>
                <c:pt idx="99">
                  <c:v>122.74881516587689</c:v>
                </c:pt>
                <c:pt idx="100">
                  <c:v>124.88151658767785</c:v>
                </c:pt>
                <c:pt idx="101">
                  <c:v>127.25118483412336</c:v>
                </c:pt>
                <c:pt idx="102">
                  <c:v>127.25118483412336</c:v>
                </c:pt>
                <c:pt idx="103">
                  <c:v>122.74881516587691</c:v>
                </c:pt>
                <c:pt idx="104">
                  <c:v>122.74881516587691</c:v>
                </c:pt>
                <c:pt idx="105">
                  <c:v>120.37914691943141</c:v>
                </c:pt>
                <c:pt idx="106">
                  <c:v>122.74881516587691</c:v>
                </c:pt>
                <c:pt idx="107">
                  <c:v>120.37914691943141</c:v>
                </c:pt>
                <c:pt idx="108">
                  <c:v>118.24644549763046</c:v>
                </c:pt>
                <c:pt idx="109">
                  <c:v>120.37914691943141</c:v>
                </c:pt>
                <c:pt idx="110">
                  <c:v>120.37914691943141</c:v>
                </c:pt>
                <c:pt idx="111">
                  <c:v>120.37914691943141</c:v>
                </c:pt>
                <c:pt idx="112">
                  <c:v>120.37914691943141</c:v>
                </c:pt>
                <c:pt idx="113">
                  <c:v>120.37914691943141</c:v>
                </c:pt>
                <c:pt idx="114">
                  <c:v>118.24644549763046</c:v>
                </c:pt>
                <c:pt idx="115">
                  <c:v>118.24644549763046</c:v>
                </c:pt>
                <c:pt idx="116">
                  <c:v>118.24644549763046</c:v>
                </c:pt>
                <c:pt idx="117">
                  <c:v>118.24644549763046</c:v>
                </c:pt>
                <c:pt idx="118">
                  <c:v>120.37914691943141</c:v>
                </c:pt>
                <c:pt idx="119">
                  <c:v>120.37914691943141</c:v>
                </c:pt>
                <c:pt idx="120">
                  <c:v>122.74881516587691</c:v>
                </c:pt>
                <c:pt idx="121">
                  <c:v>120.37914691943141</c:v>
                </c:pt>
                <c:pt idx="122">
                  <c:v>120.37914691943141</c:v>
                </c:pt>
                <c:pt idx="123">
                  <c:v>118.24644549763046</c:v>
                </c:pt>
                <c:pt idx="124">
                  <c:v>120.37914691943141</c:v>
                </c:pt>
                <c:pt idx="125">
                  <c:v>120.37914691943141</c:v>
                </c:pt>
                <c:pt idx="126">
                  <c:v>120.37914691943141</c:v>
                </c:pt>
                <c:pt idx="127">
                  <c:v>120.37914691943141</c:v>
                </c:pt>
                <c:pt idx="128">
                  <c:v>120.37914691943141</c:v>
                </c:pt>
                <c:pt idx="129">
                  <c:v>118.24644549763046</c:v>
                </c:pt>
                <c:pt idx="130">
                  <c:v>118.24644549763046</c:v>
                </c:pt>
                <c:pt idx="131">
                  <c:v>115.87677725118496</c:v>
                </c:pt>
                <c:pt idx="132">
                  <c:v>113.50710900473945</c:v>
                </c:pt>
                <c:pt idx="133">
                  <c:v>115.87677725118495</c:v>
                </c:pt>
                <c:pt idx="134">
                  <c:v>113.50710900473943</c:v>
                </c:pt>
                <c:pt idx="135">
                  <c:v>115.87677725118493</c:v>
                </c:pt>
                <c:pt idx="136">
                  <c:v>115.87677725118493</c:v>
                </c:pt>
                <c:pt idx="137">
                  <c:v>113.50710900473942</c:v>
                </c:pt>
                <c:pt idx="138">
                  <c:v>113.50710900473942</c:v>
                </c:pt>
                <c:pt idx="139">
                  <c:v>113.50710900473942</c:v>
                </c:pt>
                <c:pt idx="140">
                  <c:v>113.50710900473942</c:v>
                </c:pt>
                <c:pt idx="141">
                  <c:v>111.37440758293846</c:v>
                </c:pt>
                <c:pt idx="142">
                  <c:v>113.50710900473942</c:v>
                </c:pt>
                <c:pt idx="143">
                  <c:v>111.37440758293846</c:v>
                </c:pt>
                <c:pt idx="144">
                  <c:v>113.50710900473942</c:v>
                </c:pt>
                <c:pt idx="145">
                  <c:v>113.50710900473942</c:v>
                </c:pt>
                <c:pt idx="146">
                  <c:v>111.37440758293846</c:v>
                </c:pt>
                <c:pt idx="147">
                  <c:v>109.00473933649297</c:v>
                </c:pt>
                <c:pt idx="148">
                  <c:v>104.50236966824653</c:v>
                </c:pt>
                <c:pt idx="149">
                  <c:v>109.00473933649297</c:v>
                </c:pt>
                <c:pt idx="150">
                  <c:v>106.87203791469203</c:v>
                </c:pt>
                <c:pt idx="151">
                  <c:v>106.87203791469203</c:v>
                </c:pt>
                <c:pt idx="152">
                  <c:v>106.87203791469203</c:v>
                </c:pt>
                <c:pt idx="153">
                  <c:v>106.87203791469203</c:v>
                </c:pt>
                <c:pt idx="154">
                  <c:v>106.87203791469203</c:v>
                </c:pt>
                <c:pt idx="155">
                  <c:v>104.50236966824653</c:v>
                </c:pt>
                <c:pt idx="156">
                  <c:v>104.50236966824653</c:v>
                </c:pt>
                <c:pt idx="157">
                  <c:v>104.50236966824653</c:v>
                </c:pt>
                <c:pt idx="158">
                  <c:v>104.50236966824653</c:v>
                </c:pt>
                <c:pt idx="159">
                  <c:v>102.13270142180103</c:v>
                </c:pt>
                <c:pt idx="160">
                  <c:v>102.13270142180103</c:v>
                </c:pt>
                <c:pt idx="161">
                  <c:v>102.13270142180103</c:v>
                </c:pt>
                <c:pt idx="162">
                  <c:v>102.13270142180103</c:v>
                </c:pt>
                <c:pt idx="163">
                  <c:v>100.00000000000007</c:v>
                </c:pt>
                <c:pt idx="164">
                  <c:v>100.00000000000007</c:v>
                </c:pt>
                <c:pt idx="165">
                  <c:v>102.13270142180103</c:v>
                </c:pt>
                <c:pt idx="166">
                  <c:v>100.00000000000007</c:v>
                </c:pt>
                <c:pt idx="167">
                  <c:v>100.00000000000007</c:v>
                </c:pt>
                <c:pt idx="168">
                  <c:v>100.00000000000007</c:v>
                </c:pt>
                <c:pt idx="169">
                  <c:v>100.00000000000007</c:v>
                </c:pt>
                <c:pt idx="170">
                  <c:v>97.630331753554572</c:v>
                </c:pt>
                <c:pt idx="171">
                  <c:v>95.497630331753641</c:v>
                </c:pt>
                <c:pt idx="172">
                  <c:v>97.630331753554572</c:v>
                </c:pt>
                <c:pt idx="173">
                  <c:v>97.630331753554572</c:v>
                </c:pt>
                <c:pt idx="174">
                  <c:v>95.497630331753641</c:v>
                </c:pt>
                <c:pt idx="175">
                  <c:v>93.127962085308141</c:v>
                </c:pt>
                <c:pt idx="176">
                  <c:v>93.127962085308141</c:v>
                </c:pt>
                <c:pt idx="177">
                  <c:v>95.497630331753655</c:v>
                </c:pt>
                <c:pt idx="178">
                  <c:v>93.127962085308155</c:v>
                </c:pt>
                <c:pt idx="179">
                  <c:v>93.127962085308155</c:v>
                </c:pt>
                <c:pt idx="180">
                  <c:v>90.758293838862656</c:v>
                </c:pt>
                <c:pt idx="181">
                  <c:v>88.625592417061711</c:v>
                </c:pt>
                <c:pt idx="182">
                  <c:v>90.75829383886267</c:v>
                </c:pt>
                <c:pt idx="183">
                  <c:v>90.75829383886267</c:v>
                </c:pt>
                <c:pt idx="184">
                  <c:v>95.497630331753669</c:v>
                </c:pt>
                <c:pt idx="185">
                  <c:v>97.630331753554614</c:v>
                </c:pt>
                <c:pt idx="186">
                  <c:v>100.00000000000011</c:v>
                </c:pt>
                <c:pt idx="187">
                  <c:v>100.00000000000011</c:v>
                </c:pt>
                <c:pt idx="188">
                  <c:v>102.13270142180107</c:v>
                </c:pt>
                <c:pt idx="189">
                  <c:v>100.00000000000011</c:v>
                </c:pt>
                <c:pt idx="190">
                  <c:v>100.00000000000011</c:v>
                </c:pt>
                <c:pt idx="191">
                  <c:v>106.87203791469207</c:v>
                </c:pt>
                <c:pt idx="192">
                  <c:v>106.87203791469207</c:v>
                </c:pt>
                <c:pt idx="193">
                  <c:v>106.87203791469207</c:v>
                </c:pt>
                <c:pt idx="194">
                  <c:v>109.00473933649303</c:v>
                </c:pt>
                <c:pt idx="195">
                  <c:v>104.50236966824659</c:v>
                </c:pt>
                <c:pt idx="196">
                  <c:v>109.00473933649303</c:v>
                </c:pt>
                <c:pt idx="197">
                  <c:v>109.00473933649303</c:v>
                </c:pt>
                <c:pt idx="198">
                  <c:v>106.87203791469209</c:v>
                </c:pt>
                <c:pt idx="199">
                  <c:v>109.00473933649305</c:v>
                </c:pt>
                <c:pt idx="200">
                  <c:v>106.8720379146921</c:v>
                </c:pt>
                <c:pt idx="201">
                  <c:v>106.8720379146921</c:v>
                </c:pt>
                <c:pt idx="202">
                  <c:v>109.00473933649306</c:v>
                </c:pt>
                <c:pt idx="203">
                  <c:v>109.00473933649306</c:v>
                </c:pt>
                <c:pt idx="204">
                  <c:v>109.00473933649306</c:v>
                </c:pt>
                <c:pt idx="205">
                  <c:v>106.87203791469211</c:v>
                </c:pt>
                <c:pt idx="206">
                  <c:v>109.00473933649307</c:v>
                </c:pt>
                <c:pt idx="207">
                  <c:v>111.37440758293856</c:v>
                </c:pt>
                <c:pt idx="208">
                  <c:v>111.37440758293856</c:v>
                </c:pt>
                <c:pt idx="209">
                  <c:v>106.63507109004756</c:v>
                </c:pt>
                <c:pt idx="210">
                  <c:v>109.00473933649306</c:v>
                </c:pt>
                <c:pt idx="211">
                  <c:v>106.63507109004756</c:v>
                </c:pt>
                <c:pt idx="212">
                  <c:v>106.63507109004756</c:v>
                </c:pt>
                <c:pt idx="213">
                  <c:v>106.63507109004756</c:v>
                </c:pt>
                <c:pt idx="214">
                  <c:v>109.00473933649306</c:v>
                </c:pt>
                <c:pt idx="215">
                  <c:v>109.00473933649306</c:v>
                </c:pt>
                <c:pt idx="216">
                  <c:v>109.00473933649306</c:v>
                </c:pt>
                <c:pt idx="217">
                  <c:v>113.74407582938406</c:v>
                </c:pt>
                <c:pt idx="218">
                  <c:v>116.11374407582956</c:v>
                </c:pt>
                <c:pt idx="219">
                  <c:v>113.74407582938406</c:v>
                </c:pt>
                <c:pt idx="220">
                  <c:v>113.74407582938406</c:v>
                </c:pt>
                <c:pt idx="221">
                  <c:v>113.74407582938406</c:v>
                </c:pt>
                <c:pt idx="222">
                  <c:v>113.74407582938406</c:v>
                </c:pt>
                <c:pt idx="223">
                  <c:v>113.74407582938406</c:v>
                </c:pt>
                <c:pt idx="224">
                  <c:v>111.37440758293856</c:v>
                </c:pt>
                <c:pt idx="225">
                  <c:v>111.37440758293856</c:v>
                </c:pt>
                <c:pt idx="226">
                  <c:v>111.37440758293856</c:v>
                </c:pt>
                <c:pt idx="227">
                  <c:v>101.89573459715655</c:v>
                </c:pt>
                <c:pt idx="228">
                  <c:v>104.26540284360205</c:v>
                </c:pt>
                <c:pt idx="229">
                  <c:v>104.26540284360205</c:v>
                </c:pt>
                <c:pt idx="230">
                  <c:v>106.63507109004755</c:v>
                </c:pt>
                <c:pt idx="231">
                  <c:v>106.63507109004755</c:v>
                </c:pt>
                <c:pt idx="232">
                  <c:v>109.00473933649305</c:v>
                </c:pt>
                <c:pt idx="233">
                  <c:v>109.00473933649305</c:v>
                </c:pt>
                <c:pt idx="234">
                  <c:v>109.00473933649305</c:v>
                </c:pt>
                <c:pt idx="235">
                  <c:v>109.00473933649305</c:v>
                </c:pt>
                <c:pt idx="236">
                  <c:v>111.37440758293853</c:v>
                </c:pt>
                <c:pt idx="237">
                  <c:v>109.00473933649305</c:v>
                </c:pt>
                <c:pt idx="238">
                  <c:v>111.37440758293853</c:v>
                </c:pt>
                <c:pt idx="239">
                  <c:v>113.74407582938402</c:v>
                </c:pt>
                <c:pt idx="240">
                  <c:v>111.37440758293852</c:v>
                </c:pt>
                <c:pt idx="241">
                  <c:v>109.00473933649303</c:v>
                </c:pt>
                <c:pt idx="242">
                  <c:v>111.37440758293852</c:v>
                </c:pt>
                <c:pt idx="243">
                  <c:v>111.37440758293852</c:v>
                </c:pt>
                <c:pt idx="244">
                  <c:v>113.744075829384</c:v>
                </c:pt>
                <c:pt idx="245">
                  <c:v>113.744075829384</c:v>
                </c:pt>
                <c:pt idx="246">
                  <c:v>113.744075829384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BC-45AC-A47A-7C9165BE4819}"/>
            </c:ext>
          </c:extLst>
        </c:ser>
        <c:ser>
          <c:idx val="2"/>
          <c:order val="2"/>
          <c:tx>
            <c:strRef>
              <c:f>'ações (2)'!$P$2</c:f>
              <c:strCache>
                <c:ptCount val="1"/>
                <c:pt idx="0">
                  <c:v>UNIP5</c:v>
                </c:pt>
              </c:strCache>
            </c:strRef>
          </c:tx>
          <c:spPr>
            <a:ln>
              <a:solidFill>
                <a:srgbClr val="003300"/>
              </a:solidFill>
            </a:ln>
          </c:spPr>
          <c:marker>
            <c:symbol val="none"/>
          </c:marker>
          <c:dLbls>
            <c:dLbl>
              <c:idx val="246"/>
              <c:layout>
                <c:manualLayout>
                  <c:x val="0"/>
                  <c:y val="8.2474226804123713E-3"/>
                </c:manualLayout>
              </c:layout>
              <c:spPr/>
              <c:txPr>
                <a:bodyPr/>
                <a:lstStyle/>
                <a:p>
                  <a:pPr>
                    <a:defRPr sz="1200" b="1"/>
                  </a:pPr>
                  <a:endParaRPr lang="pt-BR"/>
                </a:p>
              </c:txPr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BC-45AC-A47A-7C9165BE481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'ações (2)'!$M$3:$M$249</c:f>
              <c:numCache>
                <c:formatCode>[$-416]mmm\-yy;@</c:formatCode>
                <c:ptCount val="247"/>
                <c:pt idx="0">
                  <c:v>41456</c:v>
                </c:pt>
                <c:pt idx="1">
                  <c:v>41457</c:v>
                </c:pt>
                <c:pt idx="2">
                  <c:v>41458</c:v>
                </c:pt>
                <c:pt idx="3">
                  <c:v>41459</c:v>
                </c:pt>
                <c:pt idx="4">
                  <c:v>41460</c:v>
                </c:pt>
                <c:pt idx="5">
                  <c:v>41463</c:v>
                </c:pt>
                <c:pt idx="6">
                  <c:v>41465</c:v>
                </c:pt>
                <c:pt idx="7">
                  <c:v>41466</c:v>
                </c:pt>
                <c:pt idx="8">
                  <c:v>41467</c:v>
                </c:pt>
                <c:pt idx="9">
                  <c:v>41470</c:v>
                </c:pt>
                <c:pt idx="10">
                  <c:v>41471</c:v>
                </c:pt>
                <c:pt idx="11">
                  <c:v>41472</c:v>
                </c:pt>
                <c:pt idx="12">
                  <c:v>41473</c:v>
                </c:pt>
                <c:pt idx="13">
                  <c:v>41474</c:v>
                </c:pt>
                <c:pt idx="14">
                  <c:v>41477</c:v>
                </c:pt>
                <c:pt idx="15">
                  <c:v>41478</c:v>
                </c:pt>
                <c:pt idx="16">
                  <c:v>41479</c:v>
                </c:pt>
                <c:pt idx="17">
                  <c:v>41480</c:v>
                </c:pt>
                <c:pt idx="18">
                  <c:v>41481</c:v>
                </c:pt>
                <c:pt idx="19">
                  <c:v>41484</c:v>
                </c:pt>
                <c:pt idx="20">
                  <c:v>41485</c:v>
                </c:pt>
                <c:pt idx="21">
                  <c:v>41486</c:v>
                </c:pt>
                <c:pt idx="22">
                  <c:v>41487</c:v>
                </c:pt>
                <c:pt idx="23">
                  <c:v>41488</c:v>
                </c:pt>
                <c:pt idx="24">
                  <c:v>41491</c:v>
                </c:pt>
                <c:pt idx="25">
                  <c:v>41492</c:v>
                </c:pt>
                <c:pt idx="26">
                  <c:v>41493</c:v>
                </c:pt>
                <c:pt idx="27">
                  <c:v>41494</c:v>
                </c:pt>
                <c:pt idx="28">
                  <c:v>41495</c:v>
                </c:pt>
                <c:pt idx="29">
                  <c:v>41498</c:v>
                </c:pt>
                <c:pt idx="30">
                  <c:v>41499</c:v>
                </c:pt>
                <c:pt idx="31">
                  <c:v>41500</c:v>
                </c:pt>
                <c:pt idx="32">
                  <c:v>41501</c:v>
                </c:pt>
                <c:pt idx="33">
                  <c:v>41502</c:v>
                </c:pt>
                <c:pt idx="34">
                  <c:v>41505</c:v>
                </c:pt>
                <c:pt idx="35">
                  <c:v>41506</c:v>
                </c:pt>
                <c:pt idx="36">
                  <c:v>41507</c:v>
                </c:pt>
                <c:pt idx="37">
                  <c:v>41508</c:v>
                </c:pt>
                <c:pt idx="38">
                  <c:v>41509</c:v>
                </c:pt>
                <c:pt idx="39">
                  <c:v>41512</c:v>
                </c:pt>
                <c:pt idx="40">
                  <c:v>41513</c:v>
                </c:pt>
                <c:pt idx="41">
                  <c:v>41514</c:v>
                </c:pt>
                <c:pt idx="42">
                  <c:v>41515</c:v>
                </c:pt>
                <c:pt idx="43">
                  <c:v>41516</c:v>
                </c:pt>
                <c:pt idx="44">
                  <c:v>41519</c:v>
                </c:pt>
                <c:pt idx="45">
                  <c:v>41520</c:v>
                </c:pt>
                <c:pt idx="46">
                  <c:v>41521</c:v>
                </c:pt>
                <c:pt idx="47">
                  <c:v>41522</c:v>
                </c:pt>
                <c:pt idx="48">
                  <c:v>41523</c:v>
                </c:pt>
                <c:pt idx="49">
                  <c:v>41526</c:v>
                </c:pt>
                <c:pt idx="50">
                  <c:v>41527</c:v>
                </c:pt>
                <c:pt idx="51">
                  <c:v>41528</c:v>
                </c:pt>
                <c:pt idx="52">
                  <c:v>41529</c:v>
                </c:pt>
                <c:pt idx="53">
                  <c:v>41530</c:v>
                </c:pt>
                <c:pt idx="54">
                  <c:v>41533</c:v>
                </c:pt>
                <c:pt idx="55">
                  <c:v>41534</c:v>
                </c:pt>
                <c:pt idx="56">
                  <c:v>41535</c:v>
                </c:pt>
                <c:pt idx="57">
                  <c:v>41536</c:v>
                </c:pt>
                <c:pt idx="58">
                  <c:v>41537</c:v>
                </c:pt>
                <c:pt idx="59">
                  <c:v>41540</c:v>
                </c:pt>
                <c:pt idx="60">
                  <c:v>41541</c:v>
                </c:pt>
                <c:pt idx="61">
                  <c:v>41542</c:v>
                </c:pt>
                <c:pt idx="62">
                  <c:v>41543</c:v>
                </c:pt>
                <c:pt idx="63">
                  <c:v>41544</c:v>
                </c:pt>
                <c:pt idx="64">
                  <c:v>41547</c:v>
                </c:pt>
                <c:pt idx="65">
                  <c:v>41548</c:v>
                </c:pt>
                <c:pt idx="66">
                  <c:v>41549</c:v>
                </c:pt>
                <c:pt idx="67">
                  <c:v>41550</c:v>
                </c:pt>
                <c:pt idx="68">
                  <c:v>41551</c:v>
                </c:pt>
                <c:pt idx="69">
                  <c:v>41554</c:v>
                </c:pt>
                <c:pt idx="70">
                  <c:v>41555</c:v>
                </c:pt>
                <c:pt idx="71">
                  <c:v>41556</c:v>
                </c:pt>
                <c:pt idx="72">
                  <c:v>41557</c:v>
                </c:pt>
                <c:pt idx="73">
                  <c:v>41558</c:v>
                </c:pt>
                <c:pt idx="74">
                  <c:v>41561</c:v>
                </c:pt>
                <c:pt idx="75">
                  <c:v>41562</c:v>
                </c:pt>
                <c:pt idx="76">
                  <c:v>41563</c:v>
                </c:pt>
                <c:pt idx="77">
                  <c:v>41564</c:v>
                </c:pt>
                <c:pt idx="78">
                  <c:v>41565</c:v>
                </c:pt>
                <c:pt idx="79">
                  <c:v>41568</c:v>
                </c:pt>
                <c:pt idx="80">
                  <c:v>41569</c:v>
                </c:pt>
                <c:pt idx="81">
                  <c:v>41570</c:v>
                </c:pt>
                <c:pt idx="82">
                  <c:v>41571</c:v>
                </c:pt>
                <c:pt idx="83">
                  <c:v>41572</c:v>
                </c:pt>
                <c:pt idx="84">
                  <c:v>41575</c:v>
                </c:pt>
                <c:pt idx="85">
                  <c:v>41576</c:v>
                </c:pt>
                <c:pt idx="86">
                  <c:v>41577</c:v>
                </c:pt>
                <c:pt idx="87">
                  <c:v>41578</c:v>
                </c:pt>
                <c:pt idx="88">
                  <c:v>41579</c:v>
                </c:pt>
                <c:pt idx="89">
                  <c:v>41582</c:v>
                </c:pt>
                <c:pt idx="90">
                  <c:v>41583</c:v>
                </c:pt>
                <c:pt idx="91">
                  <c:v>41584</c:v>
                </c:pt>
                <c:pt idx="92">
                  <c:v>41585</c:v>
                </c:pt>
                <c:pt idx="93">
                  <c:v>41586</c:v>
                </c:pt>
                <c:pt idx="94">
                  <c:v>41589</c:v>
                </c:pt>
                <c:pt idx="95">
                  <c:v>41590</c:v>
                </c:pt>
                <c:pt idx="96">
                  <c:v>41591</c:v>
                </c:pt>
                <c:pt idx="97">
                  <c:v>41592</c:v>
                </c:pt>
                <c:pt idx="98">
                  <c:v>41596</c:v>
                </c:pt>
                <c:pt idx="99">
                  <c:v>41597</c:v>
                </c:pt>
                <c:pt idx="100">
                  <c:v>41599</c:v>
                </c:pt>
                <c:pt idx="101">
                  <c:v>41600</c:v>
                </c:pt>
                <c:pt idx="102">
                  <c:v>41603</c:v>
                </c:pt>
                <c:pt idx="103">
                  <c:v>41604</c:v>
                </c:pt>
                <c:pt idx="104">
                  <c:v>41605</c:v>
                </c:pt>
                <c:pt idx="105">
                  <c:v>41606</c:v>
                </c:pt>
                <c:pt idx="106">
                  <c:v>41607</c:v>
                </c:pt>
                <c:pt idx="107">
                  <c:v>41610</c:v>
                </c:pt>
                <c:pt idx="108">
                  <c:v>41611</c:v>
                </c:pt>
                <c:pt idx="109">
                  <c:v>41612</c:v>
                </c:pt>
                <c:pt idx="110">
                  <c:v>41613</c:v>
                </c:pt>
                <c:pt idx="111">
                  <c:v>41614</c:v>
                </c:pt>
                <c:pt idx="112">
                  <c:v>41617</c:v>
                </c:pt>
                <c:pt idx="113">
                  <c:v>41618</c:v>
                </c:pt>
                <c:pt idx="114">
                  <c:v>41619</c:v>
                </c:pt>
                <c:pt idx="115">
                  <c:v>41620</c:v>
                </c:pt>
                <c:pt idx="116">
                  <c:v>41621</c:v>
                </c:pt>
                <c:pt idx="117">
                  <c:v>41624</c:v>
                </c:pt>
                <c:pt idx="118">
                  <c:v>41625</c:v>
                </c:pt>
                <c:pt idx="119">
                  <c:v>41626</c:v>
                </c:pt>
                <c:pt idx="120">
                  <c:v>41627</c:v>
                </c:pt>
                <c:pt idx="121">
                  <c:v>41628</c:v>
                </c:pt>
                <c:pt idx="122">
                  <c:v>41631</c:v>
                </c:pt>
                <c:pt idx="123">
                  <c:v>41634</c:v>
                </c:pt>
                <c:pt idx="124">
                  <c:v>41635</c:v>
                </c:pt>
                <c:pt idx="125">
                  <c:v>41638</c:v>
                </c:pt>
                <c:pt idx="126">
                  <c:v>41641</c:v>
                </c:pt>
                <c:pt idx="127">
                  <c:v>41642</c:v>
                </c:pt>
                <c:pt idx="128">
                  <c:v>41645</c:v>
                </c:pt>
                <c:pt idx="129">
                  <c:v>41646</c:v>
                </c:pt>
                <c:pt idx="130">
                  <c:v>41647</c:v>
                </c:pt>
                <c:pt idx="131">
                  <c:v>41648</c:v>
                </c:pt>
                <c:pt idx="132">
                  <c:v>41649</c:v>
                </c:pt>
                <c:pt idx="133">
                  <c:v>41652</c:v>
                </c:pt>
                <c:pt idx="134">
                  <c:v>41653</c:v>
                </c:pt>
                <c:pt idx="135">
                  <c:v>41654</c:v>
                </c:pt>
                <c:pt idx="136">
                  <c:v>41655</c:v>
                </c:pt>
                <c:pt idx="137">
                  <c:v>41656</c:v>
                </c:pt>
                <c:pt idx="138">
                  <c:v>41659</c:v>
                </c:pt>
                <c:pt idx="139">
                  <c:v>41660</c:v>
                </c:pt>
                <c:pt idx="140">
                  <c:v>41661</c:v>
                </c:pt>
                <c:pt idx="141">
                  <c:v>41662</c:v>
                </c:pt>
                <c:pt idx="142">
                  <c:v>41663</c:v>
                </c:pt>
                <c:pt idx="143">
                  <c:v>41666</c:v>
                </c:pt>
                <c:pt idx="144">
                  <c:v>41667</c:v>
                </c:pt>
                <c:pt idx="145">
                  <c:v>41668</c:v>
                </c:pt>
                <c:pt idx="146">
                  <c:v>41669</c:v>
                </c:pt>
                <c:pt idx="147">
                  <c:v>41670</c:v>
                </c:pt>
                <c:pt idx="148">
                  <c:v>41673</c:v>
                </c:pt>
                <c:pt idx="149">
                  <c:v>41674</c:v>
                </c:pt>
                <c:pt idx="150">
                  <c:v>41675</c:v>
                </c:pt>
                <c:pt idx="151">
                  <c:v>41676</c:v>
                </c:pt>
                <c:pt idx="152">
                  <c:v>41677</c:v>
                </c:pt>
                <c:pt idx="153">
                  <c:v>41680</c:v>
                </c:pt>
                <c:pt idx="154">
                  <c:v>41681</c:v>
                </c:pt>
                <c:pt idx="155">
                  <c:v>41682</c:v>
                </c:pt>
                <c:pt idx="156">
                  <c:v>41683</c:v>
                </c:pt>
                <c:pt idx="157">
                  <c:v>41684</c:v>
                </c:pt>
                <c:pt idx="158">
                  <c:v>41687</c:v>
                </c:pt>
                <c:pt idx="159">
                  <c:v>41688</c:v>
                </c:pt>
                <c:pt idx="160">
                  <c:v>41689</c:v>
                </c:pt>
                <c:pt idx="161">
                  <c:v>41690</c:v>
                </c:pt>
                <c:pt idx="162">
                  <c:v>41691</c:v>
                </c:pt>
                <c:pt idx="163">
                  <c:v>41694</c:v>
                </c:pt>
                <c:pt idx="164">
                  <c:v>41695</c:v>
                </c:pt>
                <c:pt idx="165">
                  <c:v>41696</c:v>
                </c:pt>
                <c:pt idx="166">
                  <c:v>41697</c:v>
                </c:pt>
                <c:pt idx="167">
                  <c:v>41698</c:v>
                </c:pt>
                <c:pt idx="168">
                  <c:v>41703</c:v>
                </c:pt>
                <c:pt idx="169">
                  <c:v>41704</c:v>
                </c:pt>
                <c:pt idx="170">
                  <c:v>41705</c:v>
                </c:pt>
                <c:pt idx="171">
                  <c:v>41708</c:v>
                </c:pt>
                <c:pt idx="172">
                  <c:v>41709</c:v>
                </c:pt>
                <c:pt idx="173">
                  <c:v>41710</c:v>
                </c:pt>
                <c:pt idx="174">
                  <c:v>41711</c:v>
                </c:pt>
                <c:pt idx="175">
                  <c:v>41712</c:v>
                </c:pt>
                <c:pt idx="176">
                  <c:v>41715</c:v>
                </c:pt>
                <c:pt idx="177">
                  <c:v>41716</c:v>
                </c:pt>
                <c:pt idx="178">
                  <c:v>41717</c:v>
                </c:pt>
                <c:pt idx="179">
                  <c:v>41718</c:v>
                </c:pt>
                <c:pt idx="180">
                  <c:v>41719</c:v>
                </c:pt>
                <c:pt idx="181">
                  <c:v>41722</c:v>
                </c:pt>
                <c:pt idx="182">
                  <c:v>41723</c:v>
                </c:pt>
                <c:pt idx="183">
                  <c:v>41724</c:v>
                </c:pt>
                <c:pt idx="184">
                  <c:v>41725</c:v>
                </c:pt>
                <c:pt idx="185">
                  <c:v>41726</c:v>
                </c:pt>
                <c:pt idx="186">
                  <c:v>41729</c:v>
                </c:pt>
                <c:pt idx="187">
                  <c:v>41730</c:v>
                </c:pt>
                <c:pt idx="188">
                  <c:v>41731</c:v>
                </c:pt>
                <c:pt idx="189">
                  <c:v>41732</c:v>
                </c:pt>
                <c:pt idx="190">
                  <c:v>41733</c:v>
                </c:pt>
                <c:pt idx="191">
                  <c:v>41736</c:v>
                </c:pt>
                <c:pt idx="192">
                  <c:v>41737</c:v>
                </c:pt>
                <c:pt idx="193">
                  <c:v>41738</c:v>
                </c:pt>
                <c:pt idx="194">
                  <c:v>41739</c:v>
                </c:pt>
                <c:pt idx="195">
                  <c:v>41740</c:v>
                </c:pt>
                <c:pt idx="196">
                  <c:v>41743</c:v>
                </c:pt>
                <c:pt idx="197">
                  <c:v>41744</c:v>
                </c:pt>
                <c:pt idx="198">
                  <c:v>41745</c:v>
                </c:pt>
                <c:pt idx="199">
                  <c:v>41746</c:v>
                </c:pt>
                <c:pt idx="200">
                  <c:v>41751</c:v>
                </c:pt>
                <c:pt idx="201">
                  <c:v>41752</c:v>
                </c:pt>
                <c:pt idx="202">
                  <c:v>41753</c:v>
                </c:pt>
                <c:pt idx="203">
                  <c:v>41754</c:v>
                </c:pt>
                <c:pt idx="204">
                  <c:v>41757</c:v>
                </c:pt>
                <c:pt idx="205">
                  <c:v>41758</c:v>
                </c:pt>
                <c:pt idx="206">
                  <c:v>41759</c:v>
                </c:pt>
                <c:pt idx="207">
                  <c:v>41761</c:v>
                </c:pt>
                <c:pt idx="208">
                  <c:v>41764</c:v>
                </c:pt>
                <c:pt idx="209">
                  <c:v>41765</c:v>
                </c:pt>
                <c:pt idx="210">
                  <c:v>41766</c:v>
                </c:pt>
                <c:pt idx="211">
                  <c:v>41767</c:v>
                </c:pt>
                <c:pt idx="212">
                  <c:v>41768</c:v>
                </c:pt>
                <c:pt idx="213">
                  <c:v>41771</c:v>
                </c:pt>
                <c:pt idx="214">
                  <c:v>41772</c:v>
                </c:pt>
                <c:pt idx="215">
                  <c:v>41773</c:v>
                </c:pt>
                <c:pt idx="216">
                  <c:v>41774</c:v>
                </c:pt>
                <c:pt idx="217">
                  <c:v>41775</c:v>
                </c:pt>
                <c:pt idx="218">
                  <c:v>41778</c:v>
                </c:pt>
                <c:pt idx="219">
                  <c:v>41779</c:v>
                </c:pt>
                <c:pt idx="220">
                  <c:v>41780</c:v>
                </c:pt>
                <c:pt idx="221">
                  <c:v>41781</c:v>
                </c:pt>
                <c:pt idx="222">
                  <c:v>41782</c:v>
                </c:pt>
                <c:pt idx="223">
                  <c:v>41785</c:v>
                </c:pt>
                <c:pt idx="224">
                  <c:v>41786</c:v>
                </c:pt>
                <c:pt idx="225">
                  <c:v>41787</c:v>
                </c:pt>
                <c:pt idx="226">
                  <c:v>41788</c:v>
                </c:pt>
                <c:pt idx="227">
                  <c:v>41789</c:v>
                </c:pt>
                <c:pt idx="228">
                  <c:v>41792</c:v>
                </c:pt>
                <c:pt idx="229">
                  <c:v>41793</c:v>
                </c:pt>
                <c:pt idx="230">
                  <c:v>41794</c:v>
                </c:pt>
                <c:pt idx="231">
                  <c:v>41795</c:v>
                </c:pt>
                <c:pt idx="232">
                  <c:v>41796</c:v>
                </c:pt>
                <c:pt idx="233">
                  <c:v>41799</c:v>
                </c:pt>
                <c:pt idx="234">
                  <c:v>41800</c:v>
                </c:pt>
                <c:pt idx="235">
                  <c:v>41801</c:v>
                </c:pt>
                <c:pt idx="236">
                  <c:v>41803</c:v>
                </c:pt>
                <c:pt idx="237">
                  <c:v>41806</c:v>
                </c:pt>
                <c:pt idx="238">
                  <c:v>41807</c:v>
                </c:pt>
                <c:pt idx="239">
                  <c:v>41808</c:v>
                </c:pt>
                <c:pt idx="240">
                  <c:v>41810</c:v>
                </c:pt>
                <c:pt idx="241">
                  <c:v>41813</c:v>
                </c:pt>
                <c:pt idx="242">
                  <c:v>41814</c:v>
                </c:pt>
                <c:pt idx="243">
                  <c:v>41815</c:v>
                </c:pt>
                <c:pt idx="244">
                  <c:v>41816</c:v>
                </c:pt>
                <c:pt idx="245">
                  <c:v>41817</c:v>
                </c:pt>
                <c:pt idx="246">
                  <c:v>41820</c:v>
                </c:pt>
              </c:numCache>
            </c:numRef>
          </c:cat>
          <c:val>
            <c:numRef>
              <c:f>'ações (2)'!$P$3:$P$249</c:f>
              <c:numCache>
                <c:formatCode>0</c:formatCode>
                <c:ptCount val="247"/>
                <c:pt idx="0" formatCode="0.00">
                  <c:v>100</c:v>
                </c:pt>
                <c:pt idx="1">
                  <c:v>101.59010600706715</c:v>
                </c:pt>
                <c:pt idx="2">
                  <c:v>137.80918727915198</c:v>
                </c:pt>
                <c:pt idx="3">
                  <c:v>136.04240282685515</c:v>
                </c:pt>
                <c:pt idx="4">
                  <c:v>136.04240282685515</c:v>
                </c:pt>
                <c:pt idx="5">
                  <c:v>129.50530035335692</c:v>
                </c:pt>
                <c:pt idx="6">
                  <c:v>129.50530035335692</c:v>
                </c:pt>
                <c:pt idx="7">
                  <c:v>129.50530035335692</c:v>
                </c:pt>
                <c:pt idx="8">
                  <c:v>129.50530035335692</c:v>
                </c:pt>
                <c:pt idx="9">
                  <c:v>137.80918727915198</c:v>
                </c:pt>
                <c:pt idx="10">
                  <c:v>122.96819787985869</c:v>
                </c:pt>
                <c:pt idx="11">
                  <c:v>122.96819787985869</c:v>
                </c:pt>
                <c:pt idx="12">
                  <c:v>124.55830388692584</c:v>
                </c:pt>
                <c:pt idx="13">
                  <c:v>127.91519434628979</c:v>
                </c:pt>
                <c:pt idx="14">
                  <c:v>137.80918727915198</c:v>
                </c:pt>
                <c:pt idx="15">
                  <c:v>131.27208480565375</c:v>
                </c:pt>
                <c:pt idx="16">
                  <c:v>131.27208480565375</c:v>
                </c:pt>
                <c:pt idx="17">
                  <c:v>114.84098939929332</c:v>
                </c:pt>
                <c:pt idx="18">
                  <c:v>116.43109540636046</c:v>
                </c:pt>
                <c:pt idx="19">
                  <c:v>114.84098939929332</c:v>
                </c:pt>
                <c:pt idx="20">
                  <c:v>106.53710247349825</c:v>
                </c:pt>
                <c:pt idx="21">
                  <c:v>98.409893992932894</c:v>
                </c:pt>
                <c:pt idx="22">
                  <c:v>98.409893992932894</c:v>
                </c:pt>
                <c:pt idx="23">
                  <c:v>96.819787985865759</c:v>
                </c:pt>
                <c:pt idx="24">
                  <c:v>98.409893992932908</c:v>
                </c:pt>
                <c:pt idx="25">
                  <c:v>98.409893992932908</c:v>
                </c:pt>
                <c:pt idx="26">
                  <c:v>95.05300353356894</c:v>
                </c:pt>
                <c:pt idx="27">
                  <c:v>93.462897526501806</c:v>
                </c:pt>
                <c:pt idx="28">
                  <c:v>95.05300353356894</c:v>
                </c:pt>
                <c:pt idx="29">
                  <c:v>96.819787985865759</c:v>
                </c:pt>
                <c:pt idx="30">
                  <c:v>95.05300353356894</c:v>
                </c:pt>
                <c:pt idx="31">
                  <c:v>96.819787985865759</c:v>
                </c:pt>
                <c:pt idx="32">
                  <c:v>96.819787985865759</c:v>
                </c:pt>
                <c:pt idx="33">
                  <c:v>95.05300353356894</c:v>
                </c:pt>
                <c:pt idx="34">
                  <c:v>95.05300353356894</c:v>
                </c:pt>
                <c:pt idx="35">
                  <c:v>95.05300353356894</c:v>
                </c:pt>
                <c:pt idx="36">
                  <c:v>95.05300353356894</c:v>
                </c:pt>
                <c:pt idx="37">
                  <c:v>95.05300353356894</c:v>
                </c:pt>
                <c:pt idx="38">
                  <c:v>95.05300353356894</c:v>
                </c:pt>
                <c:pt idx="39">
                  <c:v>88.515901060070703</c:v>
                </c:pt>
                <c:pt idx="40">
                  <c:v>88.515901060070703</c:v>
                </c:pt>
                <c:pt idx="41">
                  <c:v>90.106007067137838</c:v>
                </c:pt>
                <c:pt idx="42">
                  <c:v>88.515901060070689</c:v>
                </c:pt>
                <c:pt idx="43">
                  <c:v>88.515901060070689</c:v>
                </c:pt>
                <c:pt idx="44">
                  <c:v>88.515901060070689</c:v>
                </c:pt>
                <c:pt idx="45">
                  <c:v>88.515901060070689</c:v>
                </c:pt>
                <c:pt idx="46">
                  <c:v>86.925795053003554</c:v>
                </c:pt>
                <c:pt idx="47">
                  <c:v>86.925795053003554</c:v>
                </c:pt>
                <c:pt idx="48">
                  <c:v>86.925795053003554</c:v>
                </c:pt>
                <c:pt idx="49">
                  <c:v>86.925795053003554</c:v>
                </c:pt>
                <c:pt idx="50">
                  <c:v>86.925795053003554</c:v>
                </c:pt>
                <c:pt idx="51">
                  <c:v>86.925795053003554</c:v>
                </c:pt>
                <c:pt idx="52">
                  <c:v>85.335689045936419</c:v>
                </c:pt>
                <c:pt idx="53">
                  <c:v>86.925795053003554</c:v>
                </c:pt>
                <c:pt idx="54">
                  <c:v>93.462897526501791</c:v>
                </c:pt>
                <c:pt idx="55">
                  <c:v>93.462897526501791</c:v>
                </c:pt>
                <c:pt idx="56">
                  <c:v>90.106007067137838</c:v>
                </c:pt>
                <c:pt idx="57">
                  <c:v>91.872791519434656</c:v>
                </c:pt>
                <c:pt idx="58">
                  <c:v>86.925795053003554</c:v>
                </c:pt>
                <c:pt idx="59">
                  <c:v>86.925795053003554</c:v>
                </c:pt>
                <c:pt idx="60">
                  <c:v>86.925795053003554</c:v>
                </c:pt>
                <c:pt idx="61">
                  <c:v>91.872791519434642</c:v>
                </c:pt>
                <c:pt idx="62">
                  <c:v>90.106007067137824</c:v>
                </c:pt>
                <c:pt idx="63">
                  <c:v>91.872791519434642</c:v>
                </c:pt>
                <c:pt idx="64">
                  <c:v>91.872791519434642</c:v>
                </c:pt>
                <c:pt idx="65">
                  <c:v>91.872791519434642</c:v>
                </c:pt>
                <c:pt idx="66">
                  <c:v>90.106007067137824</c:v>
                </c:pt>
                <c:pt idx="67">
                  <c:v>90.106007067137824</c:v>
                </c:pt>
                <c:pt idx="68">
                  <c:v>90.106007067137824</c:v>
                </c:pt>
                <c:pt idx="69">
                  <c:v>88.515901060070675</c:v>
                </c:pt>
                <c:pt idx="70">
                  <c:v>88.515901060070675</c:v>
                </c:pt>
                <c:pt idx="71">
                  <c:v>86.92579505300354</c:v>
                </c:pt>
                <c:pt idx="72">
                  <c:v>86.92579505300354</c:v>
                </c:pt>
                <c:pt idx="73">
                  <c:v>86.92579505300354</c:v>
                </c:pt>
                <c:pt idx="74">
                  <c:v>88.515901060070675</c:v>
                </c:pt>
                <c:pt idx="75">
                  <c:v>88.515901060070675</c:v>
                </c:pt>
                <c:pt idx="76">
                  <c:v>90.10600706713781</c:v>
                </c:pt>
                <c:pt idx="77">
                  <c:v>93.462897526501777</c:v>
                </c:pt>
                <c:pt idx="78">
                  <c:v>95.053003533568912</c:v>
                </c:pt>
                <c:pt idx="79">
                  <c:v>91.872791519434642</c:v>
                </c:pt>
                <c:pt idx="80">
                  <c:v>93.462897526501777</c:v>
                </c:pt>
                <c:pt idx="81">
                  <c:v>86.925795053003526</c:v>
                </c:pt>
                <c:pt idx="82">
                  <c:v>90.10600706713781</c:v>
                </c:pt>
                <c:pt idx="83">
                  <c:v>88.515901060070661</c:v>
                </c:pt>
                <c:pt idx="84">
                  <c:v>86.925795053003526</c:v>
                </c:pt>
                <c:pt idx="85">
                  <c:v>93.462897526501763</c:v>
                </c:pt>
                <c:pt idx="86">
                  <c:v>91.872791519434614</c:v>
                </c:pt>
                <c:pt idx="87">
                  <c:v>88.515901060070661</c:v>
                </c:pt>
                <c:pt idx="88">
                  <c:v>90.106007067137796</c:v>
                </c:pt>
                <c:pt idx="89">
                  <c:v>90.106007067137796</c:v>
                </c:pt>
                <c:pt idx="90">
                  <c:v>90.106007067137796</c:v>
                </c:pt>
                <c:pt idx="91">
                  <c:v>91.872791519434614</c:v>
                </c:pt>
                <c:pt idx="92">
                  <c:v>91.872791519434614</c:v>
                </c:pt>
                <c:pt idx="93">
                  <c:v>91.872791519434614</c:v>
                </c:pt>
                <c:pt idx="94">
                  <c:v>93.462897526501749</c:v>
                </c:pt>
                <c:pt idx="95">
                  <c:v>93.462897526501749</c:v>
                </c:pt>
                <c:pt idx="96">
                  <c:v>93.462897526501749</c:v>
                </c:pt>
                <c:pt idx="97">
                  <c:v>91.8727915194346</c:v>
                </c:pt>
                <c:pt idx="98">
                  <c:v>101.59010600706709</c:v>
                </c:pt>
                <c:pt idx="99">
                  <c:v>106.53710247349818</c:v>
                </c:pt>
                <c:pt idx="100">
                  <c:v>104.94699646643105</c:v>
                </c:pt>
                <c:pt idx="101">
                  <c:v>109.89399293286213</c:v>
                </c:pt>
                <c:pt idx="102">
                  <c:v>103.3568904593639</c:v>
                </c:pt>
                <c:pt idx="103">
                  <c:v>103.3568904593639</c:v>
                </c:pt>
                <c:pt idx="104">
                  <c:v>103.3568904593639</c:v>
                </c:pt>
                <c:pt idx="105">
                  <c:v>104.94699646643103</c:v>
                </c:pt>
                <c:pt idx="106">
                  <c:v>108.30388692579498</c:v>
                </c:pt>
                <c:pt idx="107">
                  <c:v>101.59010600706706</c:v>
                </c:pt>
                <c:pt idx="108">
                  <c:v>104.94699646643102</c:v>
                </c:pt>
                <c:pt idx="109">
                  <c:v>104.94699646643102</c:v>
                </c:pt>
                <c:pt idx="110">
                  <c:v>106.53710247349815</c:v>
                </c:pt>
                <c:pt idx="111">
                  <c:v>108.30388692579496</c:v>
                </c:pt>
                <c:pt idx="112">
                  <c:v>108.30388692579496</c:v>
                </c:pt>
                <c:pt idx="113">
                  <c:v>106.53710247349814</c:v>
                </c:pt>
                <c:pt idx="114">
                  <c:v>109.89399293286209</c:v>
                </c:pt>
                <c:pt idx="115">
                  <c:v>113.07420494699636</c:v>
                </c:pt>
                <c:pt idx="116">
                  <c:v>109.89399293286208</c:v>
                </c:pt>
                <c:pt idx="117">
                  <c:v>109.89399293286208</c:v>
                </c:pt>
                <c:pt idx="118">
                  <c:v>108.30388692579494</c:v>
                </c:pt>
                <c:pt idx="119">
                  <c:v>109.89399293286208</c:v>
                </c:pt>
                <c:pt idx="120">
                  <c:v>104.94699646643099</c:v>
                </c:pt>
                <c:pt idx="121">
                  <c:v>108.30388692579494</c:v>
                </c:pt>
                <c:pt idx="122">
                  <c:v>111.48409893992923</c:v>
                </c:pt>
                <c:pt idx="123">
                  <c:v>109.89399293286209</c:v>
                </c:pt>
                <c:pt idx="124">
                  <c:v>111.48409893992923</c:v>
                </c:pt>
                <c:pt idx="125">
                  <c:v>109.89399293286209</c:v>
                </c:pt>
                <c:pt idx="126">
                  <c:v>108.30388692579496</c:v>
                </c:pt>
                <c:pt idx="127">
                  <c:v>106.53710247349814</c:v>
                </c:pt>
                <c:pt idx="128">
                  <c:v>101.59010600706705</c:v>
                </c:pt>
                <c:pt idx="129">
                  <c:v>103.35689045936388</c:v>
                </c:pt>
                <c:pt idx="130">
                  <c:v>101.59010600706706</c:v>
                </c:pt>
                <c:pt idx="131">
                  <c:v>104.94699646643102</c:v>
                </c:pt>
                <c:pt idx="132">
                  <c:v>101.59010600706706</c:v>
                </c:pt>
                <c:pt idx="133">
                  <c:v>101.59010600706706</c:v>
                </c:pt>
                <c:pt idx="134">
                  <c:v>99.999999999999929</c:v>
                </c:pt>
                <c:pt idx="135">
                  <c:v>99.999999999999929</c:v>
                </c:pt>
                <c:pt idx="136">
                  <c:v>99.999999999999929</c:v>
                </c:pt>
                <c:pt idx="137">
                  <c:v>99.999999999999929</c:v>
                </c:pt>
                <c:pt idx="138">
                  <c:v>99.999999999999929</c:v>
                </c:pt>
                <c:pt idx="139">
                  <c:v>98.409893992932808</c:v>
                </c:pt>
                <c:pt idx="140">
                  <c:v>99.999999999999929</c:v>
                </c:pt>
                <c:pt idx="141">
                  <c:v>99.999999999999929</c:v>
                </c:pt>
                <c:pt idx="142">
                  <c:v>99.999999999999929</c:v>
                </c:pt>
                <c:pt idx="143">
                  <c:v>103.35689045936388</c:v>
                </c:pt>
                <c:pt idx="144">
                  <c:v>103.35689045936388</c:v>
                </c:pt>
                <c:pt idx="145">
                  <c:v>103.35689045936388</c:v>
                </c:pt>
                <c:pt idx="146">
                  <c:v>98.409893992932808</c:v>
                </c:pt>
                <c:pt idx="147">
                  <c:v>103.35689045936388</c:v>
                </c:pt>
                <c:pt idx="148">
                  <c:v>103.35689045936388</c:v>
                </c:pt>
                <c:pt idx="149">
                  <c:v>104.94699646643102</c:v>
                </c:pt>
                <c:pt idx="150">
                  <c:v>104.94699646643102</c:v>
                </c:pt>
                <c:pt idx="151">
                  <c:v>104.94699646643102</c:v>
                </c:pt>
                <c:pt idx="152">
                  <c:v>103.35689045936388</c:v>
                </c:pt>
                <c:pt idx="153">
                  <c:v>108.30388692579498</c:v>
                </c:pt>
                <c:pt idx="154">
                  <c:v>106.53710247349815</c:v>
                </c:pt>
                <c:pt idx="155">
                  <c:v>104.94699646643102</c:v>
                </c:pt>
                <c:pt idx="156">
                  <c:v>104.94699646643102</c:v>
                </c:pt>
                <c:pt idx="157">
                  <c:v>101.59010600706706</c:v>
                </c:pt>
                <c:pt idx="158">
                  <c:v>106.53710247349815</c:v>
                </c:pt>
                <c:pt idx="159">
                  <c:v>108.30388692579496</c:v>
                </c:pt>
                <c:pt idx="160">
                  <c:v>109.89399293286209</c:v>
                </c:pt>
                <c:pt idx="161">
                  <c:v>99.999999999999901</c:v>
                </c:pt>
                <c:pt idx="162">
                  <c:v>104.946996466431</c:v>
                </c:pt>
                <c:pt idx="163">
                  <c:v>103.35689045936387</c:v>
                </c:pt>
                <c:pt idx="164">
                  <c:v>101.59010600706705</c:v>
                </c:pt>
                <c:pt idx="165">
                  <c:v>104.946996466431</c:v>
                </c:pt>
                <c:pt idx="166">
                  <c:v>99.999999999999915</c:v>
                </c:pt>
                <c:pt idx="167">
                  <c:v>103.35689045936387</c:v>
                </c:pt>
                <c:pt idx="168">
                  <c:v>101.59010600706705</c:v>
                </c:pt>
                <c:pt idx="169">
                  <c:v>106.53710247349814</c:v>
                </c:pt>
                <c:pt idx="170">
                  <c:v>104.946996466431</c:v>
                </c:pt>
                <c:pt idx="171">
                  <c:v>103.35689045936387</c:v>
                </c:pt>
                <c:pt idx="172">
                  <c:v>103.35689045936387</c:v>
                </c:pt>
                <c:pt idx="173">
                  <c:v>104.946996466431</c:v>
                </c:pt>
                <c:pt idx="174">
                  <c:v>104.946996466431</c:v>
                </c:pt>
                <c:pt idx="175">
                  <c:v>104.946996466431</c:v>
                </c:pt>
                <c:pt idx="176">
                  <c:v>104.946996466431</c:v>
                </c:pt>
                <c:pt idx="177">
                  <c:v>104.946996466431</c:v>
                </c:pt>
                <c:pt idx="178">
                  <c:v>103.35689045936387</c:v>
                </c:pt>
                <c:pt idx="179">
                  <c:v>104.946996466431</c:v>
                </c:pt>
                <c:pt idx="180">
                  <c:v>104.946996466431</c:v>
                </c:pt>
                <c:pt idx="181">
                  <c:v>104.946996466431</c:v>
                </c:pt>
                <c:pt idx="182">
                  <c:v>104.24028268551228</c:v>
                </c:pt>
                <c:pt idx="183">
                  <c:v>106.0070671378091</c:v>
                </c:pt>
                <c:pt idx="184">
                  <c:v>100.70671378091865</c:v>
                </c:pt>
                <c:pt idx="185">
                  <c:v>104.2402826855123</c:v>
                </c:pt>
                <c:pt idx="186">
                  <c:v>109.54063604240277</c:v>
                </c:pt>
                <c:pt idx="187">
                  <c:v>109.54063604240277</c:v>
                </c:pt>
                <c:pt idx="188">
                  <c:v>111.30742049469958</c:v>
                </c:pt>
                <c:pt idx="189">
                  <c:v>111.30742049469958</c:v>
                </c:pt>
                <c:pt idx="190">
                  <c:v>113.0742049469964</c:v>
                </c:pt>
                <c:pt idx="191">
                  <c:v>114.84098939929322</c:v>
                </c:pt>
                <c:pt idx="192">
                  <c:v>114.84098939929322</c:v>
                </c:pt>
                <c:pt idx="193">
                  <c:v>123.67491166077731</c:v>
                </c:pt>
                <c:pt idx="194">
                  <c:v>128.97526501766777</c:v>
                </c:pt>
                <c:pt idx="195">
                  <c:v>127.20848056537093</c:v>
                </c:pt>
                <c:pt idx="196">
                  <c:v>121.90812720848047</c:v>
                </c:pt>
                <c:pt idx="197">
                  <c:v>120.14134275618366</c:v>
                </c:pt>
                <c:pt idx="198">
                  <c:v>123.67491166077728</c:v>
                </c:pt>
                <c:pt idx="199">
                  <c:v>120.14134275618366</c:v>
                </c:pt>
                <c:pt idx="200">
                  <c:v>109.54063604240275</c:v>
                </c:pt>
                <c:pt idx="201">
                  <c:v>111.30742049469957</c:v>
                </c:pt>
                <c:pt idx="202">
                  <c:v>106.0070671378091</c:v>
                </c:pt>
                <c:pt idx="203">
                  <c:v>111.30742049469956</c:v>
                </c:pt>
                <c:pt idx="204">
                  <c:v>109.54063604240274</c:v>
                </c:pt>
                <c:pt idx="205">
                  <c:v>104.24028268551227</c:v>
                </c:pt>
                <c:pt idx="206">
                  <c:v>106.00706713780909</c:v>
                </c:pt>
                <c:pt idx="207">
                  <c:v>106.00706713780909</c:v>
                </c:pt>
                <c:pt idx="208">
                  <c:v>106.00706713780909</c:v>
                </c:pt>
                <c:pt idx="209">
                  <c:v>107.77385159010591</c:v>
                </c:pt>
                <c:pt idx="210">
                  <c:v>107.77385159010591</c:v>
                </c:pt>
                <c:pt idx="211">
                  <c:v>107.77385159010591</c:v>
                </c:pt>
                <c:pt idx="212">
                  <c:v>106.00706713780909</c:v>
                </c:pt>
                <c:pt idx="213">
                  <c:v>106.00706713780909</c:v>
                </c:pt>
                <c:pt idx="214">
                  <c:v>106.00706713780909</c:v>
                </c:pt>
                <c:pt idx="215">
                  <c:v>106.00706713780909</c:v>
                </c:pt>
                <c:pt idx="216">
                  <c:v>104.24028268551227</c:v>
                </c:pt>
                <c:pt idx="217">
                  <c:v>104.24028268551227</c:v>
                </c:pt>
                <c:pt idx="218">
                  <c:v>106.00706713780909</c:v>
                </c:pt>
                <c:pt idx="219">
                  <c:v>102.47349823321545</c:v>
                </c:pt>
                <c:pt idx="220">
                  <c:v>104.24028268551226</c:v>
                </c:pt>
                <c:pt idx="221">
                  <c:v>104.24028268551226</c:v>
                </c:pt>
                <c:pt idx="222">
                  <c:v>123.67491166077724</c:v>
                </c:pt>
                <c:pt idx="223">
                  <c:v>123.67491166077724</c:v>
                </c:pt>
                <c:pt idx="224">
                  <c:v>120.14134275618362</c:v>
                </c:pt>
                <c:pt idx="225">
                  <c:v>109.54063604240271</c:v>
                </c:pt>
                <c:pt idx="226">
                  <c:v>111.30742049469953</c:v>
                </c:pt>
                <c:pt idx="227">
                  <c:v>106.00706713780907</c:v>
                </c:pt>
                <c:pt idx="228">
                  <c:v>111.30742049469953</c:v>
                </c:pt>
                <c:pt idx="229">
                  <c:v>109.54063604240271</c:v>
                </c:pt>
                <c:pt idx="230">
                  <c:v>104.24028268551226</c:v>
                </c:pt>
                <c:pt idx="231">
                  <c:v>106.00706713780907</c:v>
                </c:pt>
                <c:pt idx="232">
                  <c:v>106.00706713780907</c:v>
                </c:pt>
                <c:pt idx="233">
                  <c:v>106.00706713780907</c:v>
                </c:pt>
                <c:pt idx="234">
                  <c:v>107.77385159010589</c:v>
                </c:pt>
                <c:pt idx="235">
                  <c:v>107.77385159010589</c:v>
                </c:pt>
                <c:pt idx="236">
                  <c:v>107.77385159010589</c:v>
                </c:pt>
                <c:pt idx="237">
                  <c:v>106.00706713780907</c:v>
                </c:pt>
                <c:pt idx="238">
                  <c:v>106.00706713780907</c:v>
                </c:pt>
                <c:pt idx="239">
                  <c:v>106.00706713780907</c:v>
                </c:pt>
                <c:pt idx="240">
                  <c:v>106.00706713780907</c:v>
                </c:pt>
                <c:pt idx="241">
                  <c:v>104.24028268551226</c:v>
                </c:pt>
                <c:pt idx="242">
                  <c:v>104.24028268551226</c:v>
                </c:pt>
                <c:pt idx="243">
                  <c:v>106.00706713780907</c:v>
                </c:pt>
                <c:pt idx="244">
                  <c:v>102.47349823321544</c:v>
                </c:pt>
                <c:pt idx="245">
                  <c:v>104.24028268551224</c:v>
                </c:pt>
                <c:pt idx="246">
                  <c:v>104.24028268551224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BC-45AC-A47A-7C9165BE4819}"/>
            </c:ext>
          </c:extLst>
        </c:ser>
        <c:ser>
          <c:idx val="3"/>
          <c:order val="3"/>
          <c:tx>
            <c:strRef>
              <c:f>'ações (2)'!$Q$2</c:f>
              <c:strCache>
                <c:ptCount val="1"/>
                <c:pt idx="0">
                  <c:v>IBOV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dLbls>
            <c:dLbl>
              <c:idx val="245"/>
              <c:layout>
                <c:manualLayout>
                  <c:x val="1.3095238095238096E-2"/>
                  <c:y val="1.0996347106096274E-2"/>
                </c:manualLayout>
              </c:layout>
              <c:spPr/>
              <c:txPr>
                <a:bodyPr/>
                <a:lstStyle/>
                <a:p>
                  <a:pPr>
                    <a:defRPr sz="1200" b="1"/>
                  </a:pPr>
                  <a:endParaRPr lang="pt-BR"/>
                </a:p>
              </c:txPr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BC-45AC-A47A-7C9165BE481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'ações (2)'!$M$3:$M$249</c:f>
              <c:numCache>
                <c:formatCode>[$-416]mmm\-yy;@</c:formatCode>
                <c:ptCount val="247"/>
                <c:pt idx="0">
                  <c:v>41456</c:v>
                </c:pt>
                <c:pt idx="1">
                  <c:v>41457</c:v>
                </c:pt>
                <c:pt idx="2">
                  <c:v>41458</c:v>
                </c:pt>
                <c:pt idx="3">
                  <c:v>41459</c:v>
                </c:pt>
                <c:pt idx="4">
                  <c:v>41460</c:v>
                </c:pt>
                <c:pt idx="5">
                  <c:v>41463</c:v>
                </c:pt>
                <c:pt idx="6">
                  <c:v>41465</c:v>
                </c:pt>
                <c:pt idx="7">
                  <c:v>41466</c:v>
                </c:pt>
                <c:pt idx="8">
                  <c:v>41467</c:v>
                </c:pt>
                <c:pt idx="9">
                  <c:v>41470</c:v>
                </c:pt>
                <c:pt idx="10">
                  <c:v>41471</c:v>
                </c:pt>
                <c:pt idx="11">
                  <c:v>41472</c:v>
                </c:pt>
                <c:pt idx="12">
                  <c:v>41473</c:v>
                </c:pt>
                <c:pt idx="13">
                  <c:v>41474</c:v>
                </c:pt>
                <c:pt idx="14">
                  <c:v>41477</c:v>
                </c:pt>
                <c:pt idx="15">
                  <c:v>41478</c:v>
                </c:pt>
                <c:pt idx="16">
                  <c:v>41479</c:v>
                </c:pt>
                <c:pt idx="17">
                  <c:v>41480</c:v>
                </c:pt>
                <c:pt idx="18">
                  <c:v>41481</c:v>
                </c:pt>
                <c:pt idx="19">
                  <c:v>41484</c:v>
                </c:pt>
                <c:pt idx="20">
                  <c:v>41485</c:v>
                </c:pt>
                <c:pt idx="21">
                  <c:v>41486</c:v>
                </c:pt>
                <c:pt idx="22">
                  <c:v>41487</c:v>
                </c:pt>
                <c:pt idx="23">
                  <c:v>41488</c:v>
                </c:pt>
                <c:pt idx="24">
                  <c:v>41491</c:v>
                </c:pt>
                <c:pt idx="25">
                  <c:v>41492</c:v>
                </c:pt>
                <c:pt idx="26">
                  <c:v>41493</c:v>
                </c:pt>
                <c:pt idx="27">
                  <c:v>41494</c:v>
                </c:pt>
                <c:pt idx="28">
                  <c:v>41495</c:v>
                </c:pt>
                <c:pt idx="29">
                  <c:v>41498</c:v>
                </c:pt>
                <c:pt idx="30">
                  <c:v>41499</c:v>
                </c:pt>
                <c:pt idx="31">
                  <c:v>41500</c:v>
                </c:pt>
                <c:pt idx="32">
                  <c:v>41501</c:v>
                </c:pt>
                <c:pt idx="33">
                  <c:v>41502</c:v>
                </c:pt>
                <c:pt idx="34">
                  <c:v>41505</c:v>
                </c:pt>
                <c:pt idx="35">
                  <c:v>41506</c:v>
                </c:pt>
                <c:pt idx="36">
                  <c:v>41507</c:v>
                </c:pt>
                <c:pt idx="37">
                  <c:v>41508</c:v>
                </c:pt>
                <c:pt idx="38">
                  <c:v>41509</c:v>
                </c:pt>
                <c:pt idx="39">
                  <c:v>41512</c:v>
                </c:pt>
                <c:pt idx="40">
                  <c:v>41513</c:v>
                </c:pt>
                <c:pt idx="41">
                  <c:v>41514</c:v>
                </c:pt>
                <c:pt idx="42">
                  <c:v>41515</c:v>
                </c:pt>
                <c:pt idx="43">
                  <c:v>41516</c:v>
                </c:pt>
                <c:pt idx="44">
                  <c:v>41519</c:v>
                </c:pt>
                <c:pt idx="45">
                  <c:v>41520</c:v>
                </c:pt>
                <c:pt idx="46">
                  <c:v>41521</c:v>
                </c:pt>
                <c:pt idx="47">
                  <c:v>41522</c:v>
                </c:pt>
                <c:pt idx="48">
                  <c:v>41523</c:v>
                </c:pt>
                <c:pt idx="49">
                  <c:v>41526</c:v>
                </c:pt>
                <c:pt idx="50">
                  <c:v>41527</c:v>
                </c:pt>
                <c:pt idx="51">
                  <c:v>41528</c:v>
                </c:pt>
                <c:pt idx="52">
                  <c:v>41529</c:v>
                </c:pt>
                <c:pt idx="53">
                  <c:v>41530</c:v>
                </c:pt>
                <c:pt idx="54">
                  <c:v>41533</c:v>
                </c:pt>
                <c:pt idx="55">
                  <c:v>41534</c:v>
                </c:pt>
                <c:pt idx="56">
                  <c:v>41535</c:v>
                </c:pt>
                <c:pt idx="57">
                  <c:v>41536</c:v>
                </c:pt>
                <c:pt idx="58">
                  <c:v>41537</c:v>
                </c:pt>
                <c:pt idx="59">
                  <c:v>41540</c:v>
                </c:pt>
                <c:pt idx="60">
                  <c:v>41541</c:v>
                </c:pt>
                <c:pt idx="61">
                  <c:v>41542</c:v>
                </c:pt>
                <c:pt idx="62">
                  <c:v>41543</c:v>
                </c:pt>
                <c:pt idx="63">
                  <c:v>41544</c:v>
                </c:pt>
                <c:pt idx="64">
                  <c:v>41547</c:v>
                </c:pt>
                <c:pt idx="65">
                  <c:v>41548</c:v>
                </c:pt>
                <c:pt idx="66">
                  <c:v>41549</c:v>
                </c:pt>
                <c:pt idx="67">
                  <c:v>41550</c:v>
                </c:pt>
                <c:pt idx="68">
                  <c:v>41551</c:v>
                </c:pt>
                <c:pt idx="69">
                  <c:v>41554</c:v>
                </c:pt>
                <c:pt idx="70">
                  <c:v>41555</c:v>
                </c:pt>
                <c:pt idx="71">
                  <c:v>41556</c:v>
                </c:pt>
                <c:pt idx="72">
                  <c:v>41557</c:v>
                </c:pt>
                <c:pt idx="73">
                  <c:v>41558</c:v>
                </c:pt>
                <c:pt idx="74">
                  <c:v>41561</c:v>
                </c:pt>
                <c:pt idx="75">
                  <c:v>41562</c:v>
                </c:pt>
                <c:pt idx="76">
                  <c:v>41563</c:v>
                </c:pt>
                <c:pt idx="77">
                  <c:v>41564</c:v>
                </c:pt>
                <c:pt idx="78">
                  <c:v>41565</c:v>
                </c:pt>
                <c:pt idx="79">
                  <c:v>41568</c:v>
                </c:pt>
                <c:pt idx="80">
                  <c:v>41569</c:v>
                </c:pt>
                <c:pt idx="81">
                  <c:v>41570</c:v>
                </c:pt>
                <c:pt idx="82">
                  <c:v>41571</c:v>
                </c:pt>
                <c:pt idx="83">
                  <c:v>41572</c:v>
                </c:pt>
                <c:pt idx="84">
                  <c:v>41575</c:v>
                </c:pt>
                <c:pt idx="85">
                  <c:v>41576</c:v>
                </c:pt>
                <c:pt idx="86">
                  <c:v>41577</c:v>
                </c:pt>
                <c:pt idx="87">
                  <c:v>41578</c:v>
                </c:pt>
                <c:pt idx="88">
                  <c:v>41579</c:v>
                </c:pt>
                <c:pt idx="89">
                  <c:v>41582</c:v>
                </c:pt>
                <c:pt idx="90">
                  <c:v>41583</c:v>
                </c:pt>
                <c:pt idx="91">
                  <c:v>41584</c:v>
                </c:pt>
                <c:pt idx="92">
                  <c:v>41585</c:v>
                </c:pt>
                <c:pt idx="93">
                  <c:v>41586</c:v>
                </c:pt>
                <c:pt idx="94">
                  <c:v>41589</c:v>
                </c:pt>
                <c:pt idx="95">
                  <c:v>41590</c:v>
                </c:pt>
                <c:pt idx="96">
                  <c:v>41591</c:v>
                </c:pt>
                <c:pt idx="97">
                  <c:v>41592</c:v>
                </c:pt>
                <c:pt idx="98">
                  <c:v>41596</c:v>
                </c:pt>
                <c:pt idx="99">
                  <c:v>41597</c:v>
                </c:pt>
                <c:pt idx="100">
                  <c:v>41599</c:v>
                </c:pt>
                <c:pt idx="101">
                  <c:v>41600</c:v>
                </c:pt>
                <c:pt idx="102">
                  <c:v>41603</c:v>
                </c:pt>
                <c:pt idx="103">
                  <c:v>41604</c:v>
                </c:pt>
                <c:pt idx="104">
                  <c:v>41605</c:v>
                </c:pt>
                <c:pt idx="105">
                  <c:v>41606</c:v>
                </c:pt>
                <c:pt idx="106">
                  <c:v>41607</c:v>
                </c:pt>
                <c:pt idx="107">
                  <c:v>41610</c:v>
                </c:pt>
                <c:pt idx="108">
                  <c:v>41611</c:v>
                </c:pt>
                <c:pt idx="109">
                  <c:v>41612</c:v>
                </c:pt>
                <c:pt idx="110">
                  <c:v>41613</c:v>
                </c:pt>
                <c:pt idx="111">
                  <c:v>41614</c:v>
                </c:pt>
                <c:pt idx="112">
                  <c:v>41617</c:v>
                </c:pt>
                <c:pt idx="113">
                  <c:v>41618</c:v>
                </c:pt>
                <c:pt idx="114">
                  <c:v>41619</c:v>
                </c:pt>
                <c:pt idx="115">
                  <c:v>41620</c:v>
                </c:pt>
                <c:pt idx="116">
                  <c:v>41621</c:v>
                </c:pt>
                <c:pt idx="117">
                  <c:v>41624</c:v>
                </c:pt>
                <c:pt idx="118">
                  <c:v>41625</c:v>
                </c:pt>
                <c:pt idx="119">
                  <c:v>41626</c:v>
                </c:pt>
                <c:pt idx="120">
                  <c:v>41627</c:v>
                </c:pt>
                <c:pt idx="121">
                  <c:v>41628</c:v>
                </c:pt>
                <c:pt idx="122">
                  <c:v>41631</c:v>
                </c:pt>
                <c:pt idx="123">
                  <c:v>41634</c:v>
                </c:pt>
                <c:pt idx="124">
                  <c:v>41635</c:v>
                </c:pt>
                <c:pt idx="125">
                  <c:v>41638</c:v>
                </c:pt>
                <c:pt idx="126">
                  <c:v>41641</c:v>
                </c:pt>
                <c:pt idx="127">
                  <c:v>41642</c:v>
                </c:pt>
                <c:pt idx="128">
                  <c:v>41645</c:v>
                </c:pt>
                <c:pt idx="129">
                  <c:v>41646</c:v>
                </c:pt>
                <c:pt idx="130">
                  <c:v>41647</c:v>
                </c:pt>
                <c:pt idx="131">
                  <c:v>41648</c:v>
                </c:pt>
                <c:pt idx="132">
                  <c:v>41649</c:v>
                </c:pt>
                <c:pt idx="133">
                  <c:v>41652</c:v>
                </c:pt>
                <c:pt idx="134">
                  <c:v>41653</c:v>
                </c:pt>
                <c:pt idx="135">
                  <c:v>41654</c:v>
                </c:pt>
                <c:pt idx="136">
                  <c:v>41655</c:v>
                </c:pt>
                <c:pt idx="137">
                  <c:v>41656</c:v>
                </c:pt>
                <c:pt idx="138">
                  <c:v>41659</c:v>
                </c:pt>
                <c:pt idx="139">
                  <c:v>41660</c:v>
                </c:pt>
                <c:pt idx="140">
                  <c:v>41661</c:v>
                </c:pt>
                <c:pt idx="141">
                  <c:v>41662</c:v>
                </c:pt>
                <c:pt idx="142">
                  <c:v>41663</c:v>
                </c:pt>
                <c:pt idx="143">
                  <c:v>41666</c:v>
                </c:pt>
                <c:pt idx="144">
                  <c:v>41667</c:v>
                </c:pt>
                <c:pt idx="145">
                  <c:v>41668</c:v>
                </c:pt>
                <c:pt idx="146">
                  <c:v>41669</c:v>
                </c:pt>
                <c:pt idx="147">
                  <c:v>41670</c:v>
                </c:pt>
                <c:pt idx="148">
                  <c:v>41673</c:v>
                </c:pt>
                <c:pt idx="149">
                  <c:v>41674</c:v>
                </c:pt>
                <c:pt idx="150">
                  <c:v>41675</c:v>
                </c:pt>
                <c:pt idx="151">
                  <c:v>41676</c:v>
                </c:pt>
                <c:pt idx="152">
                  <c:v>41677</c:v>
                </c:pt>
                <c:pt idx="153">
                  <c:v>41680</c:v>
                </c:pt>
                <c:pt idx="154">
                  <c:v>41681</c:v>
                </c:pt>
                <c:pt idx="155">
                  <c:v>41682</c:v>
                </c:pt>
                <c:pt idx="156">
                  <c:v>41683</c:v>
                </c:pt>
                <c:pt idx="157">
                  <c:v>41684</c:v>
                </c:pt>
                <c:pt idx="158">
                  <c:v>41687</c:v>
                </c:pt>
                <c:pt idx="159">
                  <c:v>41688</c:v>
                </c:pt>
                <c:pt idx="160">
                  <c:v>41689</c:v>
                </c:pt>
                <c:pt idx="161">
                  <c:v>41690</c:v>
                </c:pt>
                <c:pt idx="162">
                  <c:v>41691</c:v>
                </c:pt>
                <c:pt idx="163">
                  <c:v>41694</c:v>
                </c:pt>
                <c:pt idx="164">
                  <c:v>41695</c:v>
                </c:pt>
                <c:pt idx="165">
                  <c:v>41696</c:v>
                </c:pt>
                <c:pt idx="166">
                  <c:v>41697</c:v>
                </c:pt>
                <c:pt idx="167">
                  <c:v>41698</c:v>
                </c:pt>
                <c:pt idx="168">
                  <c:v>41703</c:v>
                </c:pt>
                <c:pt idx="169">
                  <c:v>41704</c:v>
                </c:pt>
                <c:pt idx="170">
                  <c:v>41705</c:v>
                </c:pt>
                <c:pt idx="171">
                  <c:v>41708</c:v>
                </c:pt>
                <c:pt idx="172">
                  <c:v>41709</c:v>
                </c:pt>
                <c:pt idx="173">
                  <c:v>41710</c:v>
                </c:pt>
                <c:pt idx="174">
                  <c:v>41711</c:v>
                </c:pt>
                <c:pt idx="175">
                  <c:v>41712</c:v>
                </c:pt>
                <c:pt idx="176">
                  <c:v>41715</c:v>
                </c:pt>
                <c:pt idx="177">
                  <c:v>41716</c:v>
                </c:pt>
                <c:pt idx="178">
                  <c:v>41717</c:v>
                </c:pt>
                <c:pt idx="179">
                  <c:v>41718</c:v>
                </c:pt>
                <c:pt idx="180">
                  <c:v>41719</c:v>
                </c:pt>
                <c:pt idx="181">
                  <c:v>41722</c:v>
                </c:pt>
                <c:pt idx="182">
                  <c:v>41723</c:v>
                </c:pt>
                <c:pt idx="183">
                  <c:v>41724</c:v>
                </c:pt>
                <c:pt idx="184">
                  <c:v>41725</c:v>
                </c:pt>
                <c:pt idx="185">
                  <c:v>41726</c:v>
                </c:pt>
                <c:pt idx="186">
                  <c:v>41729</c:v>
                </c:pt>
                <c:pt idx="187">
                  <c:v>41730</c:v>
                </c:pt>
                <c:pt idx="188">
                  <c:v>41731</c:v>
                </c:pt>
                <c:pt idx="189">
                  <c:v>41732</c:v>
                </c:pt>
                <c:pt idx="190">
                  <c:v>41733</c:v>
                </c:pt>
                <c:pt idx="191">
                  <c:v>41736</c:v>
                </c:pt>
                <c:pt idx="192">
                  <c:v>41737</c:v>
                </c:pt>
                <c:pt idx="193">
                  <c:v>41738</c:v>
                </c:pt>
                <c:pt idx="194">
                  <c:v>41739</c:v>
                </c:pt>
                <c:pt idx="195">
                  <c:v>41740</c:v>
                </c:pt>
                <c:pt idx="196">
                  <c:v>41743</c:v>
                </c:pt>
                <c:pt idx="197">
                  <c:v>41744</c:v>
                </c:pt>
                <c:pt idx="198">
                  <c:v>41745</c:v>
                </c:pt>
                <c:pt idx="199">
                  <c:v>41746</c:v>
                </c:pt>
                <c:pt idx="200">
                  <c:v>41751</c:v>
                </c:pt>
                <c:pt idx="201">
                  <c:v>41752</c:v>
                </c:pt>
                <c:pt idx="202">
                  <c:v>41753</c:v>
                </c:pt>
                <c:pt idx="203">
                  <c:v>41754</c:v>
                </c:pt>
                <c:pt idx="204">
                  <c:v>41757</c:v>
                </c:pt>
                <c:pt idx="205">
                  <c:v>41758</c:v>
                </c:pt>
                <c:pt idx="206">
                  <c:v>41759</c:v>
                </c:pt>
                <c:pt idx="207">
                  <c:v>41761</c:v>
                </c:pt>
                <c:pt idx="208">
                  <c:v>41764</c:v>
                </c:pt>
                <c:pt idx="209">
                  <c:v>41765</c:v>
                </c:pt>
                <c:pt idx="210">
                  <c:v>41766</c:v>
                </c:pt>
                <c:pt idx="211">
                  <c:v>41767</c:v>
                </c:pt>
                <c:pt idx="212">
                  <c:v>41768</c:v>
                </c:pt>
                <c:pt idx="213">
                  <c:v>41771</c:v>
                </c:pt>
                <c:pt idx="214">
                  <c:v>41772</c:v>
                </c:pt>
                <c:pt idx="215">
                  <c:v>41773</c:v>
                </c:pt>
                <c:pt idx="216">
                  <c:v>41774</c:v>
                </c:pt>
                <c:pt idx="217">
                  <c:v>41775</c:v>
                </c:pt>
                <c:pt idx="218">
                  <c:v>41778</c:v>
                </c:pt>
                <c:pt idx="219">
                  <c:v>41779</c:v>
                </c:pt>
                <c:pt idx="220">
                  <c:v>41780</c:v>
                </c:pt>
                <c:pt idx="221">
                  <c:v>41781</c:v>
                </c:pt>
                <c:pt idx="222">
                  <c:v>41782</c:v>
                </c:pt>
                <c:pt idx="223">
                  <c:v>41785</c:v>
                </c:pt>
                <c:pt idx="224">
                  <c:v>41786</c:v>
                </c:pt>
                <c:pt idx="225">
                  <c:v>41787</c:v>
                </c:pt>
                <c:pt idx="226">
                  <c:v>41788</c:v>
                </c:pt>
                <c:pt idx="227">
                  <c:v>41789</c:v>
                </c:pt>
                <c:pt idx="228">
                  <c:v>41792</c:v>
                </c:pt>
                <c:pt idx="229">
                  <c:v>41793</c:v>
                </c:pt>
                <c:pt idx="230">
                  <c:v>41794</c:v>
                </c:pt>
                <c:pt idx="231">
                  <c:v>41795</c:v>
                </c:pt>
                <c:pt idx="232">
                  <c:v>41796</c:v>
                </c:pt>
                <c:pt idx="233">
                  <c:v>41799</c:v>
                </c:pt>
                <c:pt idx="234">
                  <c:v>41800</c:v>
                </c:pt>
                <c:pt idx="235">
                  <c:v>41801</c:v>
                </c:pt>
                <c:pt idx="236">
                  <c:v>41803</c:v>
                </c:pt>
                <c:pt idx="237">
                  <c:v>41806</c:v>
                </c:pt>
                <c:pt idx="238">
                  <c:v>41807</c:v>
                </c:pt>
                <c:pt idx="239">
                  <c:v>41808</c:v>
                </c:pt>
                <c:pt idx="240">
                  <c:v>41810</c:v>
                </c:pt>
                <c:pt idx="241">
                  <c:v>41813</c:v>
                </c:pt>
                <c:pt idx="242">
                  <c:v>41814</c:v>
                </c:pt>
                <c:pt idx="243">
                  <c:v>41815</c:v>
                </c:pt>
                <c:pt idx="244">
                  <c:v>41816</c:v>
                </c:pt>
                <c:pt idx="245">
                  <c:v>41817</c:v>
                </c:pt>
                <c:pt idx="246">
                  <c:v>41820</c:v>
                </c:pt>
              </c:numCache>
            </c:numRef>
          </c:cat>
          <c:val>
            <c:numRef>
              <c:f>'ações (2)'!$Q$3:$Q$249</c:f>
              <c:numCache>
                <c:formatCode>0</c:formatCode>
                <c:ptCount val="247"/>
                <c:pt idx="0" formatCode="0.00">
                  <c:v>100</c:v>
                </c:pt>
                <c:pt idx="1">
                  <c:v>95.764011502111273</c:v>
                </c:pt>
                <c:pt idx="2">
                  <c:v>95.372477296542272</c:v>
                </c:pt>
                <c:pt idx="3">
                  <c:v>96.895103260477171</c:v>
                </c:pt>
                <c:pt idx="4">
                  <c:v>95.724925835689007</c:v>
                </c:pt>
                <c:pt idx="5">
                  <c:v>95.439109253330358</c:v>
                </c:pt>
                <c:pt idx="6">
                  <c:v>96.302826257860787</c:v>
                </c:pt>
                <c:pt idx="7">
                  <c:v>98.722559310804925</c:v>
                </c:pt>
                <c:pt idx="8">
                  <c:v>96.408289803066225</c:v>
                </c:pt>
                <c:pt idx="9">
                  <c:v>98.961053864748749</c:v>
                </c:pt>
                <c:pt idx="10">
                  <c:v>99.237130790252436</c:v>
                </c:pt>
                <c:pt idx="11">
                  <c:v>100.37628952527427</c:v>
                </c:pt>
                <c:pt idx="12">
                  <c:v>100.90479294865779</c:v>
                </c:pt>
                <c:pt idx="13">
                  <c:v>100.36129892298449</c:v>
                </c:pt>
                <c:pt idx="14">
                  <c:v>102.84673231336537</c:v>
                </c:pt>
                <c:pt idx="15">
                  <c:v>103.36638535291112</c:v>
                </c:pt>
                <c:pt idx="16">
                  <c:v>102.42356539618486</c:v>
                </c:pt>
                <c:pt idx="17">
                  <c:v>103.88984956253057</c:v>
                </c:pt>
                <c:pt idx="18">
                  <c:v>104.64213218874011</c:v>
                </c:pt>
                <c:pt idx="19">
                  <c:v>104.19808852882267</c:v>
                </c:pt>
                <c:pt idx="20">
                  <c:v>102.82066814469482</c:v>
                </c:pt>
                <c:pt idx="21">
                  <c:v>102.12769155946509</c:v>
                </c:pt>
                <c:pt idx="22">
                  <c:v>104.04659451839402</c:v>
                </c:pt>
                <c:pt idx="23">
                  <c:v>102.63489477677018</c:v>
                </c:pt>
                <c:pt idx="24">
                  <c:v>102.5552836685645</c:v>
                </c:pt>
                <c:pt idx="25">
                  <c:v>100.4070753102027</c:v>
                </c:pt>
                <c:pt idx="26">
                  <c:v>100.45971180355359</c:v>
                </c:pt>
                <c:pt idx="27">
                  <c:v>103.59780806905154</c:v>
                </c:pt>
                <c:pt idx="28">
                  <c:v>105.60095905977578</c:v>
                </c:pt>
                <c:pt idx="29">
                  <c:v>106.49995056065478</c:v>
                </c:pt>
                <c:pt idx="30">
                  <c:v>107.13738992864421</c:v>
                </c:pt>
                <c:pt idx="31">
                  <c:v>107.76278176456741</c:v>
                </c:pt>
                <c:pt idx="32">
                  <c:v>107.78907883807575</c:v>
                </c:pt>
                <c:pt idx="33">
                  <c:v>109.1239199832138</c:v>
                </c:pt>
                <c:pt idx="34">
                  <c:v>109.19868243615907</c:v>
                </c:pt>
                <c:pt idx="35">
                  <c:v>106.93935729698256</c:v>
                </c:pt>
                <c:pt idx="36">
                  <c:v>106.72377210981494</c:v>
                </c:pt>
                <c:pt idx="37">
                  <c:v>108.82512424943759</c:v>
                </c:pt>
                <c:pt idx="38">
                  <c:v>110.51770722549136</c:v>
                </c:pt>
                <c:pt idx="39">
                  <c:v>108.89249726707337</c:v>
                </c:pt>
                <c:pt idx="40">
                  <c:v>106.05967572447688</c:v>
                </c:pt>
                <c:pt idx="41">
                  <c:v>105.58406287244914</c:v>
                </c:pt>
                <c:pt idx="42">
                  <c:v>105.7004305986987</c:v>
                </c:pt>
                <c:pt idx="43">
                  <c:v>105.89071385121052</c:v>
                </c:pt>
                <c:pt idx="44">
                  <c:v>109.75142913584457</c:v>
                </c:pt>
                <c:pt idx="45">
                  <c:v>109.30753368809667</c:v>
                </c:pt>
                <c:pt idx="46">
                  <c:v>109.49948962080751</c:v>
                </c:pt>
                <c:pt idx="47">
                  <c:v>110.84546785182751</c:v>
                </c:pt>
                <c:pt idx="48">
                  <c:v>113.80454498969804</c:v>
                </c:pt>
                <c:pt idx="49">
                  <c:v>114.86834842309648</c:v>
                </c:pt>
                <c:pt idx="50">
                  <c:v>114.29070207892961</c:v>
                </c:pt>
                <c:pt idx="51">
                  <c:v>113.42562999170633</c:v>
                </c:pt>
                <c:pt idx="52">
                  <c:v>112.86799229042626</c:v>
                </c:pt>
                <c:pt idx="53">
                  <c:v>113.90636675016644</c:v>
                </c:pt>
                <c:pt idx="54">
                  <c:v>113.95743642915369</c:v>
                </c:pt>
                <c:pt idx="55">
                  <c:v>114.90942436722386</c:v>
                </c:pt>
                <c:pt idx="56">
                  <c:v>117.94068083165645</c:v>
                </c:pt>
                <c:pt idx="57">
                  <c:v>116.65502495363592</c:v>
                </c:pt>
                <c:pt idx="58">
                  <c:v>114.56807056762494</c:v>
                </c:pt>
                <c:pt idx="59">
                  <c:v>115.61053144861079</c:v>
                </c:pt>
                <c:pt idx="60">
                  <c:v>115.24777157709804</c:v>
                </c:pt>
                <c:pt idx="61">
                  <c:v>114.88795477580884</c:v>
                </c:pt>
                <c:pt idx="62">
                  <c:v>113.87558096523797</c:v>
                </c:pt>
                <c:pt idx="63">
                  <c:v>113.78231316426829</c:v>
                </c:pt>
                <c:pt idx="64">
                  <c:v>110.81652413243465</c:v>
                </c:pt>
                <c:pt idx="65">
                  <c:v>112.59775915903555</c:v>
                </c:pt>
                <c:pt idx="66">
                  <c:v>112.42989829045719</c:v>
                </c:pt>
                <c:pt idx="67">
                  <c:v>111.13765755747602</c:v>
                </c:pt>
                <c:pt idx="68">
                  <c:v>111.89800716034151</c:v>
                </c:pt>
                <c:pt idx="69">
                  <c:v>110.9836015938312</c:v>
                </c:pt>
                <c:pt idx="70">
                  <c:v>110.76200322721401</c:v>
                </c:pt>
                <c:pt idx="71">
                  <c:v>111.26014432901056</c:v>
                </c:pt>
                <c:pt idx="72">
                  <c:v>112.21067131855249</c:v>
                </c:pt>
                <c:pt idx="73">
                  <c:v>112.53457842848083</c:v>
                </c:pt>
                <c:pt idx="74">
                  <c:v>114.69631644060414</c:v>
                </c:pt>
                <c:pt idx="75">
                  <c:v>116.41142766642676</c:v>
                </c:pt>
                <c:pt idx="76">
                  <c:v>118.51263159387986</c:v>
                </c:pt>
                <c:pt idx="77">
                  <c:v>117.2106935503779</c:v>
                </c:pt>
                <c:pt idx="78">
                  <c:v>117.25373859904337</c:v>
                </c:pt>
                <c:pt idx="79">
                  <c:v>118.73367945815309</c:v>
                </c:pt>
                <c:pt idx="80">
                  <c:v>119.54450589132772</c:v>
                </c:pt>
                <c:pt idx="81">
                  <c:v>117.38410178873018</c:v>
                </c:pt>
                <c:pt idx="82">
                  <c:v>116.19230656035747</c:v>
                </c:pt>
                <c:pt idx="83">
                  <c:v>114.66148658076418</c:v>
                </c:pt>
                <c:pt idx="84">
                  <c:v>116.60776644472234</c:v>
                </c:pt>
                <c:pt idx="85">
                  <c:v>115.47591245234172</c:v>
                </c:pt>
                <c:pt idx="86">
                  <c:v>114.70101688369502</c:v>
                </c:pt>
                <c:pt idx="87">
                  <c:v>114.87755875077451</c:v>
                </c:pt>
                <c:pt idx="88">
                  <c:v>114.36313548349652</c:v>
                </c:pt>
                <c:pt idx="89">
                  <c:v>115.26020022617162</c:v>
                </c:pt>
                <c:pt idx="90">
                  <c:v>113.97907540590533</c:v>
                </c:pt>
                <c:pt idx="91">
                  <c:v>113.03210550843215</c:v>
                </c:pt>
                <c:pt idx="92">
                  <c:v>111.66895583891353</c:v>
                </c:pt>
                <c:pt idx="93">
                  <c:v>110.62738423094488</c:v>
                </c:pt>
                <c:pt idx="94">
                  <c:v>111.42139916946118</c:v>
                </c:pt>
                <c:pt idx="95">
                  <c:v>109.68617343491637</c:v>
                </c:pt>
                <c:pt idx="96">
                  <c:v>110.58806565968477</c:v>
                </c:pt>
                <c:pt idx="97">
                  <c:v>113.17396572784119</c:v>
                </c:pt>
                <c:pt idx="98">
                  <c:v>114.98520313218876</c:v>
                </c:pt>
                <c:pt idx="99">
                  <c:v>112.28746639553702</c:v>
                </c:pt>
                <c:pt idx="100">
                  <c:v>111.55722503625356</c:v>
                </c:pt>
                <c:pt idx="101">
                  <c:v>111.79588897553398</c:v>
                </c:pt>
                <c:pt idx="102">
                  <c:v>110.65840292071117</c:v>
                </c:pt>
                <c:pt idx="103">
                  <c:v>108.92940209728671</c:v>
                </c:pt>
                <c:pt idx="104">
                  <c:v>109.80660640924452</c:v>
                </c:pt>
                <c:pt idx="105">
                  <c:v>109.77615939498926</c:v>
                </c:pt>
                <c:pt idx="106">
                  <c:v>111.12205293334094</c:v>
                </c:pt>
                <c:pt idx="107">
                  <c:v>108.50161942968361</c:v>
                </c:pt>
                <c:pt idx="108">
                  <c:v>106.60454600601003</c:v>
                </c:pt>
                <c:pt idx="109">
                  <c:v>106.32273115222876</c:v>
                </c:pt>
                <c:pt idx="110">
                  <c:v>107.53349753830155</c:v>
                </c:pt>
                <c:pt idx="111">
                  <c:v>107.86515402737969</c:v>
                </c:pt>
                <c:pt idx="112">
                  <c:v>108.33331392459668</c:v>
                </c:pt>
                <c:pt idx="113">
                  <c:v>107.96837321687511</c:v>
                </c:pt>
                <c:pt idx="114">
                  <c:v>106.00979174284581</c:v>
                </c:pt>
                <c:pt idx="115">
                  <c:v>106.12332226470721</c:v>
                </c:pt>
                <c:pt idx="116">
                  <c:v>105.97419964899109</c:v>
                </c:pt>
                <c:pt idx="117">
                  <c:v>106.45785830450768</c:v>
                </c:pt>
                <c:pt idx="118">
                  <c:v>106.05713494442769</c:v>
                </c:pt>
                <c:pt idx="119">
                  <c:v>107.05879513245812</c:v>
                </c:pt>
                <c:pt idx="120">
                  <c:v>109.32432400958791</c:v>
                </c:pt>
                <c:pt idx="121">
                  <c:v>108.3764224927634</c:v>
                </c:pt>
                <c:pt idx="122">
                  <c:v>108.73712856706977</c:v>
                </c:pt>
                <c:pt idx="123">
                  <c:v>108.45110025304038</c:v>
                </c:pt>
                <c:pt idx="124">
                  <c:v>108.54754402907145</c:v>
                </c:pt>
                <c:pt idx="125">
                  <c:v>109.05697042891951</c:v>
                </c:pt>
                <c:pt idx="126">
                  <c:v>106.58836970636401</c:v>
                </c:pt>
                <c:pt idx="127">
                  <c:v>107.94311362855345</c:v>
                </c:pt>
                <c:pt idx="128">
                  <c:v>107.92729727274771</c:v>
                </c:pt>
                <c:pt idx="129">
                  <c:v>106.77632391049747</c:v>
                </c:pt>
                <c:pt idx="130">
                  <c:v>107.08676488616548</c:v>
                </c:pt>
                <c:pt idx="131">
                  <c:v>104.42961711079839</c:v>
                </c:pt>
                <c:pt idx="132">
                  <c:v>105.22312389330486</c:v>
                </c:pt>
                <c:pt idx="133">
                  <c:v>104.65240117477185</c:v>
                </c:pt>
                <c:pt idx="134">
                  <c:v>105.23720404941038</c:v>
                </c:pt>
                <c:pt idx="135">
                  <c:v>106.08893704137581</c:v>
                </c:pt>
                <c:pt idx="136">
                  <c:v>105.22276394946456</c:v>
                </c:pt>
                <c:pt idx="137">
                  <c:v>104.13357388874205</c:v>
                </c:pt>
                <c:pt idx="138">
                  <c:v>103.13113029352982</c:v>
                </c:pt>
                <c:pt idx="139">
                  <c:v>102.77893583238797</c:v>
                </c:pt>
                <c:pt idx="140">
                  <c:v>104.38299379689708</c:v>
                </c:pt>
                <c:pt idx="141">
                  <c:v>102.31009839382455</c:v>
                </c:pt>
                <c:pt idx="142">
                  <c:v>101.18101808633087</c:v>
                </c:pt>
                <c:pt idx="143">
                  <c:v>100.99823013496395</c:v>
                </c:pt>
                <c:pt idx="144">
                  <c:v>101.29440039602275</c:v>
                </c:pt>
                <c:pt idx="145">
                  <c:v>100.6927648535588</c:v>
                </c:pt>
                <c:pt idx="146">
                  <c:v>100.0310610361003</c:v>
                </c:pt>
                <c:pt idx="147">
                  <c:v>100.8668294600904</c:v>
                </c:pt>
                <c:pt idx="148">
                  <c:v>97.708915110209318</c:v>
                </c:pt>
                <c:pt idx="149">
                  <c:v>99.438127665304549</c:v>
                </c:pt>
                <c:pt idx="150">
                  <c:v>98.718599928561545</c:v>
                </c:pt>
                <c:pt idx="151">
                  <c:v>101.07665554581335</c:v>
                </c:pt>
                <c:pt idx="152">
                  <c:v>101.78703647437955</c:v>
                </c:pt>
                <c:pt idx="153">
                  <c:v>101.01891631919717</c:v>
                </c:pt>
                <c:pt idx="154">
                  <c:v>102.6110749638096</c:v>
                </c:pt>
                <c:pt idx="155">
                  <c:v>102.09042678541127</c:v>
                </c:pt>
                <c:pt idx="156">
                  <c:v>101.23490379653926</c:v>
                </c:pt>
                <c:pt idx="157">
                  <c:v>102.05701552776537</c:v>
                </c:pt>
                <c:pt idx="158">
                  <c:v>100.73415839519234</c:v>
                </c:pt>
                <c:pt idx="159">
                  <c:v>98.666450418053429</c:v>
                </c:pt>
                <c:pt idx="160">
                  <c:v>99.833240136109424</c:v>
                </c:pt>
                <c:pt idx="161">
                  <c:v>100.12496403208226</c:v>
                </c:pt>
                <c:pt idx="162">
                  <c:v>100.31897376199946</c:v>
                </c:pt>
                <c:pt idx="163">
                  <c:v>100.34704938154222</c:v>
                </c:pt>
                <c:pt idx="164">
                  <c:v>98.912376753640956</c:v>
                </c:pt>
                <c:pt idx="165">
                  <c:v>98.665285893864265</c:v>
                </c:pt>
                <c:pt idx="166">
                  <c:v>100.79856716943748</c:v>
                </c:pt>
                <c:pt idx="167">
                  <c:v>99.713759954299675</c:v>
                </c:pt>
                <c:pt idx="168">
                  <c:v>98.643668090279675</c:v>
                </c:pt>
                <c:pt idx="169">
                  <c:v>99.711070962081024</c:v>
                </c:pt>
                <c:pt idx="170">
                  <c:v>97.913342038327926</c:v>
                </c:pt>
                <c:pt idx="171">
                  <c:v>96.408205110397773</c:v>
                </c:pt>
                <c:pt idx="172">
                  <c:v>96.756334323461033</c:v>
                </c:pt>
                <c:pt idx="173">
                  <c:v>97.103976553681534</c:v>
                </c:pt>
                <c:pt idx="174">
                  <c:v>96.218980516239768</c:v>
                </c:pt>
                <c:pt idx="175">
                  <c:v>95.206543186167679</c:v>
                </c:pt>
                <c:pt idx="176">
                  <c:v>95.528671750061633</c:v>
                </c:pt>
                <c:pt idx="177">
                  <c:v>97.716198679683501</c:v>
                </c:pt>
                <c:pt idx="178">
                  <c:v>98.597574105555296</c:v>
                </c:pt>
                <c:pt idx="179">
                  <c:v>100.10351561383432</c:v>
                </c:pt>
                <c:pt idx="180">
                  <c:v>100.32045588369479</c:v>
                </c:pt>
                <c:pt idx="181">
                  <c:v>101.61727002076435</c:v>
                </c:pt>
                <c:pt idx="182">
                  <c:v>102.01261539640704</c:v>
                </c:pt>
                <c:pt idx="183">
                  <c:v>101.55838744312607</c:v>
                </c:pt>
                <c:pt idx="184">
                  <c:v>105.11797794560555</c:v>
                </c:pt>
                <c:pt idx="185">
                  <c:v>105.37474494273594</c:v>
                </c:pt>
                <c:pt idx="186">
                  <c:v>106.74435242821274</c:v>
                </c:pt>
                <c:pt idx="187">
                  <c:v>106.43829429812946</c:v>
                </c:pt>
                <c:pt idx="188">
                  <c:v>109.46749696535565</c:v>
                </c:pt>
                <c:pt idx="189">
                  <c:v>108.84746194070266</c:v>
                </c:pt>
                <c:pt idx="190">
                  <c:v>108.15630624784147</c:v>
                </c:pt>
                <c:pt idx="191">
                  <c:v>110.42924573344784</c:v>
                </c:pt>
                <c:pt idx="192">
                  <c:v>109.31509250874275</c:v>
                </c:pt>
                <c:pt idx="193">
                  <c:v>108.37570260508278</c:v>
                </c:pt>
                <c:pt idx="194">
                  <c:v>108.2530676213787</c:v>
                </c:pt>
                <c:pt idx="195">
                  <c:v>109.81947969482671</c:v>
                </c:pt>
                <c:pt idx="196">
                  <c:v>109.24623736941166</c:v>
                </c:pt>
                <c:pt idx="197">
                  <c:v>106.8278382259933</c:v>
                </c:pt>
                <c:pt idx="198">
                  <c:v>108.40780112636995</c:v>
                </c:pt>
                <c:pt idx="199">
                  <c:v>110.33729066883686</c:v>
                </c:pt>
                <c:pt idx="200">
                  <c:v>110.05147408647822</c:v>
                </c:pt>
                <c:pt idx="201">
                  <c:v>109.18936624264559</c:v>
                </c:pt>
                <c:pt idx="202">
                  <c:v>109.71395263012005</c:v>
                </c:pt>
                <c:pt idx="203">
                  <c:v>108.82870251467335</c:v>
                </c:pt>
                <c:pt idx="204">
                  <c:v>108.7955241618653</c:v>
                </c:pt>
                <c:pt idx="205">
                  <c:v>109.75875505165281</c:v>
                </c:pt>
                <c:pt idx="206">
                  <c:v>109.31005329497867</c:v>
                </c:pt>
                <c:pt idx="207">
                  <c:v>112.17609553671737</c:v>
                </c:pt>
                <c:pt idx="208">
                  <c:v>113.16246869811893</c:v>
                </c:pt>
                <c:pt idx="209">
                  <c:v>113.86874203227237</c:v>
                </c:pt>
                <c:pt idx="210">
                  <c:v>114.4467694934466</c:v>
                </c:pt>
                <c:pt idx="211">
                  <c:v>113.1120765604781</c:v>
                </c:pt>
                <c:pt idx="212">
                  <c:v>112.43023706113033</c:v>
                </c:pt>
                <c:pt idx="213">
                  <c:v>114.44710826411982</c:v>
                </c:pt>
                <c:pt idx="214">
                  <c:v>114.13916572216678</c:v>
                </c:pt>
                <c:pt idx="215">
                  <c:v>115.20858004484033</c:v>
                </c:pt>
                <c:pt idx="216">
                  <c:v>114.02923463870829</c:v>
                </c:pt>
                <c:pt idx="217">
                  <c:v>114.28377845329572</c:v>
                </c:pt>
                <c:pt idx="218">
                  <c:v>112.9654100321428</c:v>
                </c:pt>
                <c:pt idx="219">
                  <c:v>110.87580900024734</c:v>
                </c:pt>
                <c:pt idx="220">
                  <c:v>110.53106749391624</c:v>
                </c:pt>
                <c:pt idx="221">
                  <c:v>111.80749187109164</c:v>
                </c:pt>
                <c:pt idx="222">
                  <c:v>111.42677715389847</c:v>
                </c:pt>
                <c:pt idx="223">
                  <c:v>112.07573472477725</c:v>
                </c:pt>
                <c:pt idx="224">
                  <c:v>110.46883955587995</c:v>
                </c:pt>
                <c:pt idx="225">
                  <c:v>111.45502215877784</c:v>
                </c:pt>
                <c:pt idx="226">
                  <c:v>110.60722737588856</c:v>
                </c:pt>
                <c:pt idx="227">
                  <c:v>108.48991066829062</c:v>
                </c:pt>
                <c:pt idx="228">
                  <c:v>109.26588606845819</c:v>
                </c:pt>
                <c:pt idx="229">
                  <c:v>110.16902751008406</c:v>
                </c:pt>
                <c:pt idx="230">
                  <c:v>109.74683455858906</c:v>
                </c:pt>
                <c:pt idx="231">
                  <c:v>109.16628749053278</c:v>
                </c:pt>
                <c:pt idx="232">
                  <c:v>112.49019947028955</c:v>
                </c:pt>
                <c:pt idx="233">
                  <c:v>114.91346844213538</c:v>
                </c:pt>
                <c:pt idx="234">
                  <c:v>115.61468138935766</c:v>
                </c:pt>
                <c:pt idx="235">
                  <c:v>116.6693168414122</c:v>
                </c:pt>
                <c:pt idx="236">
                  <c:v>116.04301455930472</c:v>
                </c:pt>
                <c:pt idx="237">
                  <c:v>115.66805894355622</c:v>
                </c:pt>
                <c:pt idx="238">
                  <c:v>114.97019135673193</c:v>
                </c:pt>
                <c:pt idx="239">
                  <c:v>116.88126024384273</c:v>
                </c:pt>
                <c:pt idx="240">
                  <c:v>115.68635255990985</c:v>
                </c:pt>
                <c:pt idx="241">
                  <c:v>114.77984458471887</c:v>
                </c:pt>
                <c:pt idx="242">
                  <c:v>114.92960239544726</c:v>
                </c:pt>
                <c:pt idx="243">
                  <c:v>113.11921191778274</c:v>
                </c:pt>
                <c:pt idx="244">
                  <c:v>113.29073574426523</c:v>
                </c:pt>
                <c:pt idx="245">
                  <c:v>112.55083942079514</c:v>
                </c:pt>
                <c:pt idx="246">
                  <c:v>112.57396051924211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8BC-45AC-A47A-7C9165BE48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2898688"/>
        <c:axId val="102929152"/>
      </c:lineChart>
      <c:dateAx>
        <c:axId val="102898688"/>
        <c:scaling>
          <c:orientation val="minMax"/>
        </c:scaling>
        <c:delete val="0"/>
        <c:axPos val="b"/>
        <c:numFmt formatCode="[$-416]mmm\-yy;@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pt-BR"/>
          </a:p>
        </c:txPr>
        <c:crossAx val="102929152"/>
        <c:crosses val="autoZero"/>
        <c:auto val="1"/>
        <c:lblOffset val="100"/>
        <c:baseTimeUnit val="days"/>
      </c:dateAx>
      <c:valAx>
        <c:axId val="102929152"/>
        <c:scaling>
          <c:orientation val="minMax"/>
          <c:min val="60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pt-BR"/>
          </a:p>
        </c:txPr>
        <c:crossAx val="10289868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8322795314921301"/>
          <c:y val="0.93386194766891251"/>
          <c:w val="0.46258982150052819"/>
          <c:h val="5.5172885997945911E-2"/>
        </c:manualLayout>
      </c:layout>
      <c:overlay val="0"/>
      <c:txPr>
        <a:bodyPr/>
        <a:lstStyle/>
        <a:p>
          <a:pPr>
            <a:defRPr sz="1200"/>
          </a:pPr>
          <a:endParaRPr lang="pt-BR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+mn-lt"/>
                <a:ea typeface="Trebuchet MS"/>
                <a:cs typeface="Trebuchet MS"/>
              </a:defRPr>
            </a:pPr>
            <a:r>
              <a:rPr lang="pt-BR" sz="1300">
                <a:latin typeface="+mn-lt"/>
              </a:rPr>
              <a:t>Fluxo de Caixa 1S14 </a:t>
            </a:r>
            <a:br>
              <a:rPr lang="pt-BR" sz="1300">
                <a:latin typeface="+mn-lt"/>
              </a:rPr>
            </a:br>
            <a:r>
              <a:rPr lang="pt-BR" sz="1100" b="0">
                <a:latin typeface="+mn-lt"/>
              </a:rPr>
              <a:t>(R$ milhões)</a:t>
            </a:r>
          </a:p>
        </c:rich>
      </c:tx>
      <c:layout>
        <c:manualLayout>
          <c:xMode val="edge"/>
          <c:yMode val="edge"/>
          <c:x val="0.41400712350927893"/>
          <c:y val="6.56083509057677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554495047756804E-3"/>
          <c:y val="0.38791883543449879"/>
          <c:w val="0.99030874698230642"/>
          <c:h val="0.3550173507631468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'grafico fluxo de caixa'!$B$16</c:f>
              <c:strCache>
                <c:ptCount val="1"/>
                <c:pt idx="0">
                  <c:v> Value </c:v>
                </c:pt>
              </c:strCache>
            </c:strRef>
          </c:tx>
          <c:spPr>
            <a:solidFill>
              <a:srgbClr val="4684EE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6E5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38E-4277-BEE7-7EA3BE16EC8A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38E-4277-BEE7-7EA3BE16EC8A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38E-4277-BEE7-7EA3BE16EC8A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38E-4277-BEE7-7EA3BE16EC8A}"/>
              </c:ext>
            </c:extLst>
          </c:dPt>
          <c:dPt>
            <c:idx val="4"/>
            <c:invertIfNegative val="0"/>
            <c:bubble3D val="0"/>
            <c:spPr>
              <a:solidFill>
                <a:srgbClr val="006E5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38E-4277-BEE7-7EA3BE16EC8A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38E-4277-BEE7-7EA3BE16EC8A}"/>
              </c:ext>
            </c:extLst>
          </c:dPt>
          <c:dPt>
            <c:idx val="6"/>
            <c:invertIfNegative val="0"/>
            <c:bubble3D val="0"/>
            <c:spPr>
              <a:solidFill>
                <a:srgbClr val="006E5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E38E-4277-BEE7-7EA3BE16EC8A}"/>
              </c:ext>
            </c:extLst>
          </c:dPt>
          <c:dLbls>
            <c:dLbl>
              <c:idx val="0"/>
              <c:layout>
                <c:manualLayout>
                  <c:x val="0"/>
                  <c:y val="-9.1154937921161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8E-4277-BEE7-7EA3BE16EC8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8E-4277-BEE7-7EA3BE16EC8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8E-4277-BEE7-7EA3BE16EC8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8E-4277-BEE7-7EA3BE16EC8A}"/>
                </c:ext>
              </c:extLst>
            </c:dLbl>
            <c:dLbl>
              <c:idx val="4"/>
              <c:layout>
                <c:manualLayout>
                  <c:x val="-3.4497628288055198E-3"/>
                  <c:y val="-9.0516219175450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8E-4277-BEE7-7EA3BE16EC8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8E-4277-BEE7-7EA3BE16EC8A}"/>
                </c:ext>
              </c:extLst>
            </c:dLbl>
            <c:dLbl>
              <c:idx val="6"/>
              <c:layout>
                <c:manualLayout>
                  <c:x val="-1.2747824374475704E-2"/>
                  <c:y val="-0.216117427492945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8E-4277-BEE7-7EA3BE16EC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latin typeface="+mn-lt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fluxo de caixa'!$A$17:$A$24</c:f>
              <c:strCache>
                <c:ptCount val="7"/>
                <c:pt idx="0">
                  <c:v>Caixa e Eq. Inicial</c:v>
                </c:pt>
                <c:pt idx="1">
                  <c:v>Operacional</c:v>
                </c:pt>
                <c:pt idx="2">
                  <c:v>Investimento</c:v>
                </c:pt>
                <c:pt idx="3">
                  <c:v>Financiamento</c:v>
                </c:pt>
                <c:pt idx="4">
                  <c:v>Caixa e Eq. Final</c:v>
                </c:pt>
                <c:pt idx="5">
                  <c:v>Aplicações Financeiras</c:v>
                </c:pt>
                <c:pt idx="6">
                  <c:v>Caixa e Eq. +Aplicações Financeiras</c:v>
                </c:pt>
              </c:strCache>
            </c:strRef>
          </c:cat>
          <c:val>
            <c:numRef>
              <c:f>'grafico fluxo de caixa'!$B$17:$B$24</c:f>
              <c:numCache>
                <c:formatCode>_-* #,##0.0_-;\-* #,##0.0_-;_-* "-"??_-;_-@_-</c:formatCode>
                <c:ptCount val="7"/>
                <c:pt idx="0">
                  <c:v>49.9</c:v>
                </c:pt>
                <c:pt idx="1">
                  <c:v>49.9</c:v>
                </c:pt>
                <c:pt idx="2">
                  <c:v>139</c:v>
                </c:pt>
                <c:pt idx="3">
                  <c:v>43.400000000000006</c:v>
                </c:pt>
                <c:pt idx="4">
                  <c:v>43.4</c:v>
                </c:pt>
                <c:pt idx="5">
                  <c:v>43.4</c:v>
                </c:pt>
                <c:pt idx="6">
                  <c:v>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8E-4277-BEE7-7EA3BE16EC8A}"/>
            </c:ext>
          </c:extLst>
        </c:ser>
        <c:ser>
          <c:idx val="1"/>
          <c:order val="1"/>
          <c:tx>
            <c:strRef>
              <c:f>'grafico fluxo de caixa'!$C$16</c:f>
              <c:strCache>
                <c:ptCount val="1"/>
                <c:pt idx="0">
                  <c:v> Change 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"/>
            <c:invertIfNegative val="0"/>
            <c:bubble3D val="0"/>
            <c:spPr>
              <a:solidFill>
                <a:srgbClr val="006E5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0-E38E-4277-BEE7-7EA3BE16EC8A}"/>
              </c:ext>
            </c:extLst>
          </c:dPt>
          <c:dPt>
            <c:idx val="2"/>
            <c:invertIfNegative val="0"/>
            <c:bubble3D val="0"/>
            <c:spPr>
              <a:solidFill>
                <a:srgbClr val="F5822B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2-E38E-4277-BEE7-7EA3BE16EC8A}"/>
              </c:ext>
            </c:extLst>
          </c:dPt>
          <c:dPt>
            <c:idx val="3"/>
            <c:invertIfNegative val="0"/>
            <c:bubble3D val="0"/>
            <c:spPr>
              <a:solidFill>
                <a:srgbClr val="F5822B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E38E-4277-BEE7-7EA3BE16EC8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38E-4277-BEE7-7EA3BE16EC8A}"/>
              </c:ext>
            </c:extLst>
          </c:dPt>
          <c:dPt>
            <c:idx val="5"/>
            <c:invertIfNegative val="0"/>
            <c:bubble3D val="0"/>
            <c:spPr>
              <a:solidFill>
                <a:srgbClr val="006E5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E38E-4277-BEE7-7EA3BE16EC8A}"/>
              </c:ext>
            </c:extLst>
          </c:dPt>
          <c:dLbls>
            <c:dLbl>
              <c:idx val="1"/>
              <c:layout>
                <c:manualLayout>
                  <c:x val="-9.7576677430198325E-3"/>
                  <c:y val="-0.14914545490421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8E-4277-BEE7-7EA3BE16EC8A}"/>
                </c:ext>
              </c:extLst>
            </c:dLbl>
            <c:dLbl>
              <c:idx val="2"/>
              <c:layout>
                <c:manualLayout>
                  <c:x val="-1.9840533033807454E-3"/>
                  <c:y val="-5.183585313174946E-2"/>
                </c:manualLayout>
              </c:layout>
              <c:tx>
                <c:rich>
                  <a:bodyPr/>
                  <a:lstStyle/>
                  <a:p>
                    <a:r>
                      <a:rPr lang="en-US" sz="1100" b="1">
                        <a:latin typeface="+mn-lt"/>
                      </a:rPr>
                      <a:t> (6,4) 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2-E38E-4277-BEE7-7EA3BE16EC8A}"/>
                </c:ext>
              </c:extLst>
            </c:dLbl>
            <c:dLbl>
              <c:idx val="3"/>
              <c:layout>
                <c:manualLayout>
                  <c:x val="-6.0106005507396323E-3"/>
                  <c:y val="-0.14262025748599522"/>
                </c:manualLayout>
              </c:layout>
              <c:tx>
                <c:rich>
                  <a:bodyPr/>
                  <a:lstStyle/>
                  <a:p>
                    <a:r>
                      <a:rPr lang="en-US" sz="1100" b="1">
                        <a:latin typeface="+mn-lt"/>
                      </a:rPr>
                      <a:t> (95,6) 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4-E38E-4277-BEE7-7EA3BE16EC8A}"/>
                </c:ext>
              </c:extLst>
            </c:dLbl>
            <c:dLbl>
              <c:idx val="4"/>
              <c:layout>
                <c:manualLayout>
                  <c:x val="-5.5788005578800556E-3"/>
                  <c:y val="-0.120724346076458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8E-4277-BEE7-7EA3BE16EC8A}"/>
                </c:ext>
              </c:extLst>
            </c:dLbl>
            <c:dLbl>
              <c:idx val="5"/>
              <c:layout>
                <c:manualLayout>
                  <c:x val="3.9186192955719245E-3"/>
                  <c:y val="-0.176995120412718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8E-4277-BEE7-7EA3BE16EC8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+mn-lt"/>
                    <a:ea typeface="Trebuchet MS"/>
                    <a:cs typeface="Trebuchet M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fluxo de caixa'!$A$17:$A$24</c:f>
              <c:strCache>
                <c:ptCount val="7"/>
                <c:pt idx="0">
                  <c:v>Caixa e Eq. Inicial</c:v>
                </c:pt>
                <c:pt idx="1">
                  <c:v>Operacional</c:v>
                </c:pt>
                <c:pt idx="2">
                  <c:v>Investimento</c:v>
                </c:pt>
                <c:pt idx="3">
                  <c:v>Financiamento</c:v>
                </c:pt>
                <c:pt idx="4">
                  <c:v>Caixa e Eq. Final</c:v>
                </c:pt>
                <c:pt idx="5">
                  <c:v>Aplicações Financeiras</c:v>
                </c:pt>
                <c:pt idx="6">
                  <c:v>Caixa e Eq. +Aplicações Financeiras</c:v>
                </c:pt>
              </c:strCache>
            </c:strRef>
          </c:cat>
          <c:val>
            <c:numRef>
              <c:f>'grafico fluxo de caixa'!$C$17:$C$24</c:f>
              <c:numCache>
                <c:formatCode>_-* #,##0.0_-;\-* #,##0.0_-;_-* "-"??_-;_-@_-</c:formatCode>
                <c:ptCount val="7"/>
                <c:pt idx="1">
                  <c:v>95.5</c:v>
                </c:pt>
                <c:pt idx="2">
                  <c:v>6.4</c:v>
                </c:pt>
                <c:pt idx="3">
                  <c:v>95.6</c:v>
                </c:pt>
                <c:pt idx="5">
                  <c:v>131.6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38E-4277-BEE7-7EA3BE16E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"/>
        <c:overlap val="100"/>
        <c:axId val="118345088"/>
        <c:axId val="118371456"/>
      </c:barChart>
      <c:catAx>
        <c:axId val="11834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75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ysClr val="windowText" lastClr="000000"/>
                </a:solidFill>
                <a:latin typeface="+mn-lt"/>
                <a:ea typeface="Trebuchet MS"/>
                <a:cs typeface="Trebuchet MS"/>
              </a:defRPr>
            </a:pPr>
            <a:endParaRPr lang="pt-BR"/>
          </a:p>
        </c:txPr>
        <c:crossAx val="118371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8371456"/>
        <c:scaling>
          <c:orientation val="minMax"/>
        </c:scaling>
        <c:delete val="1"/>
        <c:axPos val="l"/>
        <c:numFmt formatCode="_-* #,##0.0_-;\-* #,##0.0_-;_-* &quot;-&quot;??_-;_-@_-" sourceLinked="1"/>
        <c:majorTickMark val="out"/>
        <c:minorTickMark val="none"/>
        <c:tickLblPos val="nextTo"/>
        <c:crossAx val="1183450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rebuchet MS"/>
          <a:ea typeface="Trebuchet MS"/>
          <a:cs typeface="Trebuchet MS"/>
        </a:defRPr>
      </a:pPr>
      <a:endParaRPr lang="pt-BR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47"/>
    </mc:Choice>
    <mc:Fallback>
      <c:style val="47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pt-BR" sz="1100"/>
              <a:t>Receita Bruta de Vendas 1T14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6E5D"/>
              </a:solidFill>
            </c:spPr>
            <c:extLst>
              <c:ext xmlns:c16="http://schemas.microsoft.com/office/drawing/2014/chart" uri="{C3380CC4-5D6E-409C-BE32-E72D297353CC}">
                <c16:uniqueId val="{00000001-3481-4CC9-BB7B-13373F29807A}"/>
              </c:ext>
            </c:extLst>
          </c:dPt>
          <c:dPt>
            <c:idx val="1"/>
            <c:bubble3D val="0"/>
            <c:spPr>
              <a:solidFill>
                <a:srgbClr val="F5822B"/>
              </a:solidFill>
            </c:spPr>
            <c:extLst>
              <c:ext xmlns:c16="http://schemas.microsoft.com/office/drawing/2014/chart" uri="{C3380CC4-5D6E-409C-BE32-E72D297353CC}">
                <c16:uniqueId val="{00000003-3481-4CC9-BB7B-13373F29807A}"/>
              </c:ext>
            </c:extLst>
          </c:dPt>
          <c:dLbls>
            <c:dLbl>
              <c:idx val="0"/>
              <c:layout>
                <c:manualLayout>
                  <c:x val="-0.23398184601924754"/>
                  <c:y val="-0.2820137066200058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81-4CC9-BB7B-13373F29807A}"/>
                </c:ext>
              </c:extLst>
            </c:dLbl>
            <c:dLbl>
              <c:idx val="1"/>
              <c:layout>
                <c:manualLayout>
                  <c:x val="5.464238845144357E-2"/>
                  <c:y val="1.318751822688830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81-4CC9-BB7B-13373F2980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Plan3!$C$9:$C$10</c:f>
              <c:strCache>
                <c:ptCount val="2"/>
                <c:pt idx="0">
                  <c:v>Mercado interno</c:v>
                </c:pt>
                <c:pt idx="1">
                  <c:v>Mercado externo</c:v>
                </c:pt>
              </c:strCache>
            </c:strRef>
          </c:cat>
          <c:val>
            <c:numRef>
              <c:f>Plan3!$D$9:$D$10</c:f>
              <c:numCache>
                <c:formatCode>_-* #,##0_-;\-* #,##0_-;_-* "-"??_-;_-@_-</c:formatCode>
                <c:ptCount val="2"/>
                <c:pt idx="0">
                  <c:v>261626</c:v>
                </c:pt>
                <c:pt idx="1">
                  <c:v>6407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81-4CC9-BB7B-13373F298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b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bg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47"/>
    </mc:Choice>
    <mc:Fallback>
      <c:style val="47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pt-BR" sz="1100"/>
              <a:t>Receita Bruta de Vendas 2T14</a:t>
            </a:r>
          </a:p>
        </c:rich>
      </c:tx>
      <c:layout>
        <c:manualLayout>
          <c:xMode val="edge"/>
          <c:yMode val="edge"/>
          <c:x val="2.4611111111111111E-2"/>
          <c:y val="3.240740740740740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958158355205599E-2"/>
          <c:y val="0.18992089530475356"/>
          <c:w val="0.35083683289588802"/>
          <c:h val="0.5847280548264800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6E5D"/>
              </a:solidFill>
            </c:spPr>
            <c:extLst>
              <c:ext xmlns:c16="http://schemas.microsoft.com/office/drawing/2014/chart" uri="{C3380CC4-5D6E-409C-BE32-E72D297353CC}">
                <c16:uniqueId val="{00000001-DAC2-435C-9E3E-059EDADE6281}"/>
              </c:ext>
            </c:extLst>
          </c:dPt>
          <c:dPt>
            <c:idx val="1"/>
            <c:bubble3D val="0"/>
            <c:spPr>
              <a:solidFill>
                <a:srgbClr val="F5822B"/>
              </a:solidFill>
            </c:spPr>
            <c:extLst>
              <c:ext xmlns:c16="http://schemas.microsoft.com/office/drawing/2014/chart" uri="{C3380CC4-5D6E-409C-BE32-E72D297353CC}">
                <c16:uniqueId val="{00000003-DAC2-435C-9E3E-059EDADE6281}"/>
              </c:ext>
            </c:extLst>
          </c:dPt>
          <c:dLbls>
            <c:dLbl>
              <c:idx val="0"/>
              <c:layout>
                <c:manualLayout>
                  <c:x val="7.2906824146981627E-3"/>
                  <c:y val="-0.33789187809857102"/>
                </c:manualLayout>
              </c:layout>
              <c:spPr/>
              <c:txPr>
                <a:bodyPr/>
                <a:lstStyle/>
                <a:p>
                  <a:pPr>
                    <a:defRPr sz="1100" b="1">
                      <a:solidFill>
                        <a:sysClr val="windowText" lastClr="000000"/>
                      </a:solidFill>
                    </a:defRPr>
                  </a:pPr>
                  <a:endParaRPr lang="pt-BR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C2-435C-9E3E-059EDADE628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C2-435C-9E3E-059EDADE62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Plan3!$C$9:$C$10</c:f>
              <c:strCache>
                <c:ptCount val="2"/>
                <c:pt idx="0">
                  <c:v>Mercado interno</c:v>
                </c:pt>
                <c:pt idx="1">
                  <c:v>Mercado externo</c:v>
                </c:pt>
              </c:strCache>
            </c:strRef>
          </c:cat>
          <c:val>
            <c:numRef>
              <c:f>Plan3!$E$9:$E$10</c:f>
              <c:numCache>
                <c:formatCode>General</c:formatCode>
                <c:ptCount val="2"/>
                <c:pt idx="0" formatCode="_-* #,##0_-;\-* #,##0_-;_-* &quot;-&quot;??_-;_-@_-">
                  <c:v>261421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C2-435C-9E3E-059EDADE6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7.8286307961504806E-2"/>
          <c:y val="0.88387540099154271"/>
          <c:w val="0.26564960629921258"/>
          <c:h val="8.3717191601049873E-2"/>
        </c:manualLayout>
      </c:layout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bg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12. Net Debt'!A1"/><Relationship Id="rId13" Type="http://schemas.openxmlformats.org/officeDocument/2006/relationships/hyperlink" Target="#'04. EBITDA'!A1"/><Relationship Id="rId3" Type="http://schemas.openxmlformats.org/officeDocument/2006/relationships/image" Target="../media/image3.png"/><Relationship Id="rId7" Type="http://schemas.openxmlformats.org/officeDocument/2006/relationships/hyperlink" Target="#'11. EBITDA'!A1"/><Relationship Id="rId12" Type="http://schemas.openxmlformats.org/officeDocument/2006/relationships/hyperlink" Target="#'03. CF'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#'10. CF'!A1"/><Relationship Id="rId11" Type="http://schemas.openxmlformats.org/officeDocument/2006/relationships/hyperlink" Target="#'02. BS'!A1"/><Relationship Id="rId5" Type="http://schemas.openxmlformats.org/officeDocument/2006/relationships/hyperlink" Target="#'09. BS'!A1"/><Relationship Id="rId15" Type="http://schemas.openxmlformats.org/officeDocument/2006/relationships/hyperlink" Target="#'06. Installed Capacity'!A1"/><Relationship Id="rId10" Type="http://schemas.openxmlformats.org/officeDocument/2006/relationships/hyperlink" Target="#'01. Income Statement'!A1"/><Relationship Id="rId4" Type="http://schemas.openxmlformats.org/officeDocument/2006/relationships/hyperlink" Target="#'08. Income Statement'!A1"/><Relationship Id="rId9" Type="http://schemas.openxmlformats.org/officeDocument/2006/relationships/hyperlink" Target="#'07. Shares'!A1"/><Relationship Id="rId14" Type="http://schemas.openxmlformats.org/officeDocument/2006/relationships/hyperlink" Target="#'05. Net Debt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Index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Index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Index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Index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Index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Index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Index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Index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Index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Index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Index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Index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243418</xdr:colOff>
      <xdr:row>0</xdr:row>
      <xdr:rowOff>158749</xdr:rowOff>
    </xdr:from>
    <xdr:to>
      <xdr:col>24</xdr:col>
      <xdr:colOff>235560</xdr:colOff>
      <xdr:row>48</xdr:row>
      <xdr:rowOff>95250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942FCFC-F9CF-40C0-87C9-76A6640AC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58618" y="158749"/>
          <a:ext cx="14622542" cy="7708901"/>
        </a:xfrm>
        <a:prstGeom prst="rect">
          <a:avLst/>
        </a:prstGeom>
      </xdr:spPr>
    </xdr:pic>
    <xdr:clientData/>
  </xdr:twoCellAnchor>
  <xdr:twoCellAnchor editAs="oneCell">
    <xdr:from>
      <xdr:col>0</xdr:col>
      <xdr:colOff>402165</xdr:colOff>
      <xdr:row>3</xdr:row>
      <xdr:rowOff>52910</xdr:rowOff>
    </xdr:from>
    <xdr:to>
      <xdr:col>23</xdr:col>
      <xdr:colOff>328083</xdr:colOff>
      <xdr:row>48</xdr:row>
      <xdr:rowOff>105827</xdr:rowOff>
    </xdr:to>
    <xdr:pic>
      <xdr:nvPicPr>
        <xdr:cNvPr id="4" name="Imagem 3" descr="Foto em preto e branco de pessoa olhando para a noite&#10;&#10;Descrição gerada automaticamente">
          <a:extLst>
            <a:ext uri="{FF2B5EF4-FFF2-40B4-BE49-F238E27FC236}">
              <a16:creationId xmlns:a16="http://schemas.microsoft.com/office/drawing/2014/main" id="{FD02D128-F3BD-4F71-8252-ECA8EB860D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17" t="-147" r="7249" b="147"/>
        <a:stretch/>
      </xdr:blipFill>
      <xdr:spPr>
        <a:xfrm>
          <a:off x="402165" y="529160"/>
          <a:ext cx="14044085" cy="7196667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95251</xdr:colOff>
      <xdr:row>0</xdr:row>
      <xdr:rowOff>105835</xdr:rowOff>
    </xdr:from>
    <xdr:to>
      <xdr:col>14</xdr:col>
      <xdr:colOff>60623</xdr:colOff>
      <xdr:row>8</xdr:row>
      <xdr:rowOff>1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98EC99D5-EF11-4F68-A227-C959BBC07C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06451" y="105835"/>
          <a:ext cx="2403772" cy="1189566"/>
        </a:xfrm>
        <a:prstGeom prst="rect">
          <a:avLst/>
        </a:prstGeom>
      </xdr:spPr>
    </xdr:pic>
    <xdr:clientData/>
  </xdr:twoCellAnchor>
  <xdr:twoCellAnchor>
    <xdr:from>
      <xdr:col>13</xdr:col>
      <xdr:colOff>218018</xdr:colOff>
      <xdr:row>8</xdr:row>
      <xdr:rowOff>105833</xdr:rowOff>
    </xdr:from>
    <xdr:to>
      <xdr:col>15</xdr:col>
      <xdr:colOff>486386</xdr:colOff>
      <xdr:row>38</xdr:row>
      <xdr:rowOff>105834</xdr:rowOff>
    </xdr:to>
    <xdr:sp macro="" textlink="">
      <xdr:nvSpPr>
        <xdr:cNvPr id="22" name="Rectangle: Rounded Corners 4">
          <a:extLst>
            <a:ext uri="{FF2B5EF4-FFF2-40B4-BE49-F238E27FC236}">
              <a16:creationId xmlns:a16="http://schemas.microsoft.com/office/drawing/2014/main" id="{5C868CAD-6887-4ED3-9E64-49A7CFDE34B4}"/>
            </a:ext>
          </a:extLst>
        </xdr:cNvPr>
        <xdr:cNvSpPr/>
      </xdr:nvSpPr>
      <xdr:spPr>
        <a:xfrm rot="16200000" flipV="1">
          <a:off x="13930618" y="3009066"/>
          <a:ext cx="4762501" cy="1496035"/>
        </a:xfrm>
        <a:prstGeom prst="roundRect">
          <a:avLst>
            <a:gd name="adj" fmla="val 12592"/>
          </a:avLst>
        </a:prstGeom>
        <a:noFill/>
        <a:ln w="38100">
          <a:gradFill>
            <a:gsLst>
              <a:gs pos="0">
                <a:schemeClr val="bg1"/>
              </a:gs>
              <a:gs pos="45000">
                <a:schemeClr val="bg1">
                  <a:alpha val="0"/>
                </a:schemeClr>
              </a:gs>
            </a:gsLst>
            <a:lin ang="5400000" scaled="1"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pt-BR"/>
          </a:defPPr>
          <a:lvl1pPr marL="0" algn="l" defTabSz="1560515" rtl="0" eaLnBrk="1" latinLnBrk="0" hangingPunct="1">
            <a:defRPr sz="3072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780258" algn="l" defTabSz="1560515" rtl="0" eaLnBrk="1" latinLnBrk="0" hangingPunct="1">
            <a:defRPr sz="3072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1560515" algn="l" defTabSz="1560515" rtl="0" eaLnBrk="1" latinLnBrk="0" hangingPunct="1">
            <a:defRPr sz="3072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2340773" algn="l" defTabSz="1560515" rtl="0" eaLnBrk="1" latinLnBrk="0" hangingPunct="1">
            <a:defRPr sz="3072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3121030" algn="l" defTabSz="1560515" rtl="0" eaLnBrk="1" latinLnBrk="0" hangingPunct="1">
            <a:defRPr sz="3072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3901288" algn="l" defTabSz="1560515" rtl="0" eaLnBrk="1" latinLnBrk="0" hangingPunct="1">
            <a:defRPr sz="3072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4681545" algn="l" defTabSz="1560515" rtl="0" eaLnBrk="1" latinLnBrk="0" hangingPunct="1">
            <a:defRPr sz="3072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5461803" algn="l" defTabSz="1560515" rtl="0" eaLnBrk="1" latinLnBrk="0" hangingPunct="1">
            <a:defRPr sz="3072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6242060" algn="l" defTabSz="1560515" rtl="0" eaLnBrk="1" latinLnBrk="0" hangingPunct="1">
            <a:defRPr sz="3072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defTabSz="1300277"/>
          <a:endParaRPr lang="pt-BR" sz="2560">
            <a:solidFill>
              <a:srgbClr val="09AF31"/>
            </a:solidFill>
            <a:latin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95250</xdr:colOff>
      <xdr:row>8</xdr:row>
      <xdr:rowOff>131233</xdr:rowOff>
    </xdr:from>
    <xdr:to>
      <xdr:col>10</xdr:col>
      <xdr:colOff>363619</xdr:colOff>
      <xdr:row>38</xdr:row>
      <xdr:rowOff>131234</xdr:rowOff>
    </xdr:to>
    <xdr:sp macro="" textlink="">
      <xdr:nvSpPr>
        <xdr:cNvPr id="23" name="Rectangle: Rounded Corners 4">
          <a:extLst>
            <a:ext uri="{FF2B5EF4-FFF2-40B4-BE49-F238E27FC236}">
              <a16:creationId xmlns:a16="http://schemas.microsoft.com/office/drawing/2014/main" id="{4130BB17-5FC8-4BC5-8968-1D843F46BFBF}"/>
            </a:ext>
          </a:extLst>
        </xdr:cNvPr>
        <xdr:cNvSpPr/>
      </xdr:nvSpPr>
      <xdr:spPr>
        <a:xfrm rot="5400000" flipV="1">
          <a:off x="10738684" y="3034466"/>
          <a:ext cx="4762501" cy="1496035"/>
        </a:xfrm>
        <a:prstGeom prst="roundRect">
          <a:avLst>
            <a:gd name="adj" fmla="val 12592"/>
          </a:avLst>
        </a:prstGeom>
        <a:noFill/>
        <a:ln w="38100">
          <a:gradFill>
            <a:gsLst>
              <a:gs pos="0">
                <a:schemeClr val="bg1"/>
              </a:gs>
              <a:gs pos="45000">
                <a:schemeClr val="bg1">
                  <a:alpha val="0"/>
                </a:schemeClr>
              </a:gs>
            </a:gsLst>
            <a:lin ang="5400000" scaled="1"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pt-BR"/>
          </a:defPPr>
          <a:lvl1pPr marL="0" algn="l" defTabSz="1560515" rtl="0" eaLnBrk="1" latinLnBrk="0" hangingPunct="1">
            <a:defRPr sz="3072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780258" algn="l" defTabSz="1560515" rtl="0" eaLnBrk="1" latinLnBrk="0" hangingPunct="1">
            <a:defRPr sz="3072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1560515" algn="l" defTabSz="1560515" rtl="0" eaLnBrk="1" latinLnBrk="0" hangingPunct="1">
            <a:defRPr sz="3072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2340773" algn="l" defTabSz="1560515" rtl="0" eaLnBrk="1" latinLnBrk="0" hangingPunct="1">
            <a:defRPr sz="3072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3121030" algn="l" defTabSz="1560515" rtl="0" eaLnBrk="1" latinLnBrk="0" hangingPunct="1">
            <a:defRPr sz="3072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3901288" algn="l" defTabSz="1560515" rtl="0" eaLnBrk="1" latinLnBrk="0" hangingPunct="1">
            <a:defRPr sz="3072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4681545" algn="l" defTabSz="1560515" rtl="0" eaLnBrk="1" latinLnBrk="0" hangingPunct="1">
            <a:defRPr sz="3072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5461803" algn="l" defTabSz="1560515" rtl="0" eaLnBrk="1" latinLnBrk="0" hangingPunct="1">
            <a:defRPr sz="3072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6242060" algn="l" defTabSz="1560515" rtl="0" eaLnBrk="1" latinLnBrk="0" hangingPunct="1">
            <a:defRPr sz="3072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defTabSz="1300277"/>
          <a:endParaRPr lang="pt-BR" sz="2560">
            <a:solidFill>
              <a:srgbClr val="09AF31"/>
            </a:solidFill>
            <a:latin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305052</xdr:colOff>
      <xdr:row>28</xdr:row>
      <xdr:rowOff>34796</xdr:rowOff>
    </xdr:from>
    <xdr:to>
      <xdr:col>15</xdr:col>
      <xdr:colOff>49958</xdr:colOff>
      <xdr:row>29</xdr:row>
      <xdr:rowOff>88844</xdr:rowOff>
    </xdr:to>
    <xdr:sp macro="" textlink="">
      <xdr:nvSpPr>
        <xdr:cNvPr id="9" name="CaixaDeTexto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AEDA30-2CF3-476C-AD4C-E291441A7D87}"/>
            </a:ext>
          </a:extLst>
        </xdr:cNvPr>
        <xdr:cNvSpPr txBox="1"/>
      </xdr:nvSpPr>
      <xdr:spPr>
        <a:xfrm>
          <a:off x="5829552" y="4479796"/>
          <a:ext cx="3427906" cy="2127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lang="pt-BR" sz="1800" b="1">
              <a:solidFill>
                <a:srgbClr val="0A3200"/>
              </a:solidFill>
            </a:rPr>
            <a:t>08. Income Statement</a:t>
          </a:r>
        </a:p>
      </xdr:txBody>
    </xdr:sp>
    <xdr:clientData/>
  </xdr:twoCellAnchor>
  <xdr:twoCellAnchor>
    <xdr:from>
      <xdr:col>9</xdr:col>
      <xdr:colOff>305052</xdr:colOff>
      <xdr:row>29</xdr:row>
      <xdr:rowOff>151418</xdr:rowOff>
    </xdr:from>
    <xdr:to>
      <xdr:col>15</xdr:col>
      <xdr:colOff>49958</xdr:colOff>
      <xdr:row>31</xdr:row>
      <xdr:rowOff>46716</xdr:rowOff>
    </xdr:to>
    <xdr:sp macro="" textlink="">
      <xdr:nvSpPr>
        <xdr:cNvPr id="10" name="CaixaDeTexto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746389A-18F1-45CD-AF7F-65C27C0DC0F8}"/>
            </a:ext>
          </a:extLst>
        </xdr:cNvPr>
        <xdr:cNvSpPr txBox="1"/>
      </xdr:nvSpPr>
      <xdr:spPr>
        <a:xfrm>
          <a:off x="5829552" y="4755168"/>
          <a:ext cx="3427906" cy="2127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lang="pt-BR" sz="1800" b="1">
              <a:solidFill>
                <a:srgbClr val="0A3200"/>
              </a:solidFill>
            </a:rPr>
            <a:t>09. Balance Sheet</a:t>
          </a:r>
        </a:p>
      </xdr:txBody>
    </xdr:sp>
    <xdr:clientData/>
  </xdr:twoCellAnchor>
  <xdr:twoCellAnchor>
    <xdr:from>
      <xdr:col>9</xdr:col>
      <xdr:colOff>305052</xdr:colOff>
      <xdr:row>31</xdr:row>
      <xdr:rowOff>115257</xdr:rowOff>
    </xdr:from>
    <xdr:to>
      <xdr:col>15</xdr:col>
      <xdr:colOff>49958</xdr:colOff>
      <xdr:row>33</xdr:row>
      <xdr:rowOff>10555</xdr:rowOff>
    </xdr:to>
    <xdr:sp macro="" textlink="">
      <xdr:nvSpPr>
        <xdr:cNvPr id="11" name="CaixaDeTexto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F6491F7-938F-436C-A253-012A5C560953}"/>
            </a:ext>
          </a:extLst>
        </xdr:cNvPr>
        <xdr:cNvSpPr txBox="1"/>
      </xdr:nvSpPr>
      <xdr:spPr>
        <a:xfrm>
          <a:off x="5829552" y="5036507"/>
          <a:ext cx="3427906" cy="2127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lang="pt-BR" sz="1800" b="1">
              <a:solidFill>
                <a:srgbClr val="0A3200"/>
              </a:solidFill>
            </a:rPr>
            <a:t>10. Cash Flow Statement</a:t>
          </a:r>
        </a:p>
      </xdr:txBody>
    </xdr:sp>
    <xdr:clientData/>
  </xdr:twoCellAnchor>
  <xdr:twoCellAnchor>
    <xdr:from>
      <xdr:col>9</xdr:col>
      <xdr:colOff>305052</xdr:colOff>
      <xdr:row>33</xdr:row>
      <xdr:rowOff>78299</xdr:rowOff>
    </xdr:from>
    <xdr:to>
      <xdr:col>15</xdr:col>
      <xdr:colOff>49958</xdr:colOff>
      <xdr:row>34</xdr:row>
      <xdr:rowOff>132347</xdr:rowOff>
    </xdr:to>
    <xdr:sp macro="" textlink="">
      <xdr:nvSpPr>
        <xdr:cNvPr id="12" name="CaixaDeTexto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438F693-1AED-4BED-9B73-65CDAC1250E0}"/>
            </a:ext>
          </a:extLst>
        </xdr:cNvPr>
        <xdr:cNvSpPr txBox="1"/>
      </xdr:nvSpPr>
      <xdr:spPr>
        <a:xfrm>
          <a:off x="5829552" y="5317049"/>
          <a:ext cx="3427906" cy="2127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lang="pt-BR" sz="1800" b="1">
              <a:solidFill>
                <a:srgbClr val="0A3200"/>
              </a:solidFill>
            </a:rPr>
            <a:t>11. EBITDA</a:t>
          </a:r>
        </a:p>
      </xdr:txBody>
    </xdr:sp>
    <xdr:clientData/>
  </xdr:twoCellAnchor>
  <xdr:twoCellAnchor>
    <xdr:from>
      <xdr:col>9</xdr:col>
      <xdr:colOff>305052</xdr:colOff>
      <xdr:row>35</xdr:row>
      <xdr:rowOff>32635</xdr:rowOff>
    </xdr:from>
    <xdr:to>
      <xdr:col>15</xdr:col>
      <xdr:colOff>49958</xdr:colOff>
      <xdr:row>36</xdr:row>
      <xdr:rowOff>86683</xdr:rowOff>
    </xdr:to>
    <xdr:sp macro="" textlink="">
      <xdr:nvSpPr>
        <xdr:cNvPr id="13" name="CaixaDeTexto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972B80D-7866-4E80-99E0-8F1B80700C0C}"/>
            </a:ext>
          </a:extLst>
        </xdr:cNvPr>
        <xdr:cNvSpPr txBox="1"/>
      </xdr:nvSpPr>
      <xdr:spPr>
        <a:xfrm>
          <a:off x="5829552" y="5588885"/>
          <a:ext cx="3427906" cy="2127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lang="pt-BR" sz="1800" b="1">
              <a:solidFill>
                <a:srgbClr val="0A3200"/>
              </a:solidFill>
            </a:rPr>
            <a:t>12. Net Debt</a:t>
          </a:r>
        </a:p>
      </xdr:txBody>
    </xdr:sp>
    <xdr:clientData/>
  </xdr:twoCellAnchor>
  <xdr:twoCellAnchor>
    <xdr:from>
      <xdr:col>9</xdr:col>
      <xdr:colOff>305050</xdr:colOff>
      <xdr:row>26</xdr:row>
      <xdr:rowOff>94449</xdr:rowOff>
    </xdr:from>
    <xdr:to>
      <xdr:col>15</xdr:col>
      <xdr:colOff>49956</xdr:colOff>
      <xdr:row>27</xdr:row>
      <xdr:rowOff>148497</xdr:rowOff>
    </xdr:to>
    <xdr:sp macro="" textlink="">
      <xdr:nvSpPr>
        <xdr:cNvPr id="14" name="CaixaDeTexto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E533E25-AB56-4236-B3CA-D686BE895526}"/>
            </a:ext>
          </a:extLst>
        </xdr:cNvPr>
        <xdr:cNvSpPr txBox="1"/>
      </xdr:nvSpPr>
      <xdr:spPr>
        <a:xfrm>
          <a:off x="5829550" y="4221949"/>
          <a:ext cx="3427906" cy="2127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lang="pt-BR" sz="1800" b="1">
              <a:solidFill>
                <a:srgbClr val="0A3200"/>
              </a:solidFill>
            </a:rPr>
            <a:t>07. Share Performance</a:t>
          </a:r>
        </a:p>
      </xdr:txBody>
    </xdr:sp>
    <xdr:clientData/>
  </xdr:twoCellAnchor>
  <xdr:twoCellAnchor>
    <xdr:from>
      <xdr:col>9</xdr:col>
      <xdr:colOff>309290</xdr:colOff>
      <xdr:row>24</xdr:row>
      <xdr:rowOff>70798</xdr:rowOff>
    </xdr:from>
    <xdr:to>
      <xdr:col>15</xdr:col>
      <xdr:colOff>54196</xdr:colOff>
      <xdr:row>25</xdr:row>
      <xdr:rowOff>124846</xdr:rowOff>
    </xdr:to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92E3DFF5-8E34-4660-9202-2C96830DED70}"/>
            </a:ext>
          </a:extLst>
        </xdr:cNvPr>
        <xdr:cNvSpPr txBox="1"/>
      </xdr:nvSpPr>
      <xdr:spPr>
        <a:xfrm>
          <a:off x="5833790" y="3880798"/>
          <a:ext cx="3427906" cy="2127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t-BR" sz="1800" b="1" u="sng">
              <a:solidFill>
                <a:schemeClr val="bg1"/>
              </a:solidFill>
            </a:rPr>
            <a:t>Parent Company</a:t>
          </a:r>
        </a:p>
      </xdr:txBody>
    </xdr:sp>
    <xdr:clientData/>
  </xdr:twoCellAnchor>
  <xdr:twoCellAnchor>
    <xdr:from>
      <xdr:col>9</xdr:col>
      <xdr:colOff>232834</xdr:colOff>
      <xdr:row>11</xdr:row>
      <xdr:rowOff>10583</xdr:rowOff>
    </xdr:from>
    <xdr:to>
      <xdr:col>14</xdr:col>
      <xdr:colOff>591573</xdr:colOff>
      <xdr:row>12</xdr:row>
      <xdr:rowOff>64631</xdr:rowOff>
    </xdr:to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F05BCDCF-B0EE-43ED-8006-5BC029ED16FE}"/>
            </a:ext>
          </a:extLst>
        </xdr:cNvPr>
        <xdr:cNvSpPr txBox="1"/>
      </xdr:nvSpPr>
      <xdr:spPr>
        <a:xfrm>
          <a:off x="13123334" y="1756833"/>
          <a:ext cx="3427906" cy="2127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t-BR" sz="1800" b="1" u="sng">
              <a:solidFill>
                <a:schemeClr val="bg1"/>
              </a:solidFill>
            </a:rPr>
            <a:t>Consolidated</a:t>
          </a:r>
        </a:p>
      </xdr:txBody>
    </xdr:sp>
    <xdr:clientData/>
  </xdr:twoCellAnchor>
  <xdr:twoCellAnchor>
    <xdr:from>
      <xdr:col>9</xdr:col>
      <xdr:colOff>302659</xdr:colOff>
      <xdr:row>13</xdr:row>
      <xdr:rowOff>25361</xdr:rowOff>
    </xdr:from>
    <xdr:to>
      <xdr:col>15</xdr:col>
      <xdr:colOff>47565</xdr:colOff>
      <xdr:row>14</xdr:row>
      <xdr:rowOff>79409</xdr:rowOff>
    </xdr:to>
    <xdr:sp macro="" textlink="">
      <xdr:nvSpPr>
        <xdr:cNvPr id="17" name="CaixaDeTexto 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E8344BA9-F7D6-4449-855D-218CB695CF2C}"/>
            </a:ext>
          </a:extLst>
        </xdr:cNvPr>
        <xdr:cNvSpPr txBox="1"/>
      </xdr:nvSpPr>
      <xdr:spPr>
        <a:xfrm>
          <a:off x="5827159" y="2089111"/>
          <a:ext cx="3427906" cy="2127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lang="pt-BR" sz="1800" b="1">
              <a:solidFill>
                <a:srgbClr val="0A3200"/>
              </a:solidFill>
            </a:rPr>
            <a:t>01. Income Statement</a:t>
          </a:r>
        </a:p>
      </xdr:txBody>
    </xdr:sp>
    <xdr:clientData/>
  </xdr:twoCellAnchor>
  <xdr:twoCellAnchor>
    <xdr:from>
      <xdr:col>9</xdr:col>
      <xdr:colOff>302659</xdr:colOff>
      <xdr:row>14</xdr:row>
      <xdr:rowOff>141983</xdr:rowOff>
    </xdr:from>
    <xdr:to>
      <xdr:col>15</xdr:col>
      <xdr:colOff>47565</xdr:colOff>
      <xdr:row>16</xdr:row>
      <xdr:rowOff>37281</xdr:rowOff>
    </xdr:to>
    <xdr:sp macro="" textlink="">
      <xdr:nvSpPr>
        <xdr:cNvPr id="18" name="CaixaDeTexto 1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73D76BCC-0938-45D9-BDE0-35410650EA34}"/>
            </a:ext>
          </a:extLst>
        </xdr:cNvPr>
        <xdr:cNvSpPr txBox="1"/>
      </xdr:nvSpPr>
      <xdr:spPr>
        <a:xfrm>
          <a:off x="5827159" y="2364483"/>
          <a:ext cx="3427906" cy="2127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lang="pt-BR" sz="1800" b="1">
              <a:solidFill>
                <a:srgbClr val="0A3200"/>
              </a:solidFill>
            </a:rPr>
            <a:t>02. Balance Sheet</a:t>
          </a:r>
        </a:p>
      </xdr:txBody>
    </xdr:sp>
    <xdr:clientData/>
  </xdr:twoCellAnchor>
  <xdr:twoCellAnchor>
    <xdr:from>
      <xdr:col>9</xdr:col>
      <xdr:colOff>302659</xdr:colOff>
      <xdr:row>16</xdr:row>
      <xdr:rowOff>105822</xdr:rowOff>
    </xdr:from>
    <xdr:to>
      <xdr:col>15</xdr:col>
      <xdr:colOff>47565</xdr:colOff>
      <xdr:row>18</xdr:row>
      <xdr:rowOff>1120</xdr:rowOff>
    </xdr:to>
    <xdr:sp macro="" textlink="">
      <xdr:nvSpPr>
        <xdr:cNvPr id="19" name="CaixaDeTexto 18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940B84B8-9FFF-4156-886E-0C88E47454C9}"/>
            </a:ext>
          </a:extLst>
        </xdr:cNvPr>
        <xdr:cNvSpPr txBox="1"/>
      </xdr:nvSpPr>
      <xdr:spPr>
        <a:xfrm>
          <a:off x="5827159" y="2645822"/>
          <a:ext cx="3427906" cy="2127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lang="pt-BR" sz="1800" b="1">
              <a:solidFill>
                <a:srgbClr val="0A3200"/>
              </a:solidFill>
            </a:rPr>
            <a:t>03. Cash Flow Statement</a:t>
          </a:r>
        </a:p>
      </xdr:txBody>
    </xdr:sp>
    <xdr:clientData/>
  </xdr:twoCellAnchor>
  <xdr:twoCellAnchor>
    <xdr:from>
      <xdr:col>9</xdr:col>
      <xdr:colOff>302659</xdr:colOff>
      <xdr:row>18</xdr:row>
      <xdr:rowOff>68864</xdr:rowOff>
    </xdr:from>
    <xdr:to>
      <xdr:col>15</xdr:col>
      <xdr:colOff>47565</xdr:colOff>
      <xdr:row>19</xdr:row>
      <xdr:rowOff>122912</xdr:rowOff>
    </xdr:to>
    <xdr:sp macro="" textlink="">
      <xdr:nvSpPr>
        <xdr:cNvPr id="20" name="CaixaDeTexto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D23DA7B4-5760-46D9-A2D5-5E7ADF87CB63}"/>
            </a:ext>
          </a:extLst>
        </xdr:cNvPr>
        <xdr:cNvSpPr txBox="1"/>
      </xdr:nvSpPr>
      <xdr:spPr>
        <a:xfrm>
          <a:off x="5827159" y="2926364"/>
          <a:ext cx="3427906" cy="2127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lang="pt-BR" sz="1800" b="1">
              <a:solidFill>
                <a:srgbClr val="0A3200"/>
              </a:solidFill>
            </a:rPr>
            <a:t>04. EBITDA</a:t>
          </a:r>
        </a:p>
      </xdr:txBody>
    </xdr:sp>
    <xdr:clientData/>
  </xdr:twoCellAnchor>
  <xdr:twoCellAnchor>
    <xdr:from>
      <xdr:col>9</xdr:col>
      <xdr:colOff>302659</xdr:colOff>
      <xdr:row>20</xdr:row>
      <xdr:rowOff>23200</xdr:rowOff>
    </xdr:from>
    <xdr:to>
      <xdr:col>15</xdr:col>
      <xdr:colOff>47565</xdr:colOff>
      <xdr:row>21</xdr:row>
      <xdr:rowOff>77248</xdr:rowOff>
    </xdr:to>
    <xdr:sp macro="" textlink="">
      <xdr:nvSpPr>
        <xdr:cNvPr id="21" name="CaixaDeTexto 2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0313A58-04FD-4775-B3F9-098A2DD60840}"/>
            </a:ext>
          </a:extLst>
        </xdr:cNvPr>
        <xdr:cNvSpPr txBox="1"/>
      </xdr:nvSpPr>
      <xdr:spPr>
        <a:xfrm>
          <a:off x="5827159" y="3198200"/>
          <a:ext cx="3427906" cy="2127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lang="pt-BR" sz="1800" b="1">
              <a:solidFill>
                <a:srgbClr val="0A3200"/>
              </a:solidFill>
            </a:rPr>
            <a:t>05. Net Debt</a:t>
          </a:r>
        </a:p>
      </xdr:txBody>
    </xdr:sp>
    <xdr:clientData/>
  </xdr:twoCellAnchor>
  <xdr:twoCellAnchor>
    <xdr:from>
      <xdr:col>9</xdr:col>
      <xdr:colOff>306891</xdr:colOff>
      <xdr:row>21</xdr:row>
      <xdr:rowOff>114261</xdr:rowOff>
    </xdr:from>
    <xdr:to>
      <xdr:col>15</xdr:col>
      <xdr:colOff>51797</xdr:colOff>
      <xdr:row>23</xdr:row>
      <xdr:rowOff>9559</xdr:rowOff>
    </xdr:to>
    <xdr:sp macro="" textlink="">
      <xdr:nvSpPr>
        <xdr:cNvPr id="7" name="CaixaDeTexto 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604F4C6-6BFE-42C4-9C6A-960988269651}"/>
            </a:ext>
          </a:extLst>
        </xdr:cNvPr>
        <xdr:cNvSpPr txBox="1"/>
      </xdr:nvSpPr>
      <xdr:spPr>
        <a:xfrm>
          <a:off x="5831391" y="3448011"/>
          <a:ext cx="3427906" cy="2127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lang="pt-BR" sz="1800" b="1">
              <a:solidFill>
                <a:srgbClr val="0A3200"/>
              </a:solidFill>
            </a:rPr>
            <a:t>06. Installed</a:t>
          </a:r>
          <a:r>
            <a:rPr lang="pt-BR" sz="1800" b="1" baseline="0">
              <a:solidFill>
                <a:srgbClr val="0A3200"/>
              </a:solidFill>
            </a:rPr>
            <a:t> Capacity</a:t>
          </a:r>
          <a:endParaRPr lang="pt-BR" sz="1800" b="1">
            <a:solidFill>
              <a:srgbClr val="0A3200"/>
            </a:soli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105833</xdr:rowOff>
    </xdr:from>
    <xdr:to>
      <xdr:col>1</xdr:col>
      <xdr:colOff>1930400</xdr:colOff>
      <xdr:row>6</xdr:row>
      <xdr:rowOff>183474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99184E-2E69-48B8-ADC8-1E4B67C45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0133"/>
          <a:ext cx="2060575" cy="98569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95249</xdr:rowOff>
    </xdr:from>
    <xdr:to>
      <xdr:col>1</xdr:col>
      <xdr:colOff>1930400</xdr:colOff>
      <xdr:row>6</xdr:row>
      <xdr:rowOff>160190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268927-6761-47C2-A210-4BD880732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1666"/>
          <a:ext cx="2063750" cy="99204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63500</xdr:rowOff>
    </xdr:from>
    <xdr:to>
      <xdr:col>1</xdr:col>
      <xdr:colOff>1953683</xdr:colOff>
      <xdr:row>6</xdr:row>
      <xdr:rowOff>183475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5D45D3-69B0-4757-8EEA-17350C7B4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9917"/>
          <a:ext cx="2063750" cy="99204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105833</xdr:rowOff>
    </xdr:from>
    <xdr:to>
      <xdr:col>1</xdr:col>
      <xdr:colOff>1950508</xdr:colOff>
      <xdr:row>6</xdr:row>
      <xdr:rowOff>180299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5026F5-9295-433C-A00A-10825F645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2250"/>
          <a:ext cx="2063750" cy="99204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105833</xdr:rowOff>
    </xdr:from>
    <xdr:to>
      <xdr:col>1</xdr:col>
      <xdr:colOff>1953683</xdr:colOff>
      <xdr:row>6</xdr:row>
      <xdr:rowOff>160191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EFC9FE-1A3D-4C74-AAD7-D9426B5EF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2250"/>
          <a:ext cx="2063750" cy="992041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105833</xdr:rowOff>
    </xdr:from>
    <xdr:to>
      <xdr:col>1</xdr:col>
      <xdr:colOff>1933575</xdr:colOff>
      <xdr:row>6</xdr:row>
      <xdr:rowOff>180299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8865ED-6B26-4F4F-A00F-588CD88A7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2250"/>
          <a:ext cx="2063750" cy="992041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105833</xdr:rowOff>
    </xdr:from>
    <xdr:to>
      <xdr:col>1</xdr:col>
      <xdr:colOff>1950508</xdr:colOff>
      <xdr:row>6</xdr:row>
      <xdr:rowOff>180299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97115F-3725-4DBC-BF71-332F34B54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2250"/>
          <a:ext cx="2063750" cy="992041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2</xdr:row>
      <xdr:rowOff>9525</xdr:rowOff>
    </xdr:from>
    <xdr:to>
      <xdr:col>13</xdr:col>
      <xdr:colOff>8420</xdr:colOff>
      <xdr:row>13</xdr:row>
      <xdr:rowOff>171198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" y="333375"/>
          <a:ext cx="8847620" cy="20190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276224</xdr:colOff>
      <xdr:row>192</xdr:row>
      <xdr:rowOff>180975</xdr:rowOff>
    </xdr:from>
    <xdr:to>
      <xdr:col>38</xdr:col>
      <xdr:colOff>428624</xdr:colOff>
      <xdr:row>213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428625</xdr:colOff>
      <xdr:row>214</xdr:row>
      <xdr:rowOff>123825</xdr:rowOff>
    </xdr:from>
    <xdr:to>
      <xdr:col>39</xdr:col>
      <xdr:colOff>123825</xdr:colOff>
      <xdr:row>238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254000</xdr:colOff>
      <xdr:row>0</xdr:row>
      <xdr:rowOff>74084</xdr:rowOff>
    </xdr:from>
    <xdr:to>
      <xdr:col>18</xdr:col>
      <xdr:colOff>328083</xdr:colOff>
      <xdr:row>31</xdr:row>
      <xdr:rowOff>148168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13</xdr:row>
      <xdr:rowOff>23812</xdr:rowOff>
    </xdr:from>
    <xdr:to>
      <xdr:col>8</xdr:col>
      <xdr:colOff>590550</xdr:colOff>
      <xdr:row>30</xdr:row>
      <xdr:rowOff>14287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85725</xdr:colOff>
      <xdr:row>13</xdr:row>
      <xdr:rowOff>28575</xdr:rowOff>
    </xdr:from>
    <xdr:to>
      <xdr:col>14</xdr:col>
      <xdr:colOff>390525</xdr:colOff>
      <xdr:row>30</xdr:row>
      <xdr:rowOff>19050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42337</xdr:rowOff>
    </xdr:from>
    <xdr:to>
      <xdr:col>1</xdr:col>
      <xdr:colOff>1950508</xdr:colOff>
      <xdr:row>6</xdr:row>
      <xdr:rowOff>187711</xdr:rowOff>
    </xdr:to>
    <xdr:pic>
      <xdr:nvPicPr>
        <xdr:cNvPr id="4" name="Image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113F71-DDEA-A307-FE70-71162BDA9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8670"/>
          <a:ext cx="2063750" cy="99204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105833</xdr:rowOff>
    </xdr:from>
    <xdr:to>
      <xdr:col>1</xdr:col>
      <xdr:colOff>1953683</xdr:colOff>
      <xdr:row>6</xdr:row>
      <xdr:rowOff>183474</xdr:rowOff>
    </xdr:to>
    <xdr:pic>
      <xdr:nvPicPr>
        <xdr:cNvPr id="5" name="Imagem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BE4253-B4CC-4FAC-B006-18052EDB5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2250"/>
          <a:ext cx="2063750" cy="99204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116417</xdr:rowOff>
    </xdr:from>
    <xdr:to>
      <xdr:col>1</xdr:col>
      <xdr:colOff>1950508</xdr:colOff>
      <xdr:row>6</xdr:row>
      <xdr:rowOff>180300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871BAD-7D1C-432A-9D71-D55253AFD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2834"/>
          <a:ext cx="2063750" cy="99204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105833</xdr:rowOff>
    </xdr:from>
    <xdr:to>
      <xdr:col>1</xdr:col>
      <xdr:colOff>1930400</xdr:colOff>
      <xdr:row>6</xdr:row>
      <xdr:rowOff>183474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62EDAF-42FA-4CAC-9D09-56D5A2FD7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2250"/>
          <a:ext cx="2063750" cy="99204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105834</xdr:rowOff>
    </xdr:from>
    <xdr:to>
      <xdr:col>1</xdr:col>
      <xdr:colOff>1953683</xdr:colOff>
      <xdr:row>6</xdr:row>
      <xdr:rowOff>183475</xdr:rowOff>
    </xdr:to>
    <xdr:pic>
      <xdr:nvPicPr>
        <xdr:cNvPr id="5" name="Imagem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51F7B2-458C-43F8-A90E-1A3BA7BDF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2251"/>
          <a:ext cx="2063750" cy="99204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RI/Release/2018/1T18/Release/2T15/base/2&#176;%20ITR%202105.xlsx" TargetMode="External"/><Relationship Id="rId1" Type="http://schemas.openxmlformats.org/officeDocument/2006/relationships/externalLinkPath" Target="/RI/Release/2018/1T18/Release/2T15/base/2&#176;%20ITR%202105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is.carbocloro.com.br/Planejamento/Financiamentos/&amp;1%20Controle%20de%20D&#237;vida/D&#237;vida%20-%20Acompanhamento%20Mensal/06-05-31/Financiamentos-%20MAIO06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is.carbocloro.com.br/DOCUME~1/mnoronha/CONFIG~1/Temp/Diret&#243;rio%20tempor&#225;rio%201%20para%20Controle%20de%20D&#237;vida%2006-04-25.zip/Controle%20de%20D&#237;vida%2006-04-25.xls" TargetMode="External"/></Relationships>
</file>

<file path=xl/externalLinks/_rels/externalLink1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T25/11.Planilhas%20de%20Fundamentos/Fundamentos1T25.xlsx" TargetMode="External"/><Relationship Id="rId2" Type="http://schemas.openxmlformats.org/officeDocument/2006/relationships/externalLinkPath" Target="https://uniparsa.sharepoint.com/sites/PortalArq/saopaulo/Holding/Defin/RI/08.Resultados/1T25/11.Planilhas%20de%20Fundamentos/Fundamentos1T25.xlsx" TargetMode="External"/><Relationship Id="rId1" Type="http://schemas.openxmlformats.org/officeDocument/2006/relationships/externalLinkPath" Target="/sites/PortalArq/saopaulo/Holding/Defin/RI/08.Resultados/1T25/11.Planilhas%20de%20Fundamentos/Fundamentos1T25.xlsx" TargetMode="External"/></Relationships>
</file>

<file path=xl/externalLinks/_rels/externalLink1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4T25/04.Release/Base%20release4T25_2026.03.19.xlsx" TargetMode="External"/><Relationship Id="rId2" Type="http://schemas.openxmlformats.org/officeDocument/2006/relationships/externalLinkPath" Target="https://uniparsa.sharepoint.com/sites/PortalArq/saopaulo/Holding/Defin/RI/08.Resultados/4T25/04.Release/Base%20release4T25_2026.03.19.xlsx" TargetMode="External"/><Relationship Id="rId1" Type="http://schemas.openxmlformats.org/officeDocument/2006/relationships/externalLinkPath" Target="/sites/PortalArq/saopaulo/Holding/Defin/RI/08.Resultados/4T25/04.Release/Base%20release4T25_2026.03.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is.carbocloro.com.br/Planejamento/Financiamentos/&amp;2%20Financial%20Covenants/Reportes/SZPQ%20-%20Covenants%20Financeiros%20-%20Reportes%200606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is.carbocloro.com.br/sites/ciqdoc/gerirfinancas/gestaoderecursos/Documentos/Aplica&#231;&#245;es/2015/AF4_JUNHO_15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is.carbocloro.com.br/Planejamento/Proje&#231;&#245;es/&amp;1%20MODELO%20DE%20LONGO%20PRAZO/Apres%2019Maio06/SZPQ%20(19mai06)%200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is.carbocloro.com.br/Planejamento/Proje&#231;&#245;es/&amp;1%20MODELO%20DE%20LONGO%20PRAZO/Apres%2023Maio06/SZPQ%20(23mai06)%200008%20(com%20divida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is.carbocloro.com.br/Planejamento/Proje&#231;&#245;es/&amp;1%20MODELO%20DE%20LONGO%20PRAZO/Apres%2019Maio06/Controle%20de%20D&#237;vida%20Curto%20Prazo%2006-05-03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AGNALDO/CVM/2014%20-%20DFP%20-%20CVM/DF%20Anual.xlsx" TargetMode="External"/><Relationship Id="rId1" Type="http://schemas.openxmlformats.org/officeDocument/2006/relationships/externalLinkPath" Target="/AGNALDO/CVM/2014%20-%20DFP%20-%20CVM/DF%20An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is.carbocloro.com.br/TESOURARIA/UNIPAR%20HOLDING/APLICA&#199;&#213;ES/2009/Controle_Aplica&#231;&#245;es_HOLDING_junho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is.carbocloro.com.br/TESOURARIA/UNIPAR%20HOLDING/APLICA&#199;&#213;ES/2009/Controle_Aplica&#231;&#245;es_HOLDING_maio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JAN"/>
      <sheetName val="FEV"/>
      <sheetName val="MAR"/>
      <sheetName val="ABR"/>
      <sheetName val="JUN"/>
      <sheetName val="JUL"/>
      <sheetName val="AGO"/>
      <sheetName val="SET"/>
      <sheetName val="OUT"/>
      <sheetName val="NOV"/>
      <sheetName val="DEZ"/>
      <sheetName val="DEZ14"/>
      <sheetName val="DEZ13"/>
      <sheetName val="JAN_DVA"/>
      <sheetName val="FEV_DVA"/>
      <sheetName val="MAR_DVA"/>
      <sheetName val="ABR_DVA"/>
      <sheetName val="JUN_DVA"/>
      <sheetName val="JUL_DVA"/>
      <sheetName val="AGO_DVA"/>
      <sheetName val="SET_DVA"/>
      <sheetName val="OUT_DVA"/>
      <sheetName val="NOV_DVA"/>
      <sheetName val="DEZ_DVA"/>
      <sheetName val="MAI"/>
      <sheetName val="MAI_DVA"/>
      <sheetName val="BP analitico_062015"/>
      <sheetName val="Balanço Mensal"/>
      <sheetName val="DRE Acumulado"/>
      <sheetName val="DRE Mensal"/>
      <sheetName val="DFC Acumulado"/>
      <sheetName val="DFC Mensal"/>
      <sheetName val="DVA_Acumualdo"/>
      <sheetName val="BP-A CVM"/>
      <sheetName val="BP-P CVM"/>
      <sheetName val="DRE CVM"/>
      <sheetName val="DFC CVM"/>
      <sheetName val="DRA CVM"/>
      <sheetName val="Sup15_DRA"/>
      <sheetName val="Sup14_DRA"/>
      <sheetName val="DMPL CVM"/>
      <sheetName val="DVA CVM"/>
      <sheetName val="Nota 3"/>
      <sheetName val="Nota 4"/>
      <sheetName val="Nota 5"/>
      <sheetName val="Nota 6"/>
      <sheetName val="Demonstrativo "/>
      <sheetName val="Nota 7"/>
      <sheetName val="Nota 8"/>
      <sheetName val="Nota 9"/>
      <sheetName val="2015 EDC 1807110101"/>
      <sheetName val="2015 EDC 1807120101"/>
      <sheetName val="Nota 10"/>
      <sheetName val="Nota 11"/>
      <sheetName val="Nota 12"/>
      <sheetName val="Nota 13"/>
      <sheetName val="Nota 14"/>
      <sheetName val="Nota 15"/>
      <sheetName val="2ºITR 2015"/>
      <sheetName val="Nota 16"/>
      <sheetName val="Nota 17"/>
      <sheetName val="Nota 18"/>
      <sheetName val="Nota 19"/>
      <sheetName val="Nota 20"/>
      <sheetName val="Nota 21"/>
      <sheetName val="Nota 22"/>
      <sheetName val="Nota 23"/>
      <sheetName val="Nota 24"/>
      <sheetName val="Nota 27"/>
      <sheetName val="Nota 28"/>
    </sheetNames>
    <sheetDataSet>
      <sheetData sheetId="0" refreshError="1">
        <row r="2">
          <cell r="A2" t="str">
            <v>ATIVO</v>
          </cell>
          <cell r="B2">
            <v>1647912889.0999999</v>
          </cell>
        </row>
        <row r="3">
          <cell r="A3" t="str">
            <v>CIRCULANTE</v>
          </cell>
          <cell r="B3">
            <v>322633945.24000001</v>
          </cell>
        </row>
        <row r="4">
          <cell r="A4" t="str">
            <v>CAIXA E EQUIVALENTE DE CAIXA</v>
          </cell>
          <cell r="B4">
            <v>65613343.609999999</v>
          </cell>
        </row>
        <row r="5">
          <cell r="A5" t="str">
            <v>Recursos em caixa e contas correntes bancária</v>
          </cell>
          <cell r="B5">
            <v>604351.85</v>
          </cell>
        </row>
        <row r="6">
          <cell r="A6" t="str">
            <v>1110102030 Banco Itau (Realizado)</v>
          </cell>
          <cell r="B6">
            <v>172185.78</v>
          </cell>
        </row>
        <row r="7">
          <cell r="A7" t="str">
            <v>1110102040 Banco Santander (Realizado)</v>
          </cell>
          <cell r="B7">
            <v>255059.31</v>
          </cell>
        </row>
        <row r="8">
          <cell r="A8" t="str">
            <v>1110102080 Banco Votorantin (Realizado)</v>
          </cell>
          <cell r="B8">
            <v>514.13</v>
          </cell>
        </row>
        <row r="9">
          <cell r="A9" t="str">
            <v>1110102100 Banco Pactual S.A.(Realizado)</v>
          </cell>
          <cell r="B9">
            <v>1759.2</v>
          </cell>
        </row>
        <row r="10">
          <cell r="A10" t="str">
            <v>1110102120 Banco Alfa de Investimentos S.A. (Realizado)</v>
          </cell>
          <cell r="B10">
            <v>5772.25</v>
          </cell>
        </row>
        <row r="11">
          <cell r="A11" t="str">
            <v>1110102210 Banco do Brasil  (Realizado)</v>
          </cell>
          <cell r="B11">
            <v>159042.26</v>
          </cell>
        </row>
        <row r="12">
          <cell r="A12" t="str">
            <v>1110102220 Banco Bradesco (Realizado)</v>
          </cell>
          <cell r="B12">
            <v>820.2</v>
          </cell>
        </row>
        <row r="13">
          <cell r="A13" t="str">
            <v>1110102240 Banco Santander (Realizado)</v>
          </cell>
          <cell r="B13">
            <v>1577.14</v>
          </cell>
        </row>
        <row r="14">
          <cell r="A14" t="str">
            <v>1110102250 Caixa Economica Federal (Realizado)</v>
          </cell>
          <cell r="B14">
            <v>748.28</v>
          </cell>
        </row>
        <row r="15">
          <cell r="A15" t="str">
            <v>1110102270 Banco Safra (Realizado)</v>
          </cell>
          <cell r="B15">
            <v>2469.3200000000002</v>
          </cell>
        </row>
        <row r="16">
          <cell r="A16" t="str">
            <v>1110102290 Banco Paulista (Realizado)</v>
          </cell>
          <cell r="B16">
            <v>1598.81</v>
          </cell>
        </row>
        <row r="17">
          <cell r="A17" t="str">
            <v>1110102320 Banco Bradesco (Realizado)</v>
          </cell>
          <cell r="B17">
            <v>1703.68</v>
          </cell>
        </row>
        <row r="18">
          <cell r="A18" t="str">
            <v>1110102350 Caixa Economica Federal (Realizado)</v>
          </cell>
          <cell r="B18">
            <v>1101.49</v>
          </cell>
        </row>
        <row r="19">
          <cell r="A19" t="str">
            <v>Aplicações Financeiras (CDBs)</v>
          </cell>
          <cell r="B19">
            <v>65008991.759999998</v>
          </cell>
        </row>
        <row r="20">
          <cell r="A20" t="str">
            <v>1110105010 Aplicaçoes Financeiras (Realizado)</v>
          </cell>
          <cell r="B20">
            <v>65008991.759999998</v>
          </cell>
        </row>
        <row r="21">
          <cell r="A21" t="str">
            <v>APLICAÇÕES FINANCEIRAS</v>
          </cell>
          <cell r="B21">
            <v>131232482.75</v>
          </cell>
        </row>
        <row r="22">
          <cell r="A22" t="str">
            <v>Mantidos para negociação</v>
          </cell>
          <cell r="B22">
            <v>86700510.75</v>
          </cell>
        </row>
        <row r="23">
          <cell r="A23" t="str">
            <v>1110201010 Tits do Merc de Cap Inter Mant p/ Neg (Realizado)</v>
          </cell>
          <cell r="B23">
            <v>86700510.75</v>
          </cell>
        </row>
        <row r="24">
          <cell r="A24" t="str">
            <v>Mantidos até o vencimento</v>
          </cell>
          <cell r="B24">
            <v>44531972</v>
          </cell>
        </row>
        <row r="25">
          <cell r="A25" t="str">
            <v>1110201020 Tits do Merc de Cap Inter Mant ate Ven (Realizado)</v>
          </cell>
          <cell r="B25">
            <v>44531972</v>
          </cell>
        </row>
        <row r="26">
          <cell r="A26" t="str">
            <v>DUPLICATAS A RECEBER DE CLIENTES</v>
          </cell>
          <cell r="B26">
            <v>77706537.290000007</v>
          </cell>
        </row>
        <row r="27">
          <cell r="A27" t="str">
            <v>Clientes nacionais</v>
          </cell>
          <cell r="B27">
            <v>91894245.859999999</v>
          </cell>
        </row>
        <row r="28">
          <cell r="A28" t="str">
            <v>1110501010 Duplicatas a Receber no MI  (Realizado)</v>
          </cell>
          <cell r="B28">
            <v>93508130.659999996</v>
          </cell>
        </row>
        <row r="29">
          <cell r="A29" t="str">
            <v>1110501011 Duplicatas a Receber no MI (Parcela de CP / LP)</v>
          </cell>
          <cell r="B29">
            <v>-1482635.16</v>
          </cell>
        </row>
        <row r="30">
          <cell r="A30" t="str">
            <v>1110501014 (-)Rec Financeira a apropriar s/Dups a Rec no MI</v>
          </cell>
          <cell r="B30">
            <v>-131249.64000000001</v>
          </cell>
        </row>
        <row r="31">
          <cell r="A31" t="str">
            <v>PCLD</v>
          </cell>
          <cell r="B31">
            <v>-14187708.57</v>
          </cell>
        </row>
        <row r="32">
          <cell r="A32" t="str">
            <v>1110501900 (-) Provisões para Créditos de Liquidação Duvidosa</v>
          </cell>
          <cell r="B32">
            <v>-14187708.57</v>
          </cell>
        </row>
        <row r="33">
          <cell r="A33" t="str">
            <v>IMPOSTOS A RECUPERAR</v>
          </cell>
          <cell r="B33">
            <v>9498902.9199999999</v>
          </cell>
        </row>
        <row r="34">
          <cell r="A34" t="str">
            <v>Impostos de renda e CSLL</v>
          </cell>
          <cell r="B34">
            <v>-3013748.65</v>
          </cell>
        </row>
        <row r="35">
          <cell r="A35" t="str">
            <v>1111506020 IRRF sobre Aplicaçoes Financeiras (Realizado)</v>
          </cell>
          <cell r="B35">
            <v>141341.72</v>
          </cell>
        </row>
        <row r="36">
          <cell r="A36" t="str">
            <v>1111506990 Cred Fisc IRPJ Sdo Negativo Per Anterior (Realiz)</v>
          </cell>
          <cell r="B36">
            <v>1018741.26</v>
          </cell>
        </row>
        <row r="37">
          <cell r="A37" t="str">
            <v>2112001010 Prov p/ CSLL s/Resultado Operacional (Realizado)</v>
          </cell>
          <cell r="B37">
            <v>-1480126.28</v>
          </cell>
        </row>
        <row r="38">
          <cell r="A38" t="str">
            <v>2112001040 Contribuição Social s/Compensação Base Negativa (R</v>
          </cell>
          <cell r="B38">
            <v>365382.57</v>
          </cell>
        </row>
        <row r="39">
          <cell r="A39" t="str">
            <v>2112002010 Prov p/  IR s/Resultando Operacional (Realizado)</v>
          </cell>
          <cell r="B39">
            <v>-4074039.5</v>
          </cell>
        </row>
        <row r="40">
          <cell r="A40" t="str">
            <v>2112002040 Imposto de Renda s/ Compensação Prejuízo Fiscal (R</v>
          </cell>
          <cell r="B40">
            <v>1014951.58</v>
          </cell>
        </row>
        <row r="41">
          <cell r="A41" t="str">
            <v>ICMS a recuperar</v>
          </cell>
          <cell r="B41">
            <v>2103420.56</v>
          </cell>
        </row>
        <row r="42">
          <cell r="A42" t="str">
            <v>1111507010 ICMS a Recup sobre Ativo Permanente (Realizado)</v>
          </cell>
          <cell r="B42">
            <v>2455038.48</v>
          </cell>
        </row>
        <row r="43">
          <cell r="A43" t="str">
            <v>1111507014 (-)AVP sobre ICMS a Recup sobre Ativo Permanente</v>
          </cell>
          <cell r="B43">
            <v>-351617.92</v>
          </cell>
        </row>
        <row r="44">
          <cell r="A44" t="str">
            <v>INSS a compensar</v>
          </cell>
          <cell r="B44">
            <v>5644507.4199999999</v>
          </cell>
        </row>
        <row r="45">
          <cell r="A45" t="str">
            <v>1111599070 INSS a Compensar  - Decisão Judicial (Realizado)</v>
          </cell>
          <cell r="B45">
            <v>5644507.4199999999</v>
          </cell>
        </row>
        <row r="46">
          <cell r="A46" t="str">
            <v>PIS a compensar Lei nº 9.715</v>
          </cell>
          <cell r="B46">
            <v>3109123.69</v>
          </cell>
        </row>
        <row r="47">
          <cell r="A47" t="str">
            <v>1111599000 PIS a Compensar Lei 9715 (Realizado)</v>
          </cell>
          <cell r="B47">
            <v>3109123.69</v>
          </cell>
        </row>
        <row r="48">
          <cell r="A48" t="str">
            <v>Outros</v>
          </cell>
          <cell r="B48">
            <v>1655599.9</v>
          </cell>
        </row>
        <row r="49">
          <cell r="A49" t="str">
            <v>1111599010 Imp Import a Rec-Recolhimento em Dupl (Realiz)</v>
          </cell>
          <cell r="B49">
            <v>232231.19</v>
          </cell>
        </row>
        <row r="50">
          <cell r="A50" t="str">
            <v>1111599020 INSS a Rec-Recolhimento em Duplicidade (Realizado)</v>
          </cell>
          <cell r="B50">
            <v>66438.64</v>
          </cell>
        </row>
        <row r="51">
          <cell r="A51" t="str">
            <v>1111599030 Adic Estadual doImposto de Renda a Rec (Realizado)</v>
          </cell>
          <cell r="B51">
            <v>1251533.5</v>
          </cell>
        </row>
        <row r="52">
          <cell r="A52" t="str">
            <v>1111599040 FINSOCIAL 1982/83 (Realizado)</v>
          </cell>
          <cell r="B52">
            <v>67054.64</v>
          </cell>
        </row>
        <row r="53">
          <cell r="A53" t="str">
            <v>1111599050 IRRF Tercs Ret a Maior (Realizado)</v>
          </cell>
          <cell r="B53">
            <v>24650.6</v>
          </cell>
        </row>
        <row r="54">
          <cell r="A54" t="str">
            <v>1111599060 PIS/COF/COF Ret a maior (Realizado)</v>
          </cell>
          <cell r="B54">
            <v>7951.81</v>
          </cell>
        </row>
        <row r="55">
          <cell r="A55" t="str">
            <v>1111599080 ISS a restituir</v>
          </cell>
          <cell r="B55">
            <v>5739.52</v>
          </cell>
        </row>
        <row r="56">
          <cell r="A56" t="str">
            <v>ESTOQUES</v>
          </cell>
          <cell r="B56">
            <v>25723388.879999999</v>
          </cell>
        </row>
        <row r="57">
          <cell r="A57" t="str">
            <v>Matérias-primas</v>
          </cell>
          <cell r="B57">
            <v>48672.09</v>
          </cell>
        </row>
        <row r="58">
          <cell r="A58" t="str">
            <v>1112090010 Importaçoes em And de Materias Primas (Realizado)</v>
          </cell>
          <cell r="B58">
            <v>48672.09</v>
          </cell>
        </row>
        <row r="59">
          <cell r="A59" t="str">
            <v>Produtos em processo</v>
          </cell>
          <cell r="B59">
            <v>15745843.33</v>
          </cell>
        </row>
        <row r="60">
          <cell r="A60" t="str">
            <v>1112003010 Estoques de Produtos em Elaboraçao (Realizado)</v>
          </cell>
          <cell r="B60">
            <v>15745843.33</v>
          </cell>
        </row>
        <row r="61">
          <cell r="A61" t="str">
            <v>Produtos Acabados</v>
          </cell>
          <cell r="B61">
            <v>3254926.28</v>
          </cell>
        </row>
        <row r="62">
          <cell r="A62" t="str">
            <v>1112010010 Estoques de Produtos Acabados (Realizado)</v>
          </cell>
          <cell r="B62">
            <v>3236674.06</v>
          </cell>
        </row>
        <row r="63">
          <cell r="A63" t="str">
            <v>1112050010 Estoques de Mercadorias Rev Nacionais (Realizado)</v>
          </cell>
          <cell r="B63">
            <v>17882.39</v>
          </cell>
        </row>
        <row r="64">
          <cell r="A64" t="str">
            <v>1112050020 Estoques de Mercadorias Rev Importadas (Realizado)</v>
          </cell>
          <cell r="B64">
            <v>369.83</v>
          </cell>
        </row>
        <row r="65">
          <cell r="A65" t="str">
            <v>Provisão para desvalorização</v>
          </cell>
          <cell r="B65">
            <v>-858861.88</v>
          </cell>
        </row>
        <row r="66">
          <cell r="A66" t="str">
            <v>1112010014 (-)Prov p/ Aj. do Est ao Vlr de Merc - Prods Acab</v>
          </cell>
          <cell r="B66">
            <v>-858861.88</v>
          </cell>
        </row>
        <row r="67">
          <cell r="A67" t="str">
            <v>Materiais auxiliares e embalagens</v>
          </cell>
          <cell r="B67">
            <v>2477260.46</v>
          </cell>
        </row>
        <row r="68">
          <cell r="A68" t="str">
            <v>1112005010 Estoques de Insumos (Mat-Aux) (Realiz)</v>
          </cell>
          <cell r="B68">
            <v>2296598.8199999998</v>
          </cell>
        </row>
        <row r="69">
          <cell r="A69" t="str">
            <v>1112008010 Estoques de Materiais de Embalagens (Realizado)</v>
          </cell>
          <cell r="B69">
            <v>180661.64</v>
          </cell>
        </row>
        <row r="70">
          <cell r="A70" t="str">
            <v>Materiais de manutenção e outros</v>
          </cell>
          <cell r="B70">
            <v>5055548.5999999996</v>
          </cell>
        </row>
        <row r="71">
          <cell r="A71" t="str">
            <v>1112020020 Estoque Almoxarif CP-Manutençao Eletrica (Realiz)</v>
          </cell>
          <cell r="B71">
            <v>1715628.56</v>
          </cell>
        </row>
        <row r="72">
          <cell r="A72" t="str">
            <v>1112020030 Estoque Almoxarif CP-Manutençao Mecanica (Realiz)</v>
          </cell>
          <cell r="B72">
            <v>5559512.2599999998</v>
          </cell>
        </row>
        <row r="73">
          <cell r="A73" t="str">
            <v>1112020050 Estoq Alm CP-Manut Calderaria e Tubulaçao (Realiz)</v>
          </cell>
          <cell r="B73">
            <v>4156581.15</v>
          </cell>
        </row>
        <row r="74">
          <cell r="A74" t="str">
            <v>1112020060 Estoque Alm CP-Manutençao Instrumentaçao (Realiz)</v>
          </cell>
          <cell r="B74">
            <v>4336802.26</v>
          </cell>
        </row>
        <row r="75">
          <cell r="A75" t="str">
            <v>1112020070 Estoque Alm CP-Manutençao Celula HG (Realizado)</v>
          </cell>
          <cell r="B75">
            <v>523582.52</v>
          </cell>
        </row>
        <row r="76">
          <cell r="A76" t="str">
            <v>1112020080 Estoque Almo CP-Manut Celula Diafragma (Realizado)</v>
          </cell>
          <cell r="B76">
            <v>969341.39</v>
          </cell>
        </row>
        <row r="77">
          <cell r="A77" t="str">
            <v>1112020090 Estoque Alm CP-Manutençao Celula Membrana (Realiz)</v>
          </cell>
          <cell r="B77">
            <v>12839.65</v>
          </cell>
        </row>
        <row r="78">
          <cell r="A78" t="str">
            <v>1112020100 Estoque Alm CP-Manut.de Cilindros e Carretas R</v>
          </cell>
          <cell r="B78">
            <v>136752.17000000001</v>
          </cell>
        </row>
        <row r="79">
          <cell r="A79" t="str">
            <v>1112020500 Estoque Alm CP-Almoxarifado de Uso Geral (Realiz)</v>
          </cell>
          <cell r="B79">
            <v>297904.24</v>
          </cell>
        </row>
        <row r="80">
          <cell r="A80" t="str">
            <v>1112020991 Estoque Almoxarifado Transf. Parcela Realizada L.P</v>
          </cell>
          <cell r="B80">
            <v>-12756735.939999999</v>
          </cell>
        </row>
        <row r="81">
          <cell r="A81" t="str">
            <v>1112080200 Etq de Outros Mats-Almox em Poder de Ters (Realiz)</v>
          </cell>
          <cell r="B81">
            <v>103340.34</v>
          </cell>
        </row>
        <row r="82">
          <cell r="A82" t="str">
            <v>DESPESAS DE EXERCICIO SEGUINTE</v>
          </cell>
          <cell r="B82">
            <v>3809080.43</v>
          </cell>
        </row>
        <row r="83">
          <cell r="A83" t="str">
            <v>Pagamentos Antecipados</v>
          </cell>
          <cell r="B83">
            <v>3809080.43</v>
          </cell>
        </row>
        <row r="84">
          <cell r="A84" t="str">
            <v>1119001010 Pagamentos Antecipados-Seguros (Realizado)</v>
          </cell>
          <cell r="B84">
            <v>1484650.71</v>
          </cell>
        </row>
        <row r="85">
          <cell r="A85" t="str">
            <v>1119001030 Pagamentos Antecip-Serv Tecnicos Prof (Realizado)</v>
          </cell>
          <cell r="B85">
            <v>151167.53</v>
          </cell>
        </row>
        <row r="86">
          <cell r="A86" t="str">
            <v>1119001040 Pagamentos Antecipados-Impostos (Realizado)</v>
          </cell>
          <cell r="B86">
            <v>2064406.19</v>
          </cell>
        </row>
        <row r="87">
          <cell r="A87" t="str">
            <v>1119001050 Pagtos Antecip-Contribuiçoes Associativas (Realiz)</v>
          </cell>
          <cell r="B87">
            <v>1200</v>
          </cell>
        </row>
        <row r="88">
          <cell r="A88" t="str">
            <v>1119001900 Pagtos Antecip-Outras Desps/Custos(Realizado)</v>
          </cell>
          <cell r="B88">
            <v>107656</v>
          </cell>
        </row>
        <row r="89">
          <cell r="A89" t="str">
            <v>OUTROS ATIVOS CIRCULANTE</v>
          </cell>
          <cell r="B89">
            <v>9050209.3599999994</v>
          </cell>
        </row>
        <row r="90">
          <cell r="A90" t="str">
            <v>Adiantamento a Fornecedores</v>
          </cell>
          <cell r="B90">
            <v>2699862.45</v>
          </cell>
        </row>
        <row r="91">
          <cell r="A91" t="str">
            <v>1118001010 Adiantamentos a Fornec de Serviços (Realizado)</v>
          </cell>
          <cell r="B91">
            <v>58311.89</v>
          </cell>
        </row>
        <row r="92">
          <cell r="A92" t="str">
            <v>1118001020 Adiantamentos a Fornecedores de MP (Realizado)</v>
          </cell>
          <cell r="B92">
            <v>2319164.85</v>
          </cell>
        </row>
        <row r="93">
          <cell r="A93" t="str">
            <v>1118001040 Adiant  Fornecs de Materias de Consumo (Realizado)</v>
          </cell>
          <cell r="B93">
            <v>46462.89</v>
          </cell>
        </row>
        <row r="94">
          <cell r="A94" t="str">
            <v>1118001050 Adiant Fornecs de Funcionarios (Realizado)</v>
          </cell>
          <cell r="B94">
            <v>1800</v>
          </cell>
        </row>
        <row r="95">
          <cell r="A95" t="str">
            <v>1118001070 Adiantamentos a Fornecedores do Exterior</v>
          </cell>
          <cell r="B95">
            <v>274122.82</v>
          </cell>
        </row>
        <row r="96">
          <cell r="A96" t="str">
            <v>Créditos a receber na venda de ativos</v>
          </cell>
          <cell r="B96">
            <v>6127915.6500000004</v>
          </cell>
        </row>
        <row r="97">
          <cell r="A97" t="str">
            <v>1118099060 Outros Créditos- Contratos a Receber (Realizado)</v>
          </cell>
          <cell r="B97">
            <v>6127915.6500000004</v>
          </cell>
        </row>
        <row r="98">
          <cell r="A98" t="str">
            <v>Outros Créditos</v>
          </cell>
          <cell r="B98">
            <v>222431.26</v>
          </cell>
        </row>
        <row r="99">
          <cell r="A99" t="str">
            <v>1118002010 Adiantamentos a Empregados Salarios (Realizado)</v>
          </cell>
          <cell r="B99">
            <v>417.6</v>
          </cell>
        </row>
        <row r="100">
          <cell r="A100" t="str">
            <v>1118002030 Adiantamentos a Empregados Ferias (Realizado)</v>
          </cell>
          <cell r="B100">
            <v>35546.67</v>
          </cell>
        </row>
        <row r="101">
          <cell r="A101" t="str">
            <v>1118002050 Adiant a Empregados Plano Auxilio Doen (Realizado)</v>
          </cell>
          <cell r="B101">
            <v>6950</v>
          </cell>
        </row>
        <row r="102">
          <cell r="A102" t="str">
            <v>1118002060 Adto a Empregados Cobertura de Sdo Devedor (R)</v>
          </cell>
          <cell r="B102">
            <v>10688.86</v>
          </cell>
        </row>
        <row r="103">
          <cell r="A103" t="str">
            <v>1118002090 Adto a Empregados Desp de Resp de Funcionario (R)</v>
          </cell>
          <cell r="B103">
            <v>3247.9</v>
          </cell>
        </row>
        <row r="104">
          <cell r="A104" t="str">
            <v>1118099020 Outros Creditos-Depositos e Cauçoes (Realizado)</v>
          </cell>
          <cell r="B104">
            <v>165580.23000000001</v>
          </cell>
        </row>
        <row r="105">
          <cell r="A105" t="str">
            <v>NÃO CIRCULANTE</v>
          </cell>
          <cell r="B105">
            <v>67422128.859999999</v>
          </cell>
        </row>
        <row r="106">
          <cell r="A106" t="str">
            <v>DUPLICATAS A RECEBER DE CLIENTES</v>
          </cell>
          <cell r="B106">
            <v>1466557.4</v>
          </cell>
        </row>
        <row r="107">
          <cell r="A107" t="str">
            <v>Clientes nacionais</v>
          </cell>
          <cell r="B107">
            <v>1466557.4</v>
          </cell>
        </row>
        <row r="108">
          <cell r="A108" t="str">
            <v>1710501011 Duplicatas a Receber no MI LP (Parcela de CP / LP)</v>
          </cell>
          <cell r="B108">
            <v>1482635.16</v>
          </cell>
        </row>
        <row r="109">
          <cell r="A109" t="str">
            <v>1710501014 (-)Rec Fin a apr s/ Dups a Rec no MI LP (P CP/LP)</v>
          </cell>
          <cell r="B109">
            <v>-16077.76</v>
          </cell>
        </row>
        <row r="110">
          <cell r="A110" t="str">
            <v>IMPOSTOS A RECUPERAR</v>
          </cell>
          <cell r="B110">
            <v>3292245.53</v>
          </cell>
        </row>
        <row r="111">
          <cell r="A111" t="str">
            <v>ICMS a Recuperar</v>
          </cell>
          <cell r="B111">
            <v>3024026.97</v>
          </cell>
        </row>
        <row r="112">
          <cell r="A112" t="str">
            <v>1711507010 ICMS a Recuperar s/e Ativo Permanet LP (Realizado)</v>
          </cell>
          <cell r="B112">
            <v>3190488.99</v>
          </cell>
        </row>
        <row r="113">
          <cell r="A113" t="str">
            <v>1711507014 (-)AVP s/ ICMS a Recuperar s/ Ativo Permanente LP</v>
          </cell>
          <cell r="B113">
            <v>-166462.01999999999</v>
          </cell>
        </row>
        <row r="114">
          <cell r="A114" t="str">
            <v>Outros</v>
          </cell>
          <cell r="B114">
            <v>268218.56</v>
          </cell>
        </row>
        <row r="115">
          <cell r="A115" t="str">
            <v>1711599040 FINSOCIAL 1982/83 (Realizado)</v>
          </cell>
          <cell r="B115">
            <v>268218.56</v>
          </cell>
        </row>
        <row r="116">
          <cell r="A116" t="str">
            <v>ESTOQUES</v>
          </cell>
          <cell r="B116">
            <v>12756655.439999999</v>
          </cell>
        </row>
        <row r="117">
          <cell r="A117" t="str">
            <v>Materiais de Almoxarifado de Giro Baixo</v>
          </cell>
          <cell r="B117">
            <v>12756655.439999999</v>
          </cell>
        </row>
        <row r="118">
          <cell r="A118" t="str">
            <v>1712020991 Estoque Almoxarifado Parcela Realizada LP</v>
          </cell>
          <cell r="B118">
            <v>12756655.439999999</v>
          </cell>
        </row>
        <row r="119">
          <cell r="A119" t="str">
            <v>DEPÓSITOS JUDICIAIS</v>
          </cell>
          <cell r="B119">
            <v>49906670.490000002</v>
          </cell>
        </row>
        <row r="120">
          <cell r="A120" t="str">
            <v>Tributários</v>
          </cell>
          <cell r="B120">
            <v>8911498.4100000001</v>
          </cell>
        </row>
        <row r="121">
          <cell r="A121" t="str">
            <v>1719001010 Dep Jud s/Res Trib Fed R</v>
          </cell>
          <cell r="B121">
            <v>7884493.1200000001</v>
          </cell>
        </row>
        <row r="122">
          <cell r="A122" t="str">
            <v>1719001011 ATM Dep Jud s/Res Trib Fed R</v>
          </cell>
          <cell r="B122">
            <v>676568.61</v>
          </cell>
        </row>
        <row r="123">
          <cell r="A123" t="str">
            <v>1719001030 Depos Jud s/Reserva-Imp, Taxas e Contrib Munic (R)</v>
          </cell>
          <cell r="B123">
            <v>350436.68</v>
          </cell>
        </row>
        <row r="124">
          <cell r="A124" t="str">
            <v>Trabalhistas</v>
          </cell>
          <cell r="B124">
            <v>6066264.4299999997</v>
          </cell>
        </row>
        <row r="125">
          <cell r="A125" t="str">
            <v>1719002010 Depos Jud s/Reserva-Reclamaçoes Trab (Realizado)</v>
          </cell>
          <cell r="B125">
            <v>4336872.2</v>
          </cell>
        </row>
        <row r="126">
          <cell r="A126" t="str">
            <v>1719002030 Dep Judiciais s/Res -Previdenciarios (Realizado)</v>
          </cell>
          <cell r="B126">
            <v>1729392.23</v>
          </cell>
        </row>
        <row r="127">
          <cell r="A127" t="str">
            <v>Outros depósitos judiciais</v>
          </cell>
          <cell r="B127">
            <v>34928907.649999999</v>
          </cell>
        </row>
        <row r="128">
          <cell r="A128" t="str">
            <v>1719003990 Outros Dep Judic s/Reserva de Nat Oper (Realizado)</v>
          </cell>
          <cell r="B128">
            <v>30560940.02</v>
          </cell>
        </row>
        <row r="129">
          <cell r="A129" t="str">
            <v>1719003991 ATM Outros Dep Judic s/Reserva Nat Oper (Realiz)</v>
          </cell>
          <cell r="B129">
            <v>4367967.63</v>
          </cell>
        </row>
        <row r="130">
          <cell r="A130" t="str">
            <v>INVESTIMENTOS</v>
          </cell>
          <cell r="B130">
            <v>64147531.140000001</v>
          </cell>
        </row>
        <row r="131">
          <cell r="A131" t="str">
            <v>PARTICIPAÇÃO EM COLIGADA</v>
          </cell>
          <cell r="B131">
            <v>64147531.140000001</v>
          </cell>
        </row>
        <row r="132">
          <cell r="A132" t="str">
            <v>Tecsis tecnologia e sistemas avançados</v>
          </cell>
          <cell r="B132">
            <v>64147531.140000001</v>
          </cell>
        </row>
        <row r="133">
          <cell r="A133" t="str">
            <v>1720201010 Cto Part Per em Coligada ou ControladaTecsis</v>
          </cell>
          <cell r="B133">
            <v>-254620.16</v>
          </cell>
        </row>
        <row r="134">
          <cell r="A134" t="str">
            <v>1720201012 Agios em Partic Per Colig ou Control - Tecsis</v>
          </cell>
          <cell r="B134">
            <v>26896601.149999999</v>
          </cell>
        </row>
        <row r="135">
          <cell r="A135" t="str">
            <v>1720201014 Vlr Justo Ativos em Part Per Col Cont Tecsis</v>
          </cell>
          <cell r="B135">
            <v>58505815.5</v>
          </cell>
        </row>
        <row r="136">
          <cell r="A136" t="str">
            <v>1720201015 Realização Vlr Justo em Part Per Col Cont -Tecsis</v>
          </cell>
          <cell r="B136">
            <v>-12250128.960000001</v>
          </cell>
        </row>
        <row r="137">
          <cell r="A137" t="str">
            <v>1720201018 Ajust Aval Patrimonial em Part Per Col Cont Tecsis</v>
          </cell>
          <cell r="B137">
            <v>-8750136.3900000006</v>
          </cell>
        </row>
        <row r="138">
          <cell r="A138" t="str">
            <v>IMOBILIZADO</v>
          </cell>
          <cell r="B138">
            <v>905852876.07000005</v>
          </cell>
        </row>
        <row r="139">
          <cell r="A139" t="str">
            <v>CUSTO</v>
          </cell>
          <cell r="B139">
            <v>1491111845.1199999</v>
          </cell>
        </row>
        <row r="140">
          <cell r="A140" t="str">
            <v>Terrenos</v>
          </cell>
          <cell r="B140">
            <v>247550000.00999999</v>
          </cell>
        </row>
        <row r="141">
          <cell r="A141" t="str">
            <v>1740101010 Imobilizado-Custo dos Terrenos</v>
          </cell>
          <cell r="B141">
            <v>2292264.9900000002</v>
          </cell>
        </row>
        <row r="142">
          <cell r="A142" t="str">
            <v>1740101011 Imobilizado-Mais Valia dos Terrenos</v>
          </cell>
          <cell r="B142">
            <v>122628867.51000001</v>
          </cell>
        </row>
        <row r="143">
          <cell r="A143" t="str">
            <v>1740101012 Imobilizado-Mais Valia Comb Neg dos Terrenos</v>
          </cell>
          <cell r="B143">
            <v>122628867.51000001</v>
          </cell>
        </row>
        <row r="144">
          <cell r="A144" t="str">
            <v>Edificações e construções</v>
          </cell>
          <cell r="B144">
            <v>145980061.33000001</v>
          </cell>
        </row>
        <row r="145">
          <cell r="A145" t="str">
            <v>1740102010 Imobilizado-Custo dos Edificios</v>
          </cell>
          <cell r="B145">
            <v>125904815.04000001</v>
          </cell>
        </row>
        <row r="146">
          <cell r="A146" t="str">
            <v>1740102011 Imobilizado-Mais Valia dos Edificios</v>
          </cell>
          <cell r="B146">
            <v>2867318.76</v>
          </cell>
        </row>
        <row r="147">
          <cell r="A147" t="str">
            <v>1740102012 Imobilizado-Mais Valia Comb Negocios dos Edificios</v>
          </cell>
          <cell r="B147">
            <v>2867318.76</v>
          </cell>
        </row>
        <row r="148">
          <cell r="A148" t="str">
            <v>1740102014 Imobilizado-Contrapartida do AVP de Edificios</v>
          </cell>
          <cell r="B148">
            <v>246130.39</v>
          </cell>
        </row>
        <row r="149">
          <cell r="A149" t="str">
            <v>1740102020 Imobilizado-Custo das Benfeitorias</v>
          </cell>
          <cell r="B149">
            <v>9745640.0999999996</v>
          </cell>
        </row>
        <row r="150">
          <cell r="A150" t="str">
            <v>1740102021 Imobilizado-Mais Valia Benfeitorias</v>
          </cell>
          <cell r="B150">
            <v>2173636.4</v>
          </cell>
        </row>
        <row r="151">
          <cell r="A151" t="str">
            <v>1740102022 Imobilizado-Mais Valia Comb Neg Benfeitorias</v>
          </cell>
          <cell r="B151">
            <v>2173636.4</v>
          </cell>
        </row>
        <row r="152">
          <cell r="A152" t="str">
            <v>1740102024 Imobilizado-Contrapartida do AVP de Beneficios</v>
          </cell>
          <cell r="B152">
            <v>1565.48</v>
          </cell>
        </row>
        <row r="153">
          <cell r="A153" t="str">
            <v>Equipamentos e Instalações</v>
          </cell>
          <cell r="B153">
            <v>1035343443.65</v>
          </cell>
        </row>
        <row r="154">
          <cell r="A154" t="str">
            <v>1740103010 Imobilizado-Custo de Equipamentos</v>
          </cell>
          <cell r="B154">
            <v>810366140.25</v>
          </cell>
        </row>
        <row r="155">
          <cell r="A155" t="str">
            <v>1740103011 Imobilizado-Mais Valia Equipamentos</v>
          </cell>
          <cell r="B155">
            <v>97213800.430000007</v>
          </cell>
        </row>
        <row r="156">
          <cell r="A156" t="str">
            <v>1740103012 Imobilizado-Mais Valia Comb Neg Equipamentos</v>
          </cell>
          <cell r="B156">
            <v>97213800.430000007</v>
          </cell>
        </row>
        <row r="157">
          <cell r="A157" t="str">
            <v>1740103014 Imobilizado-AVP Equipamentos</v>
          </cell>
          <cell r="B157">
            <v>8860139.2200000007</v>
          </cell>
        </row>
        <row r="158">
          <cell r="A158" t="str">
            <v>1740103020 Imobilizado-Custo dos Sobressalentes</v>
          </cell>
          <cell r="B158">
            <v>17144456.969999999</v>
          </cell>
        </row>
        <row r="159">
          <cell r="A159" t="str">
            <v>1740103021 Imobilizado-Mais Valia dos Sobressalentes</v>
          </cell>
          <cell r="B159">
            <v>2255648.7999999998</v>
          </cell>
        </row>
        <row r="160">
          <cell r="A160" t="str">
            <v>1740103022 Imobilizado-Custo dos Sobressalentes</v>
          </cell>
          <cell r="B160">
            <v>2255648.7999999998</v>
          </cell>
        </row>
        <row r="161">
          <cell r="A161" t="str">
            <v>1740105020 Imobilizado-Custo de Veiculos Fora de Estrada</v>
          </cell>
          <cell r="B161">
            <v>33808.75</v>
          </cell>
        </row>
        <row r="162">
          <cell r="A162" t="str">
            <v>Veículos</v>
          </cell>
          <cell r="B162">
            <v>1397156.4</v>
          </cell>
        </row>
        <row r="163">
          <cell r="A163" t="str">
            <v>1740105010 Imob-Custo de Veiculos de Passageiros e Carga</v>
          </cell>
          <cell r="B163">
            <v>1392567.28</v>
          </cell>
        </row>
        <row r="164">
          <cell r="A164" t="str">
            <v>1740105011 Imob-Mais Valia de Veiculos de Passageiros e Carga</v>
          </cell>
          <cell r="B164">
            <v>2153.92</v>
          </cell>
        </row>
        <row r="165">
          <cell r="A165" t="str">
            <v>1740105012 Imob-Mais Valia de Veiculos de Passageiros e Carga</v>
          </cell>
          <cell r="B165">
            <v>2153.92</v>
          </cell>
        </row>
        <row r="166">
          <cell r="A166" t="str">
            <v>1740105014 Imob-AVP de Veiculos de Passageiros e Carga</v>
          </cell>
          <cell r="B166">
            <v>281.27999999999997</v>
          </cell>
        </row>
        <row r="167">
          <cell r="A167" t="str">
            <v>Móveis e utensílios</v>
          </cell>
          <cell r="B167">
            <v>12120520.35</v>
          </cell>
        </row>
        <row r="168">
          <cell r="A168" t="str">
            <v>1740104010 Imob-Custo de Moveis, Utensilios e Inst Comerciais</v>
          </cell>
          <cell r="B168">
            <v>12075697.51</v>
          </cell>
        </row>
        <row r="169">
          <cell r="A169" t="str">
            <v>1740104014 Imob-AVP de Moveis, Utensilios e Inst Comerciais</v>
          </cell>
          <cell r="B169">
            <v>44822.84</v>
          </cell>
        </row>
        <row r="170">
          <cell r="A170" t="str">
            <v>Demais bens</v>
          </cell>
          <cell r="B170">
            <v>11112668.92</v>
          </cell>
        </row>
        <row r="171">
          <cell r="A171" t="str">
            <v>1740199010 Imobilizado-Custo de Material Auxiliar Permanente</v>
          </cell>
          <cell r="B171">
            <v>2511016.21</v>
          </cell>
        </row>
        <row r="172">
          <cell r="A172" t="str">
            <v>1740199070 Imobilizado-Custo de Computadores e Perifericos</v>
          </cell>
          <cell r="B172">
            <v>8565331.0899999999</v>
          </cell>
        </row>
        <row r="173">
          <cell r="A173" t="str">
            <v>1740199074 Imobilizado- AVP de Computadores e Perifericos</v>
          </cell>
          <cell r="B173">
            <v>36321.620000000003</v>
          </cell>
        </row>
        <row r="174">
          <cell r="A174" t="str">
            <v>imobilizado em andamento</v>
          </cell>
          <cell r="B174">
            <v>37607994.460000001</v>
          </cell>
        </row>
        <row r="175">
          <cell r="A175" t="str">
            <v>1745001010 Imob Andament-Custo das Aquisiçoes p/Imob (Receb)</v>
          </cell>
          <cell r="B175">
            <v>30262486.300000001</v>
          </cell>
        </row>
        <row r="176">
          <cell r="A176" t="str">
            <v>1745001014 Contrapartida dos Aj a Vr Presente de IeA</v>
          </cell>
          <cell r="B176">
            <v>138628.96</v>
          </cell>
        </row>
        <row r="177">
          <cell r="A177" t="str">
            <v>1745001020 Imob And-Cto das Aquisiç de Sobres de Imob (Receb)</v>
          </cell>
          <cell r="B177">
            <v>341991.17</v>
          </cell>
        </row>
        <row r="178">
          <cell r="A178" t="str">
            <v>1745002030 Imob And-Cto dos Adiants p/Aquis de Imobiliz (T)</v>
          </cell>
          <cell r="B178">
            <v>1000508.05</v>
          </cell>
        </row>
        <row r="179">
          <cell r="A179" t="str">
            <v>1745099010 Imob And-Encar Fin s/ Aquis de Imob-Juros (Realiz)</v>
          </cell>
          <cell r="B179">
            <v>3655630.23</v>
          </cell>
        </row>
        <row r="180">
          <cell r="A180" t="str">
            <v>1745099030 Imob And-Encar Fin s/ Aquis de Imob-Var Cam (R)</v>
          </cell>
          <cell r="B180">
            <v>2208749.75</v>
          </cell>
        </row>
        <row r="181">
          <cell r="A181" t="str">
            <v>DEPRECIAÇÃO</v>
          </cell>
          <cell r="B181">
            <v>-585258969.04999995</v>
          </cell>
        </row>
        <row r="182">
          <cell r="A182" t="str">
            <v>Edificações e construções</v>
          </cell>
          <cell r="B182">
            <v>-45322715.43</v>
          </cell>
        </row>
        <row r="183">
          <cell r="A183" t="str">
            <v>1740502010 (-)Depreciaçao-Custo dos Edificios</v>
          </cell>
          <cell r="B183">
            <v>-38544573.119999997</v>
          </cell>
        </row>
        <row r="184">
          <cell r="A184" t="str">
            <v>1740502011 (-)Depreciaçao-Mais Valia Edificios</v>
          </cell>
          <cell r="B184">
            <v>-131669.74</v>
          </cell>
        </row>
        <row r="185">
          <cell r="A185" t="str">
            <v>1740502012 (-)Depreciaçao-Mais Valia Combin Neg Edificios</v>
          </cell>
          <cell r="B185">
            <v>-131669.74</v>
          </cell>
        </row>
        <row r="186">
          <cell r="A186" t="str">
            <v>1740502014 (-)Depr-Contrapartida do AVP de Edificios</v>
          </cell>
          <cell r="B186">
            <v>-30078.9</v>
          </cell>
        </row>
        <row r="187">
          <cell r="A187" t="str">
            <v>1740502020 (-)Depreciaçao-Custo das Benfeitorias</v>
          </cell>
          <cell r="B187">
            <v>-6099861.7000000002</v>
          </cell>
        </row>
        <row r="188">
          <cell r="A188" t="str">
            <v>1740502021 (-)Depreciaçao-Mais Valia Benfeitorias</v>
          </cell>
          <cell r="B188">
            <v>-192275.16</v>
          </cell>
        </row>
        <row r="189">
          <cell r="A189" t="str">
            <v>1740502022 (-)Depreciaçao-Mais Valia Combin Neg Benfeitorias</v>
          </cell>
          <cell r="B189">
            <v>-192275.16</v>
          </cell>
        </row>
        <row r="190">
          <cell r="A190" t="str">
            <v>1740502024 (-)Depr-Contrapartida do AVP de Benfeitorias</v>
          </cell>
          <cell r="B190">
            <v>-311.91000000000003</v>
          </cell>
        </row>
        <row r="191">
          <cell r="A191" t="str">
            <v>Equipamentos e Instalações</v>
          </cell>
          <cell r="B191">
            <v>-523753668.11000001</v>
          </cell>
        </row>
        <row r="192">
          <cell r="A192" t="str">
            <v>1740503010 (-)Depreciaçao-Custo de Equipamentos</v>
          </cell>
          <cell r="B192">
            <v>-495265314.63999999</v>
          </cell>
        </row>
        <row r="193">
          <cell r="A193" t="str">
            <v>1740503011 (-)Depreciaçao-Mais Valia Equipamentos</v>
          </cell>
          <cell r="B193">
            <v>-8090438</v>
          </cell>
        </row>
        <row r="194">
          <cell r="A194" t="str">
            <v>1740503012 (-)Depreciaçao-Mais Valia Combin Neg Equipamentos</v>
          </cell>
          <cell r="B194">
            <v>-8090438</v>
          </cell>
        </row>
        <row r="195">
          <cell r="A195" t="str">
            <v>1740503014 (-)Depr-Contrapartida do AVP de Equipamentos</v>
          </cell>
          <cell r="B195">
            <v>-2638870.5299999998</v>
          </cell>
        </row>
        <row r="196">
          <cell r="A196" t="str">
            <v>1740503020 (-)Depreciaçao-Custo dos Sobressalentes</v>
          </cell>
          <cell r="B196">
            <v>-9275428.9700000007</v>
          </cell>
        </row>
        <row r="197">
          <cell r="A197" t="str">
            <v>1740503021 (-)Depreciaçao-Mais Valia Sobressalentes</v>
          </cell>
          <cell r="B197">
            <v>-187944.47</v>
          </cell>
        </row>
        <row r="198">
          <cell r="A198" t="str">
            <v>1740503022 (-)Depreciaçao-Mais Valia Combin Neg Sobressalente</v>
          </cell>
          <cell r="B198">
            <v>-187944.47</v>
          </cell>
        </row>
        <row r="199">
          <cell r="A199" t="str">
            <v>1740505020 (-)Depreciaçao-Custo de Veiculos Fora da Estrada</v>
          </cell>
          <cell r="B199">
            <v>-17289.03</v>
          </cell>
        </row>
        <row r="200">
          <cell r="A200" t="str">
            <v>Veículos</v>
          </cell>
          <cell r="B200">
            <v>-817810.45</v>
          </cell>
        </row>
        <row r="201">
          <cell r="A201" t="str">
            <v>1740505010 (-)Depr-Custo de Veiculos de Passageiros e Carga</v>
          </cell>
          <cell r="B201">
            <v>-815646.87</v>
          </cell>
        </row>
        <row r="202">
          <cell r="A202" t="str">
            <v>1740505011 (-)Depreciaçao-Mais Valia Veiculos</v>
          </cell>
          <cell r="B202">
            <v>-957.32</v>
          </cell>
        </row>
        <row r="203">
          <cell r="A203" t="str">
            <v>1740505012 (-)Depreciaçao-Mais Valia Combin Neg Veiculos</v>
          </cell>
          <cell r="B203">
            <v>-957.32</v>
          </cell>
        </row>
        <row r="204">
          <cell r="A204" t="str">
            <v>1740505014 (-)Depr-Contrapartida do AVP de Veículos</v>
          </cell>
          <cell r="B204">
            <v>-248.94</v>
          </cell>
        </row>
        <row r="205">
          <cell r="A205" t="str">
            <v>Móveis e utensílios</v>
          </cell>
          <cell r="B205">
            <v>-8407588.5800000001</v>
          </cell>
        </row>
        <row r="206">
          <cell r="A206" t="str">
            <v>1740504010 (-)Depreciaçao-Custo dos Móveis, Utens e Inst Com</v>
          </cell>
          <cell r="B206">
            <v>-8394911.1199999992</v>
          </cell>
        </row>
        <row r="207">
          <cell r="A207" t="str">
            <v>1740504014 (-)Depr-Contrapartida do AVP de Móveis, Utens</v>
          </cell>
          <cell r="B207">
            <v>-12677.46</v>
          </cell>
        </row>
        <row r="208">
          <cell r="A208" t="str">
            <v>Demais bens</v>
          </cell>
          <cell r="B208">
            <v>-6957186.4800000004</v>
          </cell>
        </row>
        <row r="209">
          <cell r="A209" t="str">
            <v>1740599070 (-)Depreciaçao-Custo de Computadores e Perifericos</v>
          </cell>
          <cell r="B209">
            <v>-6936244.2199999997</v>
          </cell>
        </row>
        <row r="210">
          <cell r="A210" t="str">
            <v>1740599074 (-)Depr-Contrap do AVP dos Computad Perifericos</v>
          </cell>
          <cell r="B210">
            <v>-20942.259999999998</v>
          </cell>
        </row>
        <row r="211">
          <cell r="A211" t="str">
            <v>INTANGÍVEL</v>
          </cell>
          <cell r="B211">
            <v>287856407.79000002</v>
          </cell>
        </row>
        <row r="212">
          <cell r="A212" t="str">
            <v>INTANGÍVEL EM OPERAÇÃO</v>
          </cell>
          <cell r="B212">
            <v>287856407.79000002</v>
          </cell>
        </row>
        <row r="213">
          <cell r="A213" t="str">
            <v>Ágio - combinação de negócio em estágios</v>
          </cell>
          <cell r="B213">
            <v>195808784.34999999</v>
          </cell>
        </row>
        <row r="214">
          <cell r="A214" t="str">
            <v>1750190012 Intangivel Op-Mais Valia C N Ativ n Alocados</v>
          </cell>
          <cell r="B214">
            <v>195808784.34999999</v>
          </cell>
        </row>
        <row r="215">
          <cell r="A215" t="str">
            <v>Carteira de clientes</v>
          </cell>
          <cell r="B215">
            <v>176666.64</v>
          </cell>
        </row>
        <row r="216">
          <cell r="A216" t="str">
            <v>1750103011 Intangivel Op-Mais Valia de Carteira de Clientes</v>
          </cell>
          <cell r="B216">
            <v>106000</v>
          </cell>
        </row>
        <row r="217">
          <cell r="A217" t="str">
            <v>1750103012 Intangivel Op-Mais Valia de Carteira Clientes C N</v>
          </cell>
          <cell r="B217">
            <v>106000</v>
          </cell>
        </row>
        <row r="218">
          <cell r="A218" t="str">
            <v>1750603011 (-)Amort-Mais Valia Carteira de Clientes</v>
          </cell>
          <cell r="B218">
            <v>-17666.68</v>
          </cell>
        </row>
        <row r="219">
          <cell r="A219" t="str">
            <v>1750603012 (-)Amort-Mais Valia C N Carteira de Clientes</v>
          </cell>
          <cell r="B219">
            <v>-17666.68</v>
          </cell>
        </row>
        <row r="220">
          <cell r="A220" t="str">
            <v>Direito de uso de software e pesquisa e desen</v>
          </cell>
          <cell r="B220">
            <v>14696983.539999999</v>
          </cell>
        </row>
        <row r="221">
          <cell r="A221" t="str">
            <v>1750101010 Intangivel Op-Custo das Marcas e Patentes</v>
          </cell>
          <cell r="B221">
            <v>1385.16</v>
          </cell>
        </row>
        <row r="222">
          <cell r="A222" t="str">
            <v>1750102010 Intangivel Op-Cto das Software ou Prog de Comput</v>
          </cell>
          <cell r="B222">
            <v>19392499.699999999</v>
          </cell>
        </row>
        <row r="223">
          <cell r="A223" t="str">
            <v>1750102014 Intangivel Op-AV de Software ou Prog de Comput</v>
          </cell>
          <cell r="B223">
            <v>61858.13</v>
          </cell>
        </row>
        <row r="224">
          <cell r="A224" t="str">
            <v>1750602010 (-)Amort-Cto dos Software ou Programas de Comput</v>
          </cell>
          <cell r="B224">
            <v>-4751992.08</v>
          </cell>
        </row>
        <row r="225">
          <cell r="A225" t="str">
            <v>1750602014 (-)Amort-Contrapartida do AVP de Softwares</v>
          </cell>
          <cell r="B225">
            <v>-6767.37</v>
          </cell>
        </row>
        <row r="226">
          <cell r="A226" t="str">
            <v>Ágio Goodwill</v>
          </cell>
          <cell r="B226">
            <v>116930262.52</v>
          </cell>
        </row>
        <row r="227">
          <cell r="A227" t="str">
            <v>1750190011 Intangivel Op-Mais Valia Ativ n Alocados</v>
          </cell>
          <cell r="B227">
            <v>116930262.52</v>
          </cell>
        </row>
        <row r="228">
          <cell r="A228" t="str">
            <v>Tributos diferidos s/ágio não alocado</v>
          </cell>
          <cell r="B228">
            <v>-39756289.259999998</v>
          </cell>
        </row>
        <row r="229">
          <cell r="A229" t="str">
            <v>1750190021 Intangivel Op-Tribs Dif S/Mais Valia de Ativos (R)</v>
          </cell>
          <cell r="B229">
            <v>-39756289.259999998</v>
          </cell>
        </row>
        <row r="230">
          <cell r="A230" t="str">
            <v>1754901020 Trib Diferidos s/Mais Valia CN Ativos Imob (Realiz</v>
          </cell>
          <cell r="B230">
            <v>-74333009.510000005</v>
          </cell>
        </row>
        <row r="231">
          <cell r="A231" t="str">
            <v>1754901021 Trib Diferidos s/Mais Valia CN At Imob (Tr Passivo</v>
          </cell>
          <cell r="B231">
            <v>74333009.510000005</v>
          </cell>
        </row>
        <row r="232">
          <cell r="A232" t="str">
            <v>PASSIVO E PATRIMÔNIO LÍQUIDO</v>
          </cell>
          <cell r="B232">
            <v>-1647912889.0999999</v>
          </cell>
        </row>
        <row r="233">
          <cell r="A233" t="str">
            <v>CIRCULANTE</v>
          </cell>
          <cell r="B233">
            <v>-300492160.77999997</v>
          </cell>
        </row>
        <row r="234">
          <cell r="A234" t="str">
            <v>FORNECEDORES</v>
          </cell>
          <cell r="B234">
            <v>-22865635.699999999</v>
          </cell>
        </row>
        <row r="235">
          <cell r="A235" t="str">
            <v>Serviços</v>
          </cell>
          <cell r="B235">
            <v>-6944000.2599999998</v>
          </cell>
        </row>
        <row r="236">
          <cell r="A236" t="str">
            <v>2110101010 Fornecedores Nacionais de Serviços (Realizado)</v>
          </cell>
          <cell r="B236">
            <v>-6944000.2599999998</v>
          </cell>
        </row>
        <row r="237">
          <cell r="A237" t="str">
            <v>Matérias Primas</v>
          </cell>
          <cell r="B237">
            <v>-2953569.42</v>
          </cell>
        </row>
        <row r="238">
          <cell r="A238" t="str">
            <v>2110101020 Fornecedores Nacionais de MP (Realizado)</v>
          </cell>
          <cell r="B238">
            <v>-2953569.42</v>
          </cell>
        </row>
        <row r="239">
          <cell r="A239" t="str">
            <v>Fretes</v>
          </cell>
          <cell r="B239">
            <v>-6603870.75</v>
          </cell>
        </row>
        <row r="240">
          <cell r="A240" t="str">
            <v>2110101070 Fornecedores Nacionais de Fretes (Realizado)</v>
          </cell>
          <cell r="B240">
            <v>-6603870.75</v>
          </cell>
        </row>
        <row r="241">
          <cell r="A241" t="str">
            <v>Materiais de Consumo</v>
          </cell>
          <cell r="B241">
            <v>-1576425.06</v>
          </cell>
        </row>
        <row r="242">
          <cell r="A242" t="str">
            <v>2110101040 Fornecedores Nacionais de Mat de Cons(Realizado)</v>
          </cell>
          <cell r="B242">
            <v>-1516019.17</v>
          </cell>
        </row>
        <row r="243">
          <cell r="A243" t="str">
            <v>2110102040 Fornecedores do Ext de Mat de Cons (Realizado)</v>
          </cell>
          <cell r="B243">
            <v>-60405.89</v>
          </cell>
        </row>
        <row r="244">
          <cell r="A244" t="str">
            <v>Demais tipos de fornecedores</v>
          </cell>
          <cell r="B244">
            <v>-4787770.21</v>
          </cell>
        </row>
        <row r="245">
          <cell r="A245" t="str">
            <v>2110101030 Fornecedores Nacionais de Energia (Realizado)</v>
          </cell>
          <cell r="B245">
            <v>-30408.3</v>
          </cell>
        </row>
        <row r="246">
          <cell r="A246" t="str">
            <v>2110101050 Fornecedores Nacionais Funcionarios (Realizado)</v>
          </cell>
          <cell r="B246">
            <v>-25760.67</v>
          </cell>
        </row>
        <row r="247">
          <cell r="A247" t="str">
            <v>2110101060 Fornecedores Nacionais Imps e Contrib (Realizado)</v>
          </cell>
          <cell r="B247">
            <v>-2275825.34</v>
          </cell>
        </row>
        <row r="248">
          <cell r="A248" t="str">
            <v>2110199011 Provisao de Entrada de Mercad e de Fatura (EM/EF)</v>
          </cell>
          <cell r="B248">
            <v>-2455775.9</v>
          </cell>
        </row>
        <row r="249">
          <cell r="A249" t="str">
            <v>EMPRÉSTIMOS</v>
          </cell>
          <cell r="B249">
            <v>-189428578.62</v>
          </cell>
        </row>
        <row r="250">
          <cell r="A250" t="str">
            <v>Moeda nacional</v>
          </cell>
          <cell r="B250">
            <v>-187935890.43000001</v>
          </cell>
        </row>
        <row r="251">
          <cell r="A251" t="str">
            <v>2110502010 Emprest e Financs em Moeda Nacional CP (Realizado)</v>
          </cell>
          <cell r="B251">
            <v>-162945578.81999999</v>
          </cell>
        </row>
        <row r="252">
          <cell r="A252" t="str">
            <v>2110502020 Juros s/Empr Fin em Moeda Nacional CP (Realizado)</v>
          </cell>
          <cell r="B252">
            <v>-19797603.59</v>
          </cell>
        </row>
        <row r="253">
          <cell r="A253" t="str">
            <v>2110502500 Custo de Emprest e Finan Amort em MN CP (Realiz)</v>
          </cell>
          <cell r="B253">
            <v>-5192708.0199999996</v>
          </cell>
        </row>
        <row r="254">
          <cell r="A254" t="str">
            <v>Moeda estrangeira</v>
          </cell>
          <cell r="B254">
            <v>-1492688.19</v>
          </cell>
        </row>
        <row r="255">
          <cell r="A255" t="str">
            <v>2110502600 Emprestimos e Finan em Moeda Estrang CP (Realiz)</v>
          </cell>
          <cell r="B255">
            <v>-1572243.32</v>
          </cell>
        </row>
        <row r="256">
          <cell r="A256" t="str">
            <v>2110502610 Jur s/Emprest e Finan Moeda Estrang CP (Realizado)</v>
          </cell>
          <cell r="B256">
            <v>79555.13</v>
          </cell>
        </row>
        <row r="257">
          <cell r="A257" t="str">
            <v>SALÁRIOS E ENCARGOS SOCIAIS</v>
          </cell>
          <cell r="B257">
            <v>-23772286.48</v>
          </cell>
        </row>
        <row r="258">
          <cell r="A258" t="str">
            <v>Salários, Férias e Gratificações</v>
          </cell>
          <cell r="B258">
            <v>-19655009.670000002</v>
          </cell>
        </row>
        <row r="259">
          <cell r="A259" t="str">
            <v>2111001010 Salarios a Pagar (Realizado)</v>
          </cell>
          <cell r="B259">
            <v>446.74</v>
          </cell>
        </row>
        <row r="260">
          <cell r="A260" t="str">
            <v>2111001050 Provisao de 13º Salario (Realizado)</v>
          </cell>
          <cell r="B260">
            <v>-378696.98</v>
          </cell>
        </row>
        <row r="261">
          <cell r="A261" t="str">
            <v>2111001060 Provisao de Ferias (Realizado)</v>
          </cell>
          <cell r="B261">
            <v>-5431201.8700000001</v>
          </cell>
        </row>
        <row r="262">
          <cell r="A262" t="str">
            <v>2111001080 Provisao de Gratificaçoes Ferias (Realizado)</v>
          </cell>
          <cell r="B262">
            <v>-3308868.56</v>
          </cell>
        </row>
        <row r="263">
          <cell r="A263" t="str">
            <v>2111001090 Provisao de Gratificaçoes Diretores Estatutários</v>
          </cell>
          <cell r="B263">
            <v>-4106783</v>
          </cell>
        </row>
        <row r="264">
          <cell r="A264" t="str">
            <v>2111001100 Provisão de Gratificações  - CLT</v>
          </cell>
          <cell r="B264">
            <v>-2131978</v>
          </cell>
        </row>
        <row r="265">
          <cell r="A265" t="str">
            <v>2111001900 Provisoes Partic nos Lucros de Funcion (Realizado)</v>
          </cell>
          <cell r="B265">
            <v>-4297928</v>
          </cell>
        </row>
        <row r="266">
          <cell r="A266" t="str">
            <v>INSS</v>
          </cell>
          <cell r="B266">
            <v>-3285667.99</v>
          </cell>
        </row>
        <row r="267">
          <cell r="A267" t="str">
            <v>2111005010 Contrib Prev a Recolher-INSS s/Folha (Realizado)</v>
          </cell>
          <cell r="B267">
            <v>-1637781.87</v>
          </cell>
        </row>
        <row r="268">
          <cell r="A268" t="str">
            <v>2111005020 Contrib Prev a Recolher-INSS s/Autonomos (Realiz)</v>
          </cell>
          <cell r="B268">
            <v>-16430.97</v>
          </cell>
        </row>
        <row r="269">
          <cell r="A269" t="str">
            <v>2111005030 Contrib Prev a Recolher-INSS s/Cooperativas (Real)</v>
          </cell>
          <cell r="B269">
            <v>-325.87</v>
          </cell>
        </row>
        <row r="270">
          <cell r="A270" t="str">
            <v>2111005050 Prov de Contrib Prev-INSS sobre 13º Salario (R)</v>
          </cell>
          <cell r="B270">
            <v>-106319.43</v>
          </cell>
        </row>
        <row r="271">
          <cell r="A271" t="str">
            <v>2111005060 Prov de Contrib Prev-INSS sobre Ferias (Realizado)</v>
          </cell>
          <cell r="B271">
            <v>-1524809.85</v>
          </cell>
        </row>
        <row r="272">
          <cell r="A272" t="str">
            <v>FGTS</v>
          </cell>
          <cell r="B272">
            <v>-831608.82</v>
          </cell>
        </row>
        <row r="273">
          <cell r="A273" t="str">
            <v>2111006010 Contrib Prev a Recolher-FGTS s/Folha (Realizado)</v>
          </cell>
          <cell r="B273">
            <v>-366976.83</v>
          </cell>
        </row>
        <row r="274">
          <cell r="A274" t="str">
            <v>2111006050 Prov Contrib Prev-FGTS s/ 13º Salario (Realizado)</v>
          </cell>
          <cell r="B274">
            <v>-30281.65</v>
          </cell>
        </row>
        <row r="275">
          <cell r="A275" t="str">
            <v>2111006060 Prov Contrib Prev-FGTS sobre Ferias (Realizado)</v>
          </cell>
          <cell r="B275">
            <v>-434350.34</v>
          </cell>
        </row>
        <row r="276">
          <cell r="A276" t="str">
            <v>OUTROS IMPOSTOS E CONTRIBUIÇÕES A PAGAR</v>
          </cell>
          <cell r="B276">
            <v>-13188761.09</v>
          </cell>
        </row>
        <row r="277">
          <cell r="A277" t="str">
            <v>ICMS a recolher</v>
          </cell>
          <cell r="B277">
            <v>-8028787.1399999997</v>
          </cell>
        </row>
        <row r="278">
          <cell r="A278" t="str">
            <v>2113005300 ICMS a Recolher (Realizado)</v>
          </cell>
          <cell r="B278">
            <v>-8028787.1399999997</v>
          </cell>
        </row>
        <row r="279">
          <cell r="A279" t="str">
            <v>PIS a recolher</v>
          </cell>
          <cell r="B279">
            <v>-712656.49</v>
          </cell>
        </row>
        <row r="280">
          <cell r="A280" t="str">
            <v>2113005010 PIS a Recolher (Realizado)</v>
          </cell>
          <cell r="B280">
            <v>-712656.49</v>
          </cell>
        </row>
        <row r="281">
          <cell r="A281" t="str">
            <v>Cofins a recolher</v>
          </cell>
          <cell r="B281">
            <v>-3282540.7</v>
          </cell>
        </row>
        <row r="282">
          <cell r="A282" t="str">
            <v>2113005020 COFINS a Recolher (Realizado)</v>
          </cell>
          <cell r="B282">
            <v>-3282540.7</v>
          </cell>
        </row>
        <row r="283">
          <cell r="A283" t="str">
            <v>Obrigações tributárias s/ servs.de terceiros</v>
          </cell>
          <cell r="B283">
            <v>-1164776.76</v>
          </cell>
        </row>
        <row r="284">
          <cell r="A284" t="str">
            <v>2113001010 IR de Funcionarios (Realizado)</v>
          </cell>
          <cell r="B284">
            <v>-955311.7</v>
          </cell>
        </row>
        <row r="285">
          <cell r="A285" t="str">
            <v>2113001300 Imposto de Renda s/Servs de Terceiros (Realizado)</v>
          </cell>
          <cell r="B285">
            <v>-36112.620000000003</v>
          </cell>
        </row>
        <row r="286">
          <cell r="A286" t="str">
            <v>2113001310 INSS s/Serviços de Terceiros PF</v>
          </cell>
          <cell r="B286">
            <v>-2769.15</v>
          </cell>
        </row>
        <row r="287">
          <cell r="A287" t="str">
            <v>2113001320 INSS s/Serviços de Terceiros PJ</v>
          </cell>
          <cell r="B287">
            <v>-70956.479999999996</v>
          </cell>
        </row>
        <row r="288">
          <cell r="A288" t="str">
            <v>2113001350 CSLL s/Serviços de Terceiros (Realizado)</v>
          </cell>
          <cell r="B288">
            <v>-8544.5300000000007</v>
          </cell>
        </row>
        <row r="289">
          <cell r="A289" t="str">
            <v>2113001360 PIS s/Serviços de Terceiros (Realizado)</v>
          </cell>
          <cell r="B289">
            <v>-5738.48</v>
          </cell>
        </row>
        <row r="290">
          <cell r="A290" t="str">
            <v>2113001370 COFINS s/Serviços de Terceiros (Realizado)</v>
          </cell>
          <cell r="B290">
            <v>-26485.19</v>
          </cell>
        </row>
        <row r="291">
          <cell r="A291" t="str">
            <v>2113001400 ISS s/Serviços de Terceiros (Realizado)</v>
          </cell>
          <cell r="B291">
            <v>-58858.61</v>
          </cell>
        </row>
        <row r="292">
          <cell r="A292" t="str">
            <v>DIVIDENDOS E JUROS S/ CAPITAL PROPRIO A PAGAR</v>
          </cell>
          <cell r="B292">
            <v>-20483539.239999998</v>
          </cell>
        </row>
        <row r="293">
          <cell r="A293" t="str">
            <v>Dividendos a pagar</v>
          </cell>
          <cell r="B293">
            <v>-611355.68000000005</v>
          </cell>
        </row>
        <row r="294">
          <cell r="A294" t="str">
            <v>2114001010 Dividendos a Pagar (Realizado)</v>
          </cell>
          <cell r="B294">
            <v>-611355.68000000005</v>
          </cell>
        </row>
        <row r="295">
          <cell r="A295" t="str">
            <v>Dividendos propostos</v>
          </cell>
          <cell r="B295">
            <v>-19872183.559999999</v>
          </cell>
        </row>
        <row r="296">
          <cell r="A296" t="str">
            <v>2114001020 Dividendos Propostos (Realizado)</v>
          </cell>
          <cell r="B296">
            <v>-19872183.559999999</v>
          </cell>
        </row>
        <row r="297">
          <cell r="A297" t="str">
            <v>DEMANDAS JUDICIAIS</v>
          </cell>
          <cell r="B297">
            <v>-5512771.1399999997</v>
          </cell>
        </row>
        <row r="298">
          <cell r="A298" t="str">
            <v>Fiscais</v>
          </cell>
          <cell r="B298">
            <v>-5512771.1399999997</v>
          </cell>
        </row>
        <row r="299">
          <cell r="A299" t="str">
            <v>2119001010 Prov Nat Trib s/Dep Gar CP-Imp,Taxas Contr Fed (R)</v>
          </cell>
          <cell r="B299">
            <v>-5512771.1399999997</v>
          </cell>
        </row>
        <row r="300">
          <cell r="A300" t="str">
            <v>ENERGIA ELÉTRICA</v>
          </cell>
          <cell r="B300">
            <v>-14118581.689999999</v>
          </cell>
        </row>
        <row r="301">
          <cell r="A301" t="str">
            <v>Energia elétrica provisionada</v>
          </cell>
          <cell r="B301">
            <v>-14118581.689999999</v>
          </cell>
        </row>
        <row r="302">
          <cell r="A302" t="str">
            <v>2118005010 Fornec e nao Faturado-Energia Eletrica (Realizado)</v>
          </cell>
          <cell r="B302">
            <v>-14118581.689999999</v>
          </cell>
        </row>
        <row r="303">
          <cell r="A303" t="str">
            <v>OUTROS PASSIVOS CIRCULANTES</v>
          </cell>
          <cell r="B303">
            <v>-11122006.82</v>
          </cell>
        </row>
        <row r="304">
          <cell r="A304" t="str">
            <v>Serviços Técnicos profissionais</v>
          </cell>
          <cell r="B304">
            <v>-280000</v>
          </cell>
        </row>
        <row r="305">
          <cell r="A305" t="str">
            <v>2119003020 Prov Nat Op Desp c/ Servs Tecn e Prof CP (Realiz)</v>
          </cell>
          <cell r="B305">
            <v>-280000</v>
          </cell>
        </row>
        <row r="306">
          <cell r="A306" t="str">
            <v>Fretes sobre vendas</v>
          </cell>
          <cell r="B306">
            <v>-3249073.4</v>
          </cell>
        </row>
        <row r="307">
          <cell r="A307" t="str">
            <v>2119003010 Prov Nat Op Desp c/ Fretes s/Vendas CP (Realizado)</v>
          </cell>
          <cell r="B307">
            <v>-3249073.4</v>
          </cell>
        </row>
        <row r="308">
          <cell r="A308" t="str">
            <v>Desembaraço alfandegário</v>
          </cell>
          <cell r="B308">
            <v>-4141413.42</v>
          </cell>
        </row>
        <row r="309">
          <cell r="A309" t="str">
            <v>2118005040 Fornec e nao Faturado-Materiais de Cons (Realiz)</v>
          </cell>
          <cell r="B309">
            <v>-4141413.42</v>
          </cell>
        </row>
        <row r="310">
          <cell r="A310" t="str">
            <v>Obrigações de natureza fiscais</v>
          </cell>
          <cell r="B310">
            <v>-1896837</v>
          </cell>
        </row>
        <row r="311">
          <cell r="A311" t="str">
            <v>2119001030 Prov Nat Trib s/Dep Gar CP-Imp,Taxas Cont Mun (R)</v>
          </cell>
          <cell r="B311">
            <v>-1896837</v>
          </cell>
        </row>
        <row r="312">
          <cell r="A312" t="str">
            <v>Trabalhistas e previdênciárias</v>
          </cell>
          <cell r="B312">
            <v>-15371.44</v>
          </cell>
        </row>
        <row r="313">
          <cell r="A313" t="str">
            <v>2119002020 Prov Ind Trab p/Desligamen Compulsório CP (Realiz)</v>
          </cell>
          <cell r="B313">
            <v>-15371.44</v>
          </cell>
        </row>
        <row r="314">
          <cell r="A314" t="str">
            <v>Outras obrigações e compromissos</v>
          </cell>
          <cell r="B314">
            <v>-1539311.56</v>
          </cell>
        </row>
        <row r="315">
          <cell r="A315" t="str">
            <v>2118005020 Fornec e nao Faturado-Agua (Realizado)</v>
          </cell>
          <cell r="B315">
            <v>-41000</v>
          </cell>
        </row>
        <row r="316">
          <cell r="A316" t="str">
            <v>2118005090 Fornec e nao Faturado-Servs Prestados (Realizado)</v>
          </cell>
          <cell r="B316">
            <v>-386341.5</v>
          </cell>
        </row>
        <row r="317">
          <cell r="A317" t="str">
            <v>2118010010 Retençoes s/Contratos de Compras (Realizado)</v>
          </cell>
          <cell r="B317">
            <v>-16416.61</v>
          </cell>
        </row>
        <row r="318">
          <cell r="A318" t="str">
            <v>2118050010 Adiantamentos de Clientes (Realizado)</v>
          </cell>
          <cell r="B318">
            <v>-809247.93</v>
          </cell>
        </row>
        <row r="319">
          <cell r="A319" t="str">
            <v>2119003030 Prov Nat Op Desp c/Servs de Auditoria CP (Realiz)</v>
          </cell>
          <cell r="B319">
            <v>-206305.52</v>
          </cell>
        </row>
        <row r="320">
          <cell r="A320" t="str">
            <v>2119003040 Prov Nat Op Desp c/Seguros Gerais CP (Realizado)</v>
          </cell>
          <cell r="B320">
            <v>-80000</v>
          </cell>
        </row>
        <row r="321">
          <cell r="A321" t="str">
            <v>NÃO CIRCULANTE</v>
          </cell>
          <cell r="B321">
            <v>-563092006.92999995</v>
          </cell>
        </row>
        <row r="322">
          <cell r="A322" t="str">
            <v>EMPRÉSTIMOS</v>
          </cell>
          <cell r="B322">
            <v>-467176274.26999998</v>
          </cell>
        </row>
        <row r="323">
          <cell r="A323" t="str">
            <v>Moeda nacional</v>
          </cell>
          <cell r="B323">
            <v>-461827578.61000001</v>
          </cell>
        </row>
        <row r="324">
          <cell r="A324" t="str">
            <v>2310502010 Emprest Finan Bancarios Moeda Nacional LP (R)</v>
          </cell>
          <cell r="B324">
            <v>-461827578.61000001</v>
          </cell>
        </row>
        <row r="325">
          <cell r="A325" t="str">
            <v>Moeda estrangeira</v>
          </cell>
          <cell r="B325">
            <v>-5348695.66</v>
          </cell>
        </row>
        <row r="326">
          <cell r="A326" t="str">
            <v>2310502600 Empr Financiamentos Moeda Estrangeira LP (Realiz)</v>
          </cell>
          <cell r="B326">
            <v>-5348695.66</v>
          </cell>
        </row>
        <row r="327">
          <cell r="A327" t="str">
            <v>IR E CONTRIBUIÇÃO SOCIAL DIFERIDOS</v>
          </cell>
          <cell r="B327">
            <v>-41177278.149999999</v>
          </cell>
        </row>
        <row r="328">
          <cell r="A328" t="str">
            <v>Ativo de imposto diferido</v>
          </cell>
          <cell r="B328">
            <v>92699554.069999993</v>
          </cell>
        </row>
        <row r="329">
          <cell r="A329" t="str">
            <v>1711505000 Cred Fisc CSLL-Bas de Cal Negativa LP (Real)</v>
          </cell>
          <cell r="B329">
            <v>7771703.3300000001</v>
          </cell>
        </row>
        <row r="330">
          <cell r="A330" t="str">
            <v>1711505010 Cred Fisc CSLL-Dif Temp (Real)</v>
          </cell>
          <cell r="B330">
            <v>17179629</v>
          </cell>
        </row>
        <row r="331">
          <cell r="A331" t="str">
            <v>1711506000 Cred Fisc IRPJL-Prejuizo Fiscal LP (Real)</v>
          </cell>
          <cell r="B331">
            <v>20972087.739999998</v>
          </cell>
        </row>
        <row r="332">
          <cell r="A332" t="str">
            <v>1711506010 Cred Fisc IRPJ-Dif Temp (Realizado)</v>
          </cell>
          <cell r="B332">
            <v>46776134</v>
          </cell>
        </row>
        <row r="333">
          <cell r="A333" t="str">
            <v>Passivo de imposto diferido</v>
          </cell>
          <cell r="B333">
            <v>-133876832.22</v>
          </cell>
        </row>
        <row r="334">
          <cell r="A334" t="str">
            <v>2312001030 Prov p/CSLL Diferida s/Depr Fiscal LP (Realiz)</v>
          </cell>
          <cell r="B334">
            <v>-35437988.810000002</v>
          </cell>
        </row>
        <row r="335">
          <cell r="A335" t="str">
            <v>2312002030 Prov p/IR Diferida s/Depr Fiscal LP (Realiz)</v>
          </cell>
          <cell r="B335">
            <v>-98438843.409999996</v>
          </cell>
        </row>
        <row r="336">
          <cell r="A336" t="str">
            <v>OBRIGAÇÕES COM BENEFICIOS AOS EMPREGADOS</v>
          </cell>
          <cell r="B336">
            <v>-23978693.129999999</v>
          </cell>
        </row>
        <row r="337">
          <cell r="A337" t="str">
            <v>Provisão para previdência privada</v>
          </cell>
          <cell r="B337">
            <v>1108.7</v>
          </cell>
        </row>
        <row r="338">
          <cell r="A338" t="str">
            <v>2318001010 Previdencia Privada-CVM 371 LP (Realizado)</v>
          </cell>
          <cell r="B338">
            <v>1108.7</v>
          </cell>
        </row>
        <row r="339">
          <cell r="A339" t="str">
            <v>Provisão para assistência médica</v>
          </cell>
          <cell r="B339">
            <v>-2305570.06</v>
          </cell>
        </row>
        <row r="340">
          <cell r="A340" t="str">
            <v>2319002150 Prov Nat Trab Assist Medica Aposent LP (Realizado)</v>
          </cell>
          <cell r="B340">
            <v>-2305570.06</v>
          </cell>
        </row>
        <row r="341">
          <cell r="A341" t="str">
            <v>Provisão para aposentadoria compulsória</v>
          </cell>
          <cell r="B341">
            <v>-19119251.289999999</v>
          </cell>
        </row>
        <row r="342">
          <cell r="A342" t="str">
            <v>2319002100 Prov Nat Trab FGTS Aviso Prev s/Aposen Comp LP (R)</v>
          </cell>
          <cell r="B342">
            <v>-19119251.289999999</v>
          </cell>
        </row>
        <row r="343">
          <cell r="A343" t="str">
            <v>Provisão para gratificação tempo de casa</v>
          </cell>
          <cell r="B343">
            <v>-2554980.48</v>
          </cell>
        </row>
        <row r="344">
          <cell r="A344" t="str">
            <v>2319002200 Prov Nat Trab Gratif Tempo Serv LP-Quinq (Realiz)</v>
          </cell>
          <cell r="B344">
            <v>-2554980.48</v>
          </cell>
        </row>
        <row r="345">
          <cell r="A345" t="str">
            <v>DEMANDAS JUDICIAIS</v>
          </cell>
          <cell r="B345">
            <v>-30759761.379999999</v>
          </cell>
        </row>
        <row r="346">
          <cell r="A346" t="str">
            <v>Fiscais</v>
          </cell>
          <cell r="B346">
            <v>-14375061.029999999</v>
          </cell>
        </row>
        <row r="347">
          <cell r="A347" t="str">
            <v>2319001010 Prov Nat Trib s/Dep Gar LP-Imp,Taxs Cont Fed (R)</v>
          </cell>
          <cell r="B347">
            <v>-656033.92000000004</v>
          </cell>
        </row>
        <row r="348">
          <cell r="A348" t="str">
            <v>2319001020 Prov Nat Trib s/Dep Gar LP-Imp,Taxs Cont Est (R)</v>
          </cell>
          <cell r="B348">
            <v>-691426.66</v>
          </cell>
        </row>
        <row r="349">
          <cell r="A349" t="str">
            <v>2319101010 Prov Nat Trib c/Dep Gar LP-Imp,Taxas Cont Fed (R)</v>
          </cell>
          <cell r="B349">
            <v>-11418224.300000001</v>
          </cell>
        </row>
        <row r="350">
          <cell r="A350" t="str">
            <v>2319101030 Prov Nat Trib c/Dep em Gar LP-Imps Taxs Ctrb M (R)</v>
          </cell>
          <cell r="B350">
            <v>-1609376.15</v>
          </cell>
        </row>
        <row r="351">
          <cell r="A351" t="str">
            <v>Trabalhistas</v>
          </cell>
          <cell r="B351">
            <v>-7680419.8700000001</v>
          </cell>
        </row>
        <row r="352">
          <cell r="A352" t="str">
            <v>2319002010 Prov Nat Trab s/Dep em Gar LP-Recl Trabalh (Real)</v>
          </cell>
          <cell r="B352">
            <v>-6783349.5199999996</v>
          </cell>
        </row>
        <row r="353">
          <cell r="A353" t="str">
            <v>2319102030 Prov Nat Trab c/Dep em Gar LP - Previd (Realizado)</v>
          </cell>
          <cell r="B353">
            <v>-897070.35</v>
          </cell>
        </row>
        <row r="354">
          <cell r="A354" t="str">
            <v>Cíveis</v>
          </cell>
          <cell r="B354">
            <v>-22628951.280000001</v>
          </cell>
        </row>
        <row r="355">
          <cell r="A355" t="str">
            <v>2319000010 Prov Nat Cível s/Dep Gar LP (R)</v>
          </cell>
          <cell r="B355">
            <v>-22628951.280000001</v>
          </cell>
        </row>
        <row r="356">
          <cell r="A356" t="str">
            <v>Depósitos judiciais</v>
          </cell>
          <cell r="B356">
            <v>13924670.800000001</v>
          </cell>
        </row>
        <row r="357">
          <cell r="A357" t="str">
            <v>1719101010 Dep Jud c/ Reserv-Imp,Taxas e Contrib Fed (Realiz)</v>
          </cell>
          <cell r="B357">
            <v>11418224.300000001</v>
          </cell>
        </row>
        <row r="358">
          <cell r="A358" t="str">
            <v>1719101030 Dep Jud c/Res-Imp, Taxas e Contrib Munic (Realiz)</v>
          </cell>
          <cell r="B358">
            <v>1609376.15</v>
          </cell>
        </row>
        <row r="359">
          <cell r="A359" t="str">
            <v>1719102030 Dep Judiciais c/Res -Previdenciarios (Realizado)</v>
          </cell>
          <cell r="B359">
            <v>897070.35</v>
          </cell>
        </row>
        <row r="360">
          <cell r="A360" t="str">
            <v>PATRIMÔNIO LÍQUIDO</v>
          </cell>
          <cell r="B360">
            <v>-784328721.38999999</v>
          </cell>
        </row>
        <row r="361">
          <cell r="A361" t="str">
            <v>CAPITAL SOCIAL</v>
          </cell>
          <cell r="B361">
            <v>-384330953.12</v>
          </cell>
        </row>
        <row r="362">
          <cell r="A362" t="str">
            <v>Capital Subscrito</v>
          </cell>
          <cell r="B362">
            <v>-384330953.12</v>
          </cell>
        </row>
        <row r="363">
          <cell r="A363" t="str">
            <v>2710101010 Capital  Subs Domic e Resids no Pais (Realizado)</v>
          </cell>
          <cell r="B363">
            <v>-384330953.12</v>
          </cell>
        </row>
        <row r="364">
          <cell r="A364" t="str">
            <v>AÇÕES EM TESOURARIA</v>
          </cell>
          <cell r="B364">
            <v>14879117.300000001</v>
          </cell>
        </row>
        <row r="365">
          <cell r="A365" t="str">
            <v>Preferenciais</v>
          </cell>
          <cell r="B365">
            <v>14397516.449999999</v>
          </cell>
        </row>
        <row r="366">
          <cell r="A366" t="str">
            <v>2760101010 Acoes Preferenciais em Tesouraria</v>
          </cell>
          <cell r="B366">
            <v>14397516.449999999</v>
          </cell>
        </row>
        <row r="367">
          <cell r="A367" t="str">
            <v>Ordinárias</v>
          </cell>
          <cell r="B367">
            <v>481600.85</v>
          </cell>
        </row>
        <row r="368">
          <cell r="A368" t="str">
            <v>2760101020 Acoes Ordinarias em Tesouraria</v>
          </cell>
          <cell r="B368">
            <v>481600.85</v>
          </cell>
        </row>
        <row r="369">
          <cell r="A369" t="str">
            <v>RESERVA DE CAPITAL</v>
          </cell>
          <cell r="B369">
            <v>-79.84</v>
          </cell>
        </row>
        <row r="370">
          <cell r="A370" t="str">
            <v>Reserva de capital</v>
          </cell>
          <cell r="B370">
            <v>-79.84</v>
          </cell>
        </row>
        <row r="371">
          <cell r="A371" t="str">
            <v>2740101010 Reservas de Capital (Realizado)</v>
          </cell>
          <cell r="B371">
            <v>-79.84</v>
          </cell>
        </row>
        <row r="372">
          <cell r="A372" t="str">
            <v>RESERVAS DE LUCROS</v>
          </cell>
          <cell r="B372">
            <v>-418127013.91000003</v>
          </cell>
        </row>
        <row r="373">
          <cell r="A373" t="str">
            <v>Reserva legal</v>
          </cell>
          <cell r="B373">
            <v>-23131218.949999999</v>
          </cell>
        </row>
        <row r="374">
          <cell r="A374" t="str">
            <v>2740201010 Reserva Legal (Realizado)</v>
          </cell>
          <cell r="B374">
            <v>-23131218.949999999</v>
          </cell>
        </row>
        <row r="375">
          <cell r="A375" t="str">
            <v>Reserva especial para dividendos</v>
          </cell>
          <cell r="B375">
            <v>-23131218.949999999</v>
          </cell>
        </row>
        <row r="376">
          <cell r="A376" t="str">
            <v>2740203010 Reserva Especial p/Dividendos (Realizado)</v>
          </cell>
          <cell r="B376">
            <v>-23131218.949999999</v>
          </cell>
        </row>
        <row r="377">
          <cell r="A377" t="str">
            <v>Reserva de retenção de lucros</v>
          </cell>
          <cell r="B377">
            <v>-108955206.18000001</v>
          </cell>
        </row>
        <row r="378">
          <cell r="A378" t="str">
            <v>2740202100 Reserva Est-Ret de Lucros Exer de 2.014 (Realiz)</v>
          </cell>
          <cell r="B378">
            <v>-43454068.93</v>
          </cell>
        </row>
        <row r="379">
          <cell r="A379" t="str">
            <v>2740205010 Reserva de Lucros para Investimentos</v>
          </cell>
          <cell r="B379">
            <v>-65501137.25</v>
          </cell>
        </row>
        <row r="380">
          <cell r="A380" t="str">
            <v>Reserva de lucros a realizar</v>
          </cell>
          <cell r="B380">
            <v>-262909369.83000001</v>
          </cell>
        </row>
        <row r="381">
          <cell r="A381" t="str">
            <v>2740204010 Reserva de Lucros a Realizar (Realizado)</v>
          </cell>
          <cell r="B381">
            <v>-262909369.83000001</v>
          </cell>
        </row>
        <row r="382">
          <cell r="A382" t="str">
            <v>OUTROS RESULTADOS ABRANGENTES DO PERIODO</v>
          </cell>
          <cell r="B382">
            <v>10572631.390000001</v>
          </cell>
        </row>
        <row r="383">
          <cell r="A383" t="str">
            <v>Ajuste às normas internacionais de contab.</v>
          </cell>
          <cell r="B383">
            <v>10572631.390000001</v>
          </cell>
        </row>
        <row r="384">
          <cell r="A384" t="str">
            <v>2750101010 Ajs as Normas Internac de Contab (Realizado)</v>
          </cell>
          <cell r="B384">
            <v>-1957836</v>
          </cell>
        </row>
        <row r="385">
          <cell r="A385" t="str">
            <v>2750102010 (-)Ajs as Normas Internac de Contab (Realizado)</v>
          </cell>
          <cell r="B385">
            <v>12530467.390000001</v>
          </cell>
        </row>
        <row r="386">
          <cell r="A386" t="str">
            <v>LUCROS ACUMULADOS</v>
          </cell>
          <cell r="B386">
            <v>-7322423.21</v>
          </cell>
        </row>
        <row r="387">
          <cell r="A387" t="str">
            <v>Resultado líquido do periodo</v>
          </cell>
          <cell r="B387">
            <v>-7322423.21</v>
          </cell>
        </row>
        <row r="388">
          <cell r="A388" t="str">
            <v>Resultado antes dos tributos sobre o lucro</v>
          </cell>
          <cell r="B388">
            <v>-12471703.560000001</v>
          </cell>
        </row>
        <row r="389">
          <cell r="A389" t="str">
            <v>Resultado antes do resultado financeiro</v>
          </cell>
          <cell r="B389">
            <v>-17095134.850000001</v>
          </cell>
        </row>
        <row r="390">
          <cell r="A390" t="str">
            <v>Lucro bruto</v>
          </cell>
          <cell r="B390">
            <v>-33718102.619999997</v>
          </cell>
        </row>
        <row r="391">
          <cell r="A391" t="str">
            <v>Receita líquida de vendas</v>
          </cell>
          <cell r="B391">
            <v>-69812719.010000005</v>
          </cell>
        </row>
        <row r="392">
          <cell r="A392" t="str">
            <v>Receita bruta de vendas</v>
          </cell>
          <cell r="B392">
            <v>-90961131.459999993</v>
          </cell>
        </row>
        <row r="393">
          <cell r="A393" t="str">
            <v>Mercado interno</v>
          </cell>
          <cell r="B393">
            <v>-90961131.459999993</v>
          </cell>
        </row>
        <row r="394">
          <cell r="A394" t="str">
            <v>3110101030 Rec Brt-Vendas de Produtos no MI (Realizado)</v>
          </cell>
          <cell r="B394">
            <v>-89570195.689999998</v>
          </cell>
        </row>
        <row r="395">
          <cell r="A395" t="str">
            <v>3110105030 Rec Brt-Rev de Mercs Nacionais no MI (Realizado)</v>
          </cell>
          <cell r="B395">
            <v>-1454749</v>
          </cell>
        </row>
        <row r="396">
          <cell r="A396" t="str">
            <v>3110108030 Rec Brt-Rev de Mercs Diversas no MI (Realizado)</v>
          </cell>
          <cell r="B396">
            <v>-25965.52</v>
          </cell>
        </row>
        <row r="397">
          <cell r="A397" t="str">
            <v>3110301030 (-)Vendas Canc e Dev de Prod no MI (Realizado)</v>
          </cell>
          <cell r="B397">
            <v>89778.75</v>
          </cell>
        </row>
        <row r="398">
          <cell r="A398" t="str">
            <v>Impostos incidentes s/ vendas e abatimentos</v>
          </cell>
          <cell r="B398">
            <v>21148412.449999999</v>
          </cell>
        </row>
        <row r="399">
          <cell r="A399" t="str">
            <v>3110401030 (-)Desc Incond s/Vend de Prod FP no MI (Realizado)</v>
          </cell>
          <cell r="B399">
            <v>12630.38</v>
          </cell>
        </row>
        <row r="400">
          <cell r="A400" t="str">
            <v>3110501030 (-)ICMS s/Vendas de Produtos FP no MI (Realiz)</v>
          </cell>
          <cell r="B400">
            <v>13202450.76</v>
          </cell>
        </row>
        <row r="401">
          <cell r="A401" t="str">
            <v>3110505030 (-)ICMS s/Rev de Mercs Nacionais no MI (Realiz)</v>
          </cell>
          <cell r="B401">
            <v>243625.29</v>
          </cell>
        </row>
        <row r="402">
          <cell r="A402" t="str">
            <v>3110508030 (-)ICMS s/Rev Mercadorias Divs no MI (Realizado)</v>
          </cell>
          <cell r="B402">
            <v>4673.8</v>
          </cell>
        </row>
        <row r="403">
          <cell r="A403" t="str">
            <v>3110590900 (-)ICMS s/Remessas Mercadorias Div no MI (Realiz)</v>
          </cell>
          <cell r="B403">
            <v>329.82</v>
          </cell>
        </row>
        <row r="404">
          <cell r="A404" t="str">
            <v>3110601030 (-)Cofins s/Venda Produtos FP no MI (R)</v>
          </cell>
          <cell r="B404">
            <v>6201383.6200000001</v>
          </cell>
        </row>
        <row r="405">
          <cell r="A405" t="str">
            <v>3110605030 (-)Cofins s/Revenda Merc Nacionais no MI (Realiz)</v>
          </cell>
          <cell r="B405">
            <v>110560.93</v>
          </cell>
        </row>
        <row r="406">
          <cell r="A406" t="str">
            <v>3110608030 (-)Cofins s/Revenda Mercad Divs no MI (Realiz)</v>
          </cell>
          <cell r="B406">
            <v>1973.36</v>
          </cell>
        </row>
        <row r="407">
          <cell r="A407" t="str">
            <v>3110701030 (-)PIS/Pasep s/Vendas Produtos FP no MI (Realiz)</v>
          </cell>
          <cell r="B407">
            <v>1346352.69</v>
          </cell>
        </row>
        <row r="408">
          <cell r="A408" t="str">
            <v>3110705030 (-)PIS/Pasep s/Rev Merc Nacionais no MI (Realiz)</v>
          </cell>
          <cell r="B408">
            <v>24003.360000000001</v>
          </cell>
        </row>
        <row r="409">
          <cell r="A409" t="str">
            <v>3110708030 (-)PIS/Pasep s/Revenda Merc Divs no MI (Realiz)</v>
          </cell>
          <cell r="B409">
            <v>428.44</v>
          </cell>
        </row>
        <row r="410">
          <cell r="A410" t="str">
            <v>Custo dos bens e serviços vendidos</v>
          </cell>
          <cell r="B410">
            <v>36094616.390000001</v>
          </cell>
        </row>
        <row r="411">
          <cell r="A411" t="str">
            <v>Variações nos estoques de Materiais</v>
          </cell>
          <cell r="B411">
            <v>12545009.300000001</v>
          </cell>
        </row>
        <row r="412">
          <cell r="A412" t="str">
            <v>3130101012 Rev Prov p/ Desv de Exportaçao Direta de Produtos</v>
          </cell>
          <cell r="B412">
            <v>-868869.97</v>
          </cell>
        </row>
        <row r="413">
          <cell r="A413" t="str">
            <v>3130101015 Prov p/Desv de Exportaçao Direta de Produtos</v>
          </cell>
          <cell r="B413">
            <v>858861.88</v>
          </cell>
        </row>
        <row r="414">
          <cell r="A414" t="str">
            <v>3130101030 Custo das Vendas de Produtos MI (Realizado)</v>
          </cell>
          <cell r="B414">
            <v>35720179.5</v>
          </cell>
        </row>
        <row r="415">
          <cell r="A415" t="str">
            <v>3130101031 Custo Vendas de Produtos MI - AJ</v>
          </cell>
          <cell r="B415">
            <v>-30.17</v>
          </cell>
        </row>
        <row r="416">
          <cell r="A416" t="str">
            <v>3130101039 Custo das Vendas de Produtos MI Serv (Realizado)</v>
          </cell>
          <cell r="B416">
            <v>1455.23</v>
          </cell>
        </row>
        <row r="417">
          <cell r="A417" t="str">
            <v>3130105030 Custo das Revendas de Mercadorias no MI (Realiz)</v>
          </cell>
          <cell r="B417">
            <v>378496.22</v>
          </cell>
        </row>
        <row r="418">
          <cell r="A418" t="str">
            <v>3130130030 Custo das Vendas de Serviços no MI (Realizado)</v>
          </cell>
          <cell r="B418">
            <v>4523.7</v>
          </cell>
        </row>
        <row r="419">
          <cell r="A419" t="str">
            <v>5110101010 Estoq Consumido Prod-Materia Prima SAL (Realizado)</v>
          </cell>
          <cell r="B419">
            <v>7252387.1699999999</v>
          </cell>
        </row>
        <row r="420">
          <cell r="A420" t="str">
            <v>5110101011 Estoq Consumido Prod-Materia Prima SAL (Aj Real)</v>
          </cell>
          <cell r="B420">
            <v>431464.1</v>
          </cell>
        </row>
        <row r="421">
          <cell r="A421" t="str">
            <v>5110101020 Estoq Consumido Prod-MP-Etileno (Realizado)</v>
          </cell>
          <cell r="B421">
            <v>2709672.55</v>
          </cell>
        </row>
        <row r="422">
          <cell r="A422" t="str">
            <v>5110101021 Estoq Consumido Prod-MP-Etileno (Aj Real)</v>
          </cell>
          <cell r="B422">
            <v>-220127.08</v>
          </cell>
        </row>
        <row r="423">
          <cell r="A423" t="str">
            <v>5110101300 Estoq Consumido Prod-Mat Aux Gas Natural (Realiz)</v>
          </cell>
          <cell r="B423">
            <v>2720358.95</v>
          </cell>
        </row>
        <row r="424">
          <cell r="A424" t="str">
            <v>5110101301 Estoq Consumido Prod-Mat Aux Gas Natural (Aj Real)</v>
          </cell>
          <cell r="B424">
            <v>-280122.3</v>
          </cell>
        </row>
        <row r="425">
          <cell r="A425" t="str">
            <v>5110101310 Estoq Consumido Prod-M Aux Vapor Petroc (Realiz)</v>
          </cell>
          <cell r="B425">
            <v>997265.69</v>
          </cell>
        </row>
        <row r="426">
          <cell r="A426" t="str">
            <v>5110101311 Estoq Consumido Prod-M Aux Vapor Petroc (Aj Real)</v>
          </cell>
          <cell r="B426">
            <v>-64154.75</v>
          </cell>
        </row>
        <row r="427">
          <cell r="A427" t="str">
            <v>5110101490 Estoq Consumido Prod-M Aux Demais (Realizado)</v>
          </cell>
          <cell r="B427">
            <v>652297.38</v>
          </cell>
        </row>
        <row r="428">
          <cell r="A428" t="str">
            <v>5110101491 Estoq Consumido Prod-M Aux Demais (Aj Real)</v>
          </cell>
          <cell r="B428">
            <v>-5532.78</v>
          </cell>
        </row>
        <row r="429">
          <cell r="A429" t="str">
            <v>5110101500 Estoq Consumido Prod-Embalagens (Realizado)</v>
          </cell>
          <cell r="B429">
            <v>268649.58</v>
          </cell>
        </row>
        <row r="430">
          <cell r="A430" t="str">
            <v>5110101501 Estoq Consumido Prod-Embalagens (Aj Real)</v>
          </cell>
          <cell r="B430">
            <v>-14112.57</v>
          </cell>
        </row>
        <row r="431">
          <cell r="A431" t="str">
            <v>5110102010 Cons.Insumo-Revestimentos de Anodos (Realizado)</v>
          </cell>
          <cell r="B431">
            <v>102349.8</v>
          </cell>
        </row>
        <row r="432">
          <cell r="A432" t="str">
            <v>5110504070 Aj Preço-Var Preço Dif C Mud Nivel-Semi Acab (KDV)</v>
          </cell>
          <cell r="B432">
            <v>-2.04</v>
          </cell>
        </row>
        <row r="433">
          <cell r="A433" t="str">
            <v>5110504080 Aj Preço-Var Preço Dif C Mud Nivel-Acabados (KDV)</v>
          </cell>
          <cell r="B433">
            <v>-0.03</v>
          </cell>
        </row>
        <row r="434">
          <cell r="A434" t="str">
            <v>5110505010 Aj Preço-Dif Preço Nivel Único-Sal (PRD)</v>
          </cell>
          <cell r="B434">
            <v>511483.68</v>
          </cell>
        </row>
        <row r="435">
          <cell r="A435" t="str">
            <v>5110505020 Aj Preço-Dif Preço Nivel Único-Etileno (PRD)</v>
          </cell>
          <cell r="B435">
            <v>-220127.08</v>
          </cell>
        </row>
        <row r="436">
          <cell r="A436" t="str">
            <v>5110505030 Aj Preço-Dif Preço Nivel Único-Gás Natural (PRD)</v>
          </cell>
          <cell r="B436">
            <v>-280122.3</v>
          </cell>
        </row>
        <row r="437">
          <cell r="A437" t="str">
            <v>5110505040 Aj Preço-Dif Preço Nivel Único-Vapor (PRD)</v>
          </cell>
          <cell r="B437">
            <v>-64154.75</v>
          </cell>
        </row>
        <row r="438">
          <cell r="A438" t="str">
            <v>5110505050 Aj Preço-Dif Preço Nivel Único-Mat Auxiliares(PRD)</v>
          </cell>
          <cell r="B438">
            <v>-14164.52</v>
          </cell>
        </row>
        <row r="439">
          <cell r="A439" t="str">
            <v>5110505060 Aj Preço-Dif Preço Nivel Único-Embalagens (PRD)</v>
          </cell>
          <cell r="B439">
            <v>-12267.6</v>
          </cell>
        </row>
        <row r="440">
          <cell r="A440" t="str">
            <v>5110505070 Aj Preço-Dif Preço Nivel Único-Semi Acabados (PRD)</v>
          </cell>
          <cell r="B440">
            <v>2787816.92</v>
          </cell>
        </row>
        <row r="441">
          <cell r="A441" t="str">
            <v>5110505080 Aj Preço-Dif Preço Nivel Único-Acabados (PRD)</v>
          </cell>
          <cell r="B441">
            <v>194589.36</v>
          </cell>
        </row>
        <row r="442">
          <cell r="A442" t="str">
            <v>5110505090 Aj Preço-Dif Preço Nivel Único-Revenda (PRD)</v>
          </cell>
          <cell r="B442">
            <v>52461.25</v>
          </cell>
        </row>
        <row r="443">
          <cell r="A443" t="str">
            <v>5110506070 Aj Preço-Dif Preço Multinivel-Semi Acabado (PRV)</v>
          </cell>
          <cell r="B443">
            <v>-1.03</v>
          </cell>
        </row>
        <row r="444">
          <cell r="A444" t="str">
            <v>5110506080 Aj Preço-Dif Preço Multinivel-Acabado (PRV)</v>
          </cell>
          <cell r="B444">
            <v>-0.01</v>
          </cell>
        </row>
        <row r="445">
          <cell r="A445" t="str">
            <v>5110507010 Aj Preço-Dif Preço Fechamento ML-Sal (PRY)</v>
          </cell>
          <cell r="B445">
            <v>-511483.68</v>
          </cell>
        </row>
        <row r="446">
          <cell r="A446" t="str">
            <v>5110507020 Aj Preço-Dif Preço Fechamento ML-Etileno (PRY)</v>
          </cell>
          <cell r="B446">
            <v>220127.08</v>
          </cell>
        </row>
        <row r="447">
          <cell r="A447" t="str">
            <v>5110507030 Aj Preço-Dif Preço Fechamento ML-Gas Natural (PRY)</v>
          </cell>
          <cell r="B447">
            <v>280122.3</v>
          </cell>
        </row>
        <row r="448">
          <cell r="A448" t="str">
            <v>5110507040 Aj Preço-Dif Preço Fechamento ML-Vapor (PRY)</v>
          </cell>
          <cell r="B448">
            <v>64154.75</v>
          </cell>
        </row>
        <row r="449">
          <cell r="A449" t="str">
            <v>5110507050 Aj Preço-Dif Preço Fechamento ML-Mat Auxiliar(PRY)</v>
          </cell>
          <cell r="B449">
            <v>14164.54</v>
          </cell>
        </row>
        <row r="450">
          <cell r="A450" t="str">
            <v>5110507060 Aj Preço-Dif Preço Fechamento ML-Embalagens (PRY)</v>
          </cell>
          <cell r="B450">
            <v>12267.6</v>
          </cell>
        </row>
        <row r="451">
          <cell r="A451" t="str">
            <v>5110507070 Aj Preço-Dif Preço Fechamento ML-Semi Acabad (PRY)</v>
          </cell>
          <cell r="B451">
            <v>-2787816.91</v>
          </cell>
        </row>
        <row r="452">
          <cell r="A452" t="str">
            <v>5110507080 Aj Preço-Dif Preço Fechamento ML-Acabados (PRY)</v>
          </cell>
          <cell r="B452">
            <v>-194589.36</v>
          </cell>
        </row>
        <row r="453">
          <cell r="A453" t="str">
            <v>5110507090 Aj Preço-Dif Preço Fechamento ML-Revenda (PRY)</v>
          </cell>
          <cell r="B453">
            <v>-52461.25</v>
          </cell>
        </row>
        <row r="454">
          <cell r="A454" t="str">
            <v>5110508080 Aj Preço-Var Preço Revaloriz Estoq-Acabados (UMB)</v>
          </cell>
          <cell r="B454">
            <v>-28.38</v>
          </cell>
        </row>
        <row r="455">
          <cell r="A455" t="str">
            <v>5110599010 Ajustes do Grupo Material Ledger - Realizado</v>
          </cell>
          <cell r="B455">
            <v>31.46</v>
          </cell>
        </row>
        <row r="456">
          <cell r="A456" t="str">
            <v>5110608010 Proj Inv.Est.Pesq-Mat Cons-Imobilizado (Realizado)</v>
          </cell>
          <cell r="B456">
            <v>180832.25</v>
          </cell>
        </row>
        <row r="457">
          <cell r="A457" t="str">
            <v>5110620010 Proj Inv.Est.Pesq-S.Prest Terc-Imobiliz PJ(Realiz)</v>
          </cell>
          <cell r="B457">
            <v>89248.73</v>
          </cell>
        </row>
        <row r="458">
          <cell r="A458" t="str">
            <v>5110635010 Proj Inv.Est.Pesq-Encarg Financ-Imobiliz (Realiz)</v>
          </cell>
          <cell r="B458">
            <v>159104.57999999999</v>
          </cell>
        </row>
        <row r="459">
          <cell r="A459" t="str">
            <v>5110690050 (-)Proj Inv.Est.Pesq-Imp Aq-ICMS s/Aquis Imob (R)</v>
          </cell>
          <cell r="B459">
            <v>23978.639999999999</v>
          </cell>
        </row>
        <row r="460">
          <cell r="A460" t="str">
            <v>5110690060 (-)Proj Inv.Est.Pesq-Imp Aq-COFINS Aquis Imob (R)</v>
          </cell>
          <cell r="B460">
            <v>23108.5</v>
          </cell>
        </row>
        <row r="461">
          <cell r="A461" t="str">
            <v>5110690070 (-)Proj Inv.Est.Pesq-Imp Aquis-PIS Aquis Imob (R)</v>
          </cell>
          <cell r="B461">
            <v>5016.9799999999996</v>
          </cell>
        </row>
        <row r="462">
          <cell r="A462" t="str">
            <v>5110699010 Proj Inv.Est.Pesq-Transf p/Imob em Andamento (R)</v>
          </cell>
          <cell r="B462">
            <v>-481289.68</v>
          </cell>
        </row>
        <row r="463">
          <cell r="A463" t="str">
            <v>5120101010 Cst P.Fab Próp Transf p/S.Acabado(F.Fab)-(Aj.Real)</v>
          </cell>
          <cell r="B463">
            <v>-116168329.39</v>
          </cell>
        </row>
        <row r="464">
          <cell r="A464" t="str">
            <v>5120101011 Cst P.Fab Próp Transf p/S.Acab(AjOrdProd)-(Planej)</v>
          </cell>
          <cell r="B464">
            <v>-2787816.92</v>
          </cell>
        </row>
        <row r="465">
          <cell r="A465" t="str">
            <v>5120101012 Cst P.Fab Próp Transf p/S.Acab(Zerar Centro Cst)</v>
          </cell>
          <cell r="B465">
            <v>2289075.98</v>
          </cell>
        </row>
        <row r="466">
          <cell r="A466" t="str">
            <v>5120101013 Cst P.Fab Próp Consumo S.Acab (Realizado)</v>
          </cell>
          <cell r="B466">
            <v>113583644.42</v>
          </cell>
        </row>
        <row r="467">
          <cell r="A467" t="str">
            <v>5120101020 Cst P.Fab Próp Transf p/P.Acabado(F.Fab)-(Aj.Real)</v>
          </cell>
          <cell r="B467">
            <v>-34764085.549999997</v>
          </cell>
        </row>
        <row r="468">
          <cell r="A468" t="str">
            <v>5120101021 Cst P.Fab Próp Transf p/P.Acabado(F.Fab)-(Planej)</v>
          </cell>
          <cell r="B468">
            <v>-194589.36</v>
          </cell>
        </row>
        <row r="469">
          <cell r="A469" t="str">
            <v>5120101022 Cst P.Fab Próp Transf p/P.Acabado(Zerar CentroCst)</v>
          </cell>
          <cell r="B469">
            <v>-210486.1</v>
          </cell>
        </row>
        <row r="470">
          <cell r="A470" t="str">
            <v>5120101030 Cst P.Fab Próp Transf p/P.Acabado(Aj Cons Real)</v>
          </cell>
          <cell r="B470">
            <v>152584.09</v>
          </cell>
        </row>
        <row r="471">
          <cell r="A471" t="str">
            <v>Energia Elétrica</v>
          </cell>
          <cell r="B471">
            <v>10581535.550000001</v>
          </cell>
        </row>
        <row r="472">
          <cell r="A472" t="str">
            <v>5110105010 Cons Insumo E Eletrica Cons Energia Eletrica (R)</v>
          </cell>
          <cell r="B472">
            <v>10581535.550000001</v>
          </cell>
        </row>
        <row r="473">
          <cell r="A473" t="str">
            <v>Despesas com salários e benefícios a empregad</v>
          </cell>
          <cell r="B473">
            <v>5854955.0300000003</v>
          </cell>
        </row>
        <row r="474">
          <cell r="A474" t="str">
            <v>5111001030 FLPG-Ordena.Sal.Outras Remune Empreg(R)</v>
          </cell>
          <cell r="B474">
            <v>2955781.6</v>
          </cell>
        </row>
        <row r="475">
          <cell r="A475" t="str">
            <v>5111001040 FLPG-13º Salario (Realizado)</v>
          </cell>
          <cell r="B475">
            <v>5324.5</v>
          </cell>
        </row>
        <row r="476">
          <cell r="A476" t="str">
            <v>5111001041 FLPG-Provisao de 13º Salario</v>
          </cell>
          <cell r="B476">
            <v>219044.37</v>
          </cell>
        </row>
        <row r="477">
          <cell r="A477" t="str">
            <v>5111001042 FLPG-Reversao da Provisao de 13º Salario</v>
          </cell>
          <cell r="B477">
            <v>-1055.33</v>
          </cell>
        </row>
        <row r="478">
          <cell r="A478" t="str">
            <v>5111001050 FLPG-Ferias (Realizado)</v>
          </cell>
          <cell r="B478">
            <v>411447.26</v>
          </cell>
        </row>
        <row r="479">
          <cell r="A479" t="str">
            <v>5111001051 FLPG-Provisao de Ferias</v>
          </cell>
          <cell r="B479">
            <v>309621.82</v>
          </cell>
        </row>
        <row r="480">
          <cell r="A480" t="str">
            <v>5111001052 FLPG-Reversao da Provisao de Ferias</v>
          </cell>
          <cell r="B480">
            <v>-366820.59</v>
          </cell>
        </row>
        <row r="481">
          <cell r="A481" t="str">
            <v>5111001080 FLPG-Gratificaçoes de Ferias(Realizado)</v>
          </cell>
          <cell r="B481">
            <v>217584.68</v>
          </cell>
        </row>
        <row r="482">
          <cell r="A482" t="str">
            <v>5111001081 FLPG-Provisao de Gratificaçoes de Ferias</v>
          </cell>
          <cell r="B482">
            <v>179452.57</v>
          </cell>
        </row>
        <row r="483">
          <cell r="A483" t="str">
            <v>5111001082 FLPG-Rever Provi Gratificaçoes de Ferias</v>
          </cell>
          <cell r="B483">
            <v>-217584.68</v>
          </cell>
        </row>
        <row r="484">
          <cell r="A484" t="str">
            <v>5111001091 FLPG-Provisao de Gratificaçoes</v>
          </cell>
          <cell r="B484">
            <v>430216</v>
          </cell>
        </row>
        <row r="485">
          <cell r="A485" t="str">
            <v>5111001100 FLPG-Gratificaçoes Quinquenios (Realizado)</v>
          </cell>
          <cell r="B485">
            <v>353678.49</v>
          </cell>
        </row>
        <row r="486">
          <cell r="A486" t="str">
            <v>5111001102 FLPG-Rever Prov Gratificaçoes Quinquenios</v>
          </cell>
          <cell r="B486">
            <v>-353678.49</v>
          </cell>
        </row>
        <row r="487">
          <cell r="A487" t="str">
            <v>5111001120 FLPG-Aviso Previo (Realizado)</v>
          </cell>
          <cell r="B487">
            <v>42988.37</v>
          </cell>
        </row>
        <row r="488">
          <cell r="A488" t="str">
            <v>5111001122 FLPG-Reversao da Provisao de Aviso Previo</v>
          </cell>
          <cell r="B488">
            <v>-42988.37</v>
          </cell>
        </row>
        <row r="489">
          <cell r="A489" t="str">
            <v>5111001240 FLPG-Auxilio Doença (Realizado)</v>
          </cell>
          <cell r="B489">
            <v>406.36</v>
          </cell>
        </row>
        <row r="490">
          <cell r="A490" t="str">
            <v>5111001250 FLPG-Auxilio Ensino (Realizado)</v>
          </cell>
          <cell r="B490">
            <v>55996.83</v>
          </cell>
        </row>
        <row r="491">
          <cell r="A491" t="str">
            <v>5111001300 FLPG-Bolsa Estudos de Estagiarios (Realizado)</v>
          </cell>
          <cell r="B491">
            <v>19637.34</v>
          </cell>
        </row>
        <row r="492">
          <cell r="A492" t="str">
            <v>5111001990 Rateio da Mão de Obra da Manutenção</v>
          </cell>
          <cell r="B492">
            <v>-675.95</v>
          </cell>
        </row>
        <row r="493">
          <cell r="A493" t="str">
            <v>5111002010 FGTS-Folha de Pagamento (Realizado)</v>
          </cell>
          <cell r="B493">
            <v>264632.57</v>
          </cell>
        </row>
        <row r="494">
          <cell r="A494" t="str">
            <v>5111002020 FGTS-Ferias (Realizado)</v>
          </cell>
          <cell r="B494">
            <v>20933.68</v>
          </cell>
        </row>
        <row r="495">
          <cell r="A495" t="str">
            <v>5111002021 FGTS-Provisao de FGTS s/Ferias</v>
          </cell>
          <cell r="B495">
            <v>17800.05</v>
          </cell>
        </row>
        <row r="496">
          <cell r="A496" t="str">
            <v>5111002022 FGTS-Reversao da Provisao de FGTS s/Ferias</v>
          </cell>
          <cell r="B496">
            <v>-21749.32</v>
          </cell>
        </row>
        <row r="497">
          <cell r="A497" t="str">
            <v>5111002030 FGTS-13º Salario (Realizado)</v>
          </cell>
          <cell r="B497">
            <v>378.64</v>
          </cell>
        </row>
        <row r="498">
          <cell r="A498" t="str">
            <v>5111002031 FGTS-Provisao de FGTS S/13º Salario</v>
          </cell>
          <cell r="B498">
            <v>17825.64</v>
          </cell>
        </row>
        <row r="499">
          <cell r="A499" t="str">
            <v>5111002032 FGTS-Reversao da Provisao FGTS S/13º Salario</v>
          </cell>
          <cell r="B499">
            <v>-394.37</v>
          </cell>
        </row>
        <row r="500">
          <cell r="A500" t="str">
            <v>5111002040 FGTS-Desligamento de Funcionarios (Realizado)</v>
          </cell>
          <cell r="B500">
            <v>123602.34</v>
          </cell>
        </row>
        <row r="501">
          <cell r="A501" t="str">
            <v>5111002041 FGTS-Provisao FGTS s/Desligamento Funcionario</v>
          </cell>
          <cell r="B501">
            <v>167965</v>
          </cell>
        </row>
        <row r="502">
          <cell r="A502" t="str">
            <v>5111002042 FGTS-Rever Prov FGTS s/Desligamento Funcionario</v>
          </cell>
          <cell r="B502">
            <v>-123602.34</v>
          </cell>
        </row>
        <row r="503">
          <cell r="A503" t="str">
            <v>5111003010 INSS-Folha de Pagamento (Realizado)</v>
          </cell>
          <cell r="B503">
            <v>1004207.07</v>
          </cell>
        </row>
        <row r="504">
          <cell r="A504" t="str">
            <v>5111003021 INSS-Provisao de INSS s/Ferias</v>
          </cell>
          <cell r="B504">
            <v>12109.73</v>
          </cell>
        </row>
        <row r="505">
          <cell r="A505" t="str">
            <v>5111003022 INSS-Reversao da Provisao de INSS s/Ferias</v>
          </cell>
          <cell r="B505">
            <v>-28168.36</v>
          </cell>
        </row>
        <row r="506">
          <cell r="A506" t="str">
            <v>5111003031 INSS-Provisao de INSS s/13º Salario</v>
          </cell>
          <cell r="B506">
            <v>61422.16</v>
          </cell>
        </row>
        <row r="507">
          <cell r="A507" t="str">
            <v>5111003032 INSS-Reversao Provisao de INSS s/13º Salario</v>
          </cell>
          <cell r="B507">
            <v>-221.39</v>
          </cell>
        </row>
        <row r="508">
          <cell r="A508" t="str">
            <v>5111503040 Desp Medicas Hospitalares (Realizado)</v>
          </cell>
          <cell r="B508">
            <v>22965.31</v>
          </cell>
        </row>
        <row r="509">
          <cell r="A509" t="str">
            <v>5111504070 Desenv Prof-Aprendiz de Menores em Cursos (Realiz)</v>
          </cell>
          <cell r="B509">
            <v>12135.21</v>
          </cell>
        </row>
        <row r="510">
          <cell r="A510" t="str">
            <v>5111505010 Desp Soc-Contrib Associaçao Desportiva (Realizado)</v>
          </cell>
          <cell r="B510">
            <v>35080</v>
          </cell>
        </row>
        <row r="511">
          <cell r="A511" t="str">
            <v>5111505020 Desp Soc-Comemoraçoes e Eventos (Realizado)</v>
          </cell>
          <cell r="B511">
            <v>7242.8</v>
          </cell>
        </row>
        <row r="512">
          <cell r="A512" t="str">
            <v>5111506030 Despesa Taxi e Conduçoes (Realizado)</v>
          </cell>
          <cell r="B512">
            <v>28578.31</v>
          </cell>
        </row>
        <row r="513">
          <cell r="A513" t="str">
            <v>5111507010 Despesa Refeiçoes Prontas (Realizado)</v>
          </cell>
          <cell r="B513">
            <v>265.02</v>
          </cell>
        </row>
        <row r="514">
          <cell r="A514" t="str">
            <v>5111507030 Despesa Refeiçoes-Visita e Outras (Realizado)</v>
          </cell>
          <cell r="B514">
            <v>13137.62</v>
          </cell>
        </row>
        <row r="515">
          <cell r="A515" t="str">
            <v>5111507040 Despesa Refeiçoes-Lanches Externos (Realizado)</v>
          </cell>
          <cell r="B515">
            <v>432.88</v>
          </cell>
        </row>
        <row r="516">
          <cell r="A516" t="str">
            <v>Encargos de depreciação e amortização</v>
          </cell>
          <cell r="B516">
            <v>3263416.71</v>
          </cell>
        </row>
        <row r="517">
          <cell r="A517" t="str">
            <v>5119001010 Encarg de Deprec e Amort-Depreciaçao (Realizado)</v>
          </cell>
          <cell r="B517">
            <v>2147679.6800000002</v>
          </cell>
        </row>
        <row r="518">
          <cell r="A518" t="str">
            <v>5119001011 Encarg de Depreciaçao Mais Valia (Realizado)</v>
          </cell>
          <cell r="B518">
            <v>536816.78</v>
          </cell>
        </row>
        <row r="519">
          <cell r="A519" t="str">
            <v>5119001012 Encarg de Depreciaçao Mais Valia CN (Realizado)</v>
          </cell>
          <cell r="B519">
            <v>536816.78</v>
          </cell>
        </row>
        <row r="520">
          <cell r="A520" t="str">
            <v>5119001014 Encarg de Depreciaçao AVP (Realizado)</v>
          </cell>
          <cell r="B520">
            <v>38838.870000000003</v>
          </cell>
        </row>
        <row r="521">
          <cell r="A521" t="str">
            <v>5119001050 Encarg de Deprec e Amort-Amortizaçao (Realizado)</v>
          </cell>
          <cell r="B521">
            <v>3247.49</v>
          </cell>
        </row>
        <row r="522">
          <cell r="A522" t="str">
            <v>5119001054 Amortizaçao AVP (Realizado)</v>
          </cell>
          <cell r="B522">
            <v>17.11</v>
          </cell>
        </row>
        <row r="523">
          <cell r="A523" t="str">
            <v>Serviços de terceiros</v>
          </cell>
          <cell r="B523">
            <v>2093117.8</v>
          </cell>
        </row>
        <row r="524">
          <cell r="A524" t="str">
            <v>5112003010 Serviços Prestados Consultoria p/PJ (Realizado)</v>
          </cell>
          <cell r="B524">
            <v>78375.820000000007</v>
          </cell>
        </row>
        <row r="525">
          <cell r="A525" t="str">
            <v>5112003040 Serv Prest Consultoria p/PF s/Vinc Empr (Realiz)</v>
          </cell>
          <cell r="B525">
            <v>4068.68</v>
          </cell>
        </row>
        <row r="526">
          <cell r="A526" t="str">
            <v>5112010010 Serviços Prestados Temporario p/PJ (Realizado)</v>
          </cell>
          <cell r="B526">
            <v>1618.33</v>
          </cell>
        </row>
        <row r="527">
          <cell r="A527" t="str">
            <v>5112011010 Serviços Prestados Limpeza p/ PJ (Realizado)</v>
          </cell>
          <cell r="B527">
            <v>69594.75</v>
          </cell>
        </row>
        <row r="528">
          <cell r="A528" t="str">
            <v>5112012010 Serviços Prestados Vigilancia PJ (Realiz)</v>
          </cell>
          <cell r="B528">
            <v>1245</v>
          </cell>
        </row>
        <row r="529">
          <cell r="A529" t="str">
            <v>5112013010 Serviços Prestados Jardinagem p/PJ (Realizado)</v>
          </cell>
          <cell r="B529">
            <v>30890.29</v>
          </cell>
        </row>
        <row r="530">
          <cell r="A530" t="str">
            <v>5112014010 Serv Prest Estacionamento de Caminhoes PJ (Realiz)</v>
          </cell>
          <cell r="B530">
            <v>81675</v>
          </cell>
        </row>
        <row r="531">
          <cell r="A531" t="str">
            <v>5112015010 Serv Prest Fretes Carretos s/Compras p/PJ (Realiz)</v>
          </cell>
          <cell r="B531">
            <v>937244.86</v>
          </cell>
        </row>
        <row r="532">
          <cell r="A532" t="str">
            <v>5112018010 Serv Prest Reparos Assist Tecnica p/PJ (Realiz)</v>
          </cell>
          <cell r="B532">
            <v>102549.26</v>
          </cell>
        </row>
        <row r="533">
          <cell r="A533" t="str">
            <v>5112019010 Serv Prest Tratamento de Residuos p/PJ (Realiz)</v>
          </cell>
          <cell r="B533">
            <v>17025.43</v>
          </cell>
        </row>
        <row r="534">
          <cell r="A534" t="str">
            <v>5112099010 Prest Serv Tecnicos Profissionais p/PJ (Realiz)</v>
          </cell>
          <cell r="B534">
            <v>35016.6</v>
          </cell>
        </row>
        <row r="535">
          <cell r="A535" t="str">
            <v>5112150010 Serv Prest Manutençao Civil p/PJ (Realizado)</v>
          </cell>
          <cell r="B535">
            <v>180708.84</v>
          </cell>
        </row>
        <row r="536">
          <cell r="A536" t="str">
            <v>5112151010 Serv Prest Manutençao Eletricos p/PJ (Realiz)</v>
          </cell>
          <cell r="B536">
            <v>113663.19</v>
          </cell>
        </row>
        <row r="537">
          <cell r="A537" t="str">
            <v>5112152010 Serv Prest Manutençao Mecânicos p/PJ (Realizado)</v>
          </cell>
          <cell r="B537">
            <v>57136.33</v>
          </cell>
        </row>
        <row r="538">
          <cell r="A538" t="str">
            <v>5112153010 Serv Prest Manutençao Inspeçao PJ (Realizado)</v>
          </cell>
          <cell r="B538">
            <v>60769.68</v>
          </cell>
        </row>
        <row r="539">
          <cell r="A539" t="str">
            <v>5112154010 Serv Prest Manutençao Cald/Tubul PJ (Realzado)</v>
          </cell>
          <cell r="B539">
            <v>79690.73</v>
          </cell>
        </row>
        <row r="540">
          <cell r="A540" t="str">
            <v>5112155010 Serv Prest Manut Instrumentaçao PJ (Realizado)</v>
          </cell>
          <cell r="B540">
            <v>73546.67</v>
          </cell>
        </row>
        <row r="541">
          <cell r="A541" t="str">
            <v>5112170010 Serv Prest Manutenaçao Cel HG-PJ (Realizado)</v>
          </cell>
          <cell r="B541">
            <v>26867.81</v>
          </cell>
        </row>
        <row r="542">
          <cell r="A542" t="str">
            <v>5112175010 Serv Prest Manutençao Cel Diafrag p/PJ (Realiz)</v>
          </cell>
          <cell r="B542">
            <v>13353.59</v>
          </cell>
        </row>
        <row r="543">
          <cell r="A543" t="str">
            <v>5112199010 Serv Prest Manutençao Apoio-PJ (Realizado)</v>
          </cell>
          <cell r="B543">
            <v>58861.06</v>
          </cell>
        </row>
        <row r="544">
          <cell r="A544" t="str">
            <v>5112199510 Serv Prest Manutençao Revestimentos-PJ (Realizado)</v>
          </cell>
          <cell r="B544">
            <v>69215.88</v>
          </cell>
        </row>
        <row r="545">
          <cell r="A545" t="str">
            <v>Outras</v>
          </cell>
          <cell r="B545">
            <v>1756582</v>
          </cell>
        </row>
        <row r="546">
          <cell r="A546" t="str">
            <v>5110801020 Mat Cons-Oper-Mat Processo Produtivo (Realiz)</v>
          </cell>
          <cell r="B546">
            <v>11742.59</v>
          </cell>
        </row>
        <row r="547">
          <cell r="A547" t="str">
            <v>5110801040 Mat Cons-Oper-Mat Análises Quimicas (Realizado)</v>
          </cell>
          <cell r="B547">
            <v>30948.93</v>
          </cell>
        </row>
        <row r="548">
          <cell r="A548" t="str">
            <v>5110801060 Mat Cons-Oper-Ferramentas (Realizado)</v>
          </cell>
          <cell r="B548">
            <v>45341.88</v>
          </cell>
        </row>
        <row r="549">
          <cell r="A549" t="str">
            <v>5110801070 Mat Cons-Oper-Mat Reparo e Manutençao (Realizado)</v>
          </cell>
          <cell r="B549">
            <v>158.5</v>
          </cell>
        </row>
        <row r="550">
          <cell r="A550" t="str">
            <v>5110801090 Mat Cons-Oper-Mat Limpeza (Realizado)</v>
          </cell>
          <cell r="B550">
            <v>4611.92</v>
          </cell>
        </row>
        <row r="551">
          <cell r="A551" t="str">
            <v>5110801100 Mat Cons-Oper-Mat Segurança (Realizado)</v>
          </cell>
          <cell r="B551">
            <v>31805.89</v>
          </cell>
        </row>
        <row r="552">
          <cell r="A552" t="str">
            <v>5110801110 Mat Cons-Oper-Consumo de Água (Realizado)</v>
          </cell>
          <cell r="B552">
            <v>60739.54</v>
          </cell>
        </row>
        <row r="553">
          <cell r="A553" t="str">
            <v>5110801130 Mat Cons-Oper-Mat Escritório (Realizado)</v>
          </cell>
          <cell r="B553">
            <v>3207.6</v>
          </cell>
        </row>
        <row r="554">
          <cell r="A554" t="str">
            <v>5110801140 Mat Cons-Oper-Mat Imobilizado (Realizado)</v>
          </cell>
          <cell r="B554">
            <v>2255.91</v>
          </cell>
        </row>
        <row r="555">
          <cell r="A555" t="str">
            <v>5110802020 Mat Cons-Manutençao-Eletrica (Realizado)</v>
          </cell>
          <cell r="B555">
            <v>81215.83</v>
          </cell>
        </row>
        <row r="556">
          <cell r="A556" t="str">
            <v>5110802030 Mat Cons-Manutençao-Mecânica (Realizado)</v>
          </cell>
          <cell r="B556">
            <v>187904.42</v>
          </cell>
        </row>
        <row r="557">
          <cell r="A557" t="str">
            <v>5110802050 Mat Cons-Manutençao-Calderaria/Tubul (Realizado)</v>
          </cell>
          <cell r="B557">
            <v>532799.05000000005</v>
          </cell>
        </row>
        <row r="558">
          <cell r="A558" t="str">
            <v>5110802060 Mat Cons-Manutençao-Instrumentaçao (Realizado)</v>
          </cell>
          <cell r="B558">
            <v>309140.59999999998</v>
          </cell>
        </row>
        <row r="559">
          <cell r="A559" t="str">
            <v>5110802070 Mat Cons-Manutençao-Celula HG (Realizado)</v>
          </cell>
          <cell r="B559">
            <v>74995.44</v>
          </cell>
        </row>
        <row r="560">
          <cell r="A560" t="str">
            <v>5110802080 Mat Cons-Manutençao-Celula Diafragma (Realizado)</v>
          </cell>
          <cell r="B560">
            <v>42432.15</v>
          </cell>
        </row>
        <row r="561">
          <cell r="A561" t="str">
            <v>5110802990 Mat Cons-Manutençao-Geral (Realizado)</v>
          </cell>
          <cell r="B561">
            <v>86861.83</v>
          </cell>
        </row>
        <row r="562">
          <cell r="A562" t="str">
            <v>5111902010 Despesa Viagens Nacionais (Realizado)</v>
          </cell>
          <cell r="B562">
            <v>8211.42</v>
          </cell>
        </row>
        <row r="563">
          <cell r="A563" t="str">
            <v>5111902020 Despesas Viagens Internacionais (Realizado)</v>
          </cell>
          <cell r="B563">
            <v>3630.15</v>
          </cell>
        </row>
        <row r="564">
          <cell r="A564" t="str">
            <v>5114002060 DITC-Txs Municipais,Estaduais,Federais (Realizado)</v>
          </cell>
          <cell r="B564">
            <v>233.75</v>
          </cell>
        </row>
        <row r="565">
          <cell r="A565" t="str">
            <v>5118002050 DPC Ded-Contrib a Entidades de Classes (Realizado)</v>
          </cell>
          <cell r="B565">
            <v>4704.8500000000004</v>
          </cell>
        </row>
        <row r="566">
          <cell r="A566" t="str">
            <v>5119905010 Desp Alug/Loc.Oper-Locaçao Equip Operaçao (Realiz)</v>
          </cell>
          <cell r="B566">
            <v>144748.39000000001</v>
          </cell>
        </row>
        <row r="567">
          <cell r="A567" t="str">
            <v>5119905050 Desp Alug/Loc.Oper-Loc de Equip Telefonia(Realiz)</v>
          </cell>
          <cell r="B567">
            <v>499.12</v>
          </cell>
        </row>
        <row r="568">
          <cell r="A568" t="str">
            <v>5119906010 Desp Alug/Loc. Op-Equipamentos de Manut (Realiz)</v>
          </cell>
          <cell r="B568">
            <v>87297.76</v>
          </cell>
        </row>
        <row r="569">
          <cell r="A569" t="str">
            <v>5119920010 Desp c/Veiculos-Abastecimento (Realizado)</v>
          </cell>
          <cell r="B569">
            <v>412.84</v>
          </cell>
        </row>
        <row r="570">
          <cell r="A570" t="str">
            <v>5119920050 Desp c/Veiculos-Pedagio e Estacionam (Realizado)</v>
          </cell>
          <cell r="B570">
            <v>681.64</v>
          </cell>
        </row>
        <row r="571">
          <cell r="A571" t="str">
            <v>Despesas / Receitas Operacionais</v>
          </cell>
          <cell r="B571">
            <v>16622967.77</v>
          </cell>
        </row>
        <row r="572">
          <cell r="A572" t="str">
            <v>Despesas com vendas</v>
          </cell>
          <cell r="B572">
            <v>6941761.3399999999</v>
          </cell>
        </row>
        <row r="573">
          <cell r="A573" t="str">
            <v>Despesas com fretes sobre vendas</v>
          </cell>
          <cell r="B573">
            <v>6941761.1500000004</v>
          </cell>
        </row>
        <row r="574">
          <cell r="A574" t="str">
            <v>3140101030 Fretes s/Vendas de Produtos no MI (Realizado)</v>
          </cell>
          <cell r="B574">
            <v>6786066.1500000004</v>
          </cell>
        </row>
        <row r="575">
          <cell r="A575" t="str">
            <v>3140105030 Fretes s/Revendas de Mercadorias no MI (Realiz)</v>
          </cell>
          <cell r="B575">
            <v>155695</v>
          </cell>
        </row>
        <row r="576">
          <cell r="A576" t="str">
            <v>Outras despesas com vendas</v>
          </cell>
          <cell r="B576">
            <v>0.19</v>
          </cell>
        </row>
        <row r="577">
          <cell r="A577" t="str">
            <v>3140601030 Desp Remessas p/Testes Ensaios e Prod FP (Realiz)</v>
          </cell>
          <cell r="B577">
            <v>0.19</v>
          </cell>
        </row>
        <row r="578">
          <cell r="A578" t="str">
            <v>Despesas Gerais e Administrativas</v>
          </cell>
          <cell r="B578">
            <v>7185755.5999999996</v>
          </cell>
        </row>
        <row r="579">
          <cell r="A579" t="str">
            <v>Energia Elétrica consumo administrativo</v>
          </cell>
          <cell r="B579">
            <v>8582.19</v>
          </cell>
        </row>
        <row r="580">
          <cell r="A580" t="str">
            <v>3170801120 Mat Cons Oper-Luz (Realizado)</v>
          </cell>
          <cell r="B580">
            <v>8582.19</v>
          </cell>
        </row>
        <row r="581">
          <cell r="A581" t="str">
            <v>Despesas com salários e benefícios a empreg</v>
          </cell>
          <cell r="B581">
            <v>4376045.4800000004</v>
          </cell>
        </row>
        <row r="582">
          <cell r="A582" t="str">
            <v>3171001010 FLPG-Remuneraçao a Dirigentes Conselho Adm (Pgto)</v>
          </cell>
          <cell r="B582">
            <v>535259</v>
          </cell>
        </row>
        <row r="583">
          <cell r="A583" t="str">
            <v>3171001021 FLPG-Prov Gratificaçao a Dirigentes Conselho Adm</v>
          </cell>
          <cell r="B583">
            <v>272123</v>
          </cell>
        </row>
        <row r="584">
          <cell r="A584" t="str">
            <v>3171001030 FLPG-Ordenados, Salars e Outras Remun a Empreg (R)</v>
          </cell>
          <cell r="B584">
            <v>1034307.7</v>
          </cell>
        </row>
        <row r="585">
          <cell r="A585" t="str">
            <v>3171001041 FLPG-Provisao de 13º Salario</v>
          </cell>
          <cell r="B585">
            <v>86941.26</v>
          </cell>
        </row>
        <row r="586">
          <cell r="A586" t="str">
            <v>3171001050 FLPG-Ferias (Realizado)</v>
          </cell>
          <cell r="B586">
            <v>68303.5</v>
          </cell>
        </row>
        <row r="587">
          <cell r="A587" t="str">
            <v>3171001051 FLPG-Provisao de Ferias</v>
          </cell>
          <cell r="B587">
            <v>130560.18</v>
          </cell>
        </row>
        <row r="588">
          <cell r="A588" t="str">
            <v>3171001052 FLPG-Reversap da Provisao de Ferias</v>
          </cell>
          <cell r="B588">
            <v>-68303.5</v>
          </cell>
        </row>
        <row r="589">
          <cell r="A589" t="str">
            <v>3171001080 FLPG-Gratificaçao de Ferias (Realiz)</v>
          </cell>
          <cell r="B589">
            <v>23218.04</v>
          </cell>
        </row>
        <row r="590">
          <cell r="A590" t="str">
            <v>3171001081 FLPG-Provisao de Gratificaçao de Ferias</v>
          </cell>
          <cell r="B590">
            <v>49242.01</v>
          </cell>
        </row>
        <row r="591">
          <cell r="A591" t="str">
            <v>3171001082 FLPG-Reversao da Prov de Gratificaçao de Ferias</v>
          </cell>
          <cell r="B591">
            <v>-23218.04</v>
          </cell>
        </row>
        <row r="592">
          <cell r="A592" t="str">
            <v>3171001091 FLPG-Provisao de Gratificaçoes</v>
          </cell>
          <cell r="B592">
            <v>227281</v>
          </cell>
        </row>
        <row r="593">
          <cell r="A593" t="str">
            <v>3171001240 FLPG-Auxilio Doença (Realizado)</v>
          </cell>
          <cell r="B593">
            <v>8709.58</v>
          </cell>
        </row>
        <row r="594">
          <cell r="A594" t="str">
            <v>3171001250 FLPG-Auxilio Ensino (Realizado)</v>
          </cell>
          <cell r="B594">
            <v>17553.810000000001</v>
          </cell>
        </row>
        <row r="595">
          <cell r="A595" t="str">
            <v>3171001300 FLPG-Bolsa Estudos de Estagiarios (Realizado)</v>
          </cell>
          <cell r="B595">
            <v>9404.2800000000007</v>
          </cell>
        </row>
        <row r="596">
          <cell r="A596" t="str">
            <v>3171001990 Rateio da Mão de Obra da Manutenção</v>
          </cell>
          <cell r="B596">
            <v>675.95</v>
          </cell>
        </row>
        <row r="597">
          <cell r="A597" t="str">
            <v>3171002010 FGTS s/Folha de Pagamento (Realizado)</v>
          </cell>
          <cell r="B597">
            <v>82769.179999999993</v>
          </cell>
        </row>
        <row r="598">
          <cell r="A598" t="str">
            <v>3171002020 FGTS s/Ferias (Realizado)</v>
          </cell>
          <cell r="B598">
            <v>4096.82</v>
          </cell>
        </row>
        <row r="599">
          <cell r="A599" t="str">
            <v>3171002021 Provisao de FGTS s/Ferias</v>
          </cell>
          <cell r="B599">
            <v>9068.7199999999993</v>
          </cell>
        </row>
        <row r="600">
          <cell r="A600" t="str">
            <v>3171002022 Reversao da Provisao de FGTS s/Ferias</v>
          </cell>
          <cell r="B600">
            <v>-4096.82</v>
          </cell>
        </row>
        <row r="601">
          <cell r="A601" t="str">
            <v>3171002031 Provisao de FGTS s/13º Salario</v>
          </cell>
          <cell r="B601">
            <v>6949.2</v>
          </cell>
        </row>
        <row r="602">
          <cell r="A602" t="str">
            <v>3171002041 Provisao de FGTS s/Desligamento de Funcionario</v>
          </cell>
          <cell r="B602">
            <v>91434</v>
          </cell>
        </row>
        <row r="603">
          <cell r="A603" t="str">
            <v>3171003010 INSS s/Folha de Pagamento (Realizado)</v>
          </cell>
          <cell r="B603">
            <v>413960.34</v>
          </cell>
        </row>
        <row r="604">
          <cell r="A604" t="str">
            <v>3171003021 Provisao de INSS s/Ferias</v>
          </cell>
          <cell r="B604">
            <v>19566.09</v>
          </cell>
        </row>
        <row r="605">
          <cell r="A605" t="str">
            <v>3171003022 Reversao da Provisao de INSS s/Ferias</v>
          </cell>
          <cell r="B605">
            <v>-2087.48</v>
          </cell>
        </row>
        <row r="606">
          <cell r="A606" t="str">
            <v>3171003031 Provisao de INSS s/13º Salario</v>
          </cell>
          <cell r="B606">
            <v>24408.7</v>
          </cell>
        </row>
        <row r="607">
          <cell r="A607" t="str">
            <v>3171003051 Provisao de INSS s/Gratificações</v>
          </cell>
          <cell r="B607">
            <v>54425</v>
          </cell>
        </row>
        <row r="608">
          <cell r="A608" t="str">
            <v>3171501010 Prev Priv CD-Contribuicoes da Empresa (Realizado)</v>
          </cell>
          <cell r="B608">
            <v>486635.88</v>
          </cell>
        </row>
        <row r="609">
          <cell r="A609" t="str">
            <v>3171501015 Prev Priv CD-Participaçao dos Empregados</v>
          </cell>
          <cell r="B609">
            <v>-157989.13</v>
          </cell>
        </row>
        <row r="610">
          <cell r="A610" t="str">
            <v>3171502011 Provisao Seguro de Vida em Grupo</v>
          </cell>
          <cell r="B610">
            <v>62778.54</v>
          </cell>
        </row>
        <row r="611">
          <cell r="A611" t="str">
            <v>3171503010 Assistencia Medica e Hospitalar (Realizado)</v>
          </cell>
          <cell r="B611">
            <v>525578.05000000005</v>
          </cell>
        </row>
        <row r="612">
          <cell r="A612" t="str">
            <v>3171503015 Partic dos Empregados Assistenc Medica e Hospit</v>
          </cell>
          <cell r="B612">
            <v>-27995.62</v>
          </cell>
        </row>
        <row r="613">
          <cell r="A613" t="str">
            <v>3171503020 Assistencia Medica e Hospitalar Aposent (Realiz)</v>
          </cell>
          <cell r="B613">
            <v>30245.94</v>
          </cell>
        </row>
        <row r="614">
          <cell r="A614" t="str">
            <v>3171503021 Provisao Assistencia Medica Hospitalar Aposentados</v>
          </cell>
          <cell r="B614">
            <v>27433</v>
          </cell>
        </row>
        <row r="615">
          <cell r="A615" t="str">
            <v>3171503022 Reversao Prov Assist Medica Hospitalar Aposentados</v>
          </cell>
          <cell r="B615">
            <v>-30245.94</v>
          </cell>
        </row>
        <row r="616">
          <cell r="A616" t="str">
            <v>3171503030 Assistencia Odontologica (Realizado)</v>
          </cell>
          <cell r="B616">
            <v>32025.63</v>
          </cell>
        </row>
        <row r="617">
          <cell r="A617" t="str">
            <v>3171503035 Participacao dos Empregados Assist Odontologica</v>
          </cell>
          <cell r="B617">
            <v>-1589.63</v>
          </cell>
        </row>
        <row r="618">
          <cell r="A618" t="str">
            <v>3171503040 Despesas Medicas e Hospitalares (Realizado)</v>
          </cell>
          <cell r="B618">
            <v>-10297.56</v>
          </cell>
        </row>
        <row r="619">
          <cell r="A619" t="str">
            <v>3171504010 Desenv Prof-Cursos (Realizado)</v>
          </cell>
          <cell r="B619">
            <v>2771.86</v>
          </cell>
        </row>
        <row r="620">
          <cell r="A620" t="str">
            <v>3171504030 Desenv Prof-Serviços de Tercrs em Cursos (Realiz)</v>
          </cell>
          <cell r="B620">
            <v>660</v>
          </cell>
        </row>
        <row r="621">
          <cell r="A621" t="str">
            <v>3171504050 Desenv Prof-Transportes em Cursos (Realizado)</v>
          </cell>
          <cell r="B621">
            <v>2028.17</v>
          </cell>
        </row>
        <row r="622">
          <cell r="A622" t="str">
            <v>3171504060 Desenv Prof-Refeiçoes em Cursos (Realizado)</v>
          </cell>
          <cell r="B622">
            <v>4929.9399999999996</v>
          </cell>
        </row>
        <row r="623">
          <cell r="A623" t="str">
            <v>3171504070 Desenv Prof-Aprendiz de Menores em Cursos (Realiz)</v>
          </cell>
          <cell r="B623">
            <v>1227.5999999999999</v>
          </cell>
        </row>
        <row r="624">
          <cell r="A624" t="str">
            <v>3171505030 Desp Soc-Assistencia Social Funcionarios (Realiz)</v>
          </cell>
          <cell r="B624">
            <v>3584.97</v>
          </cell>
        </row>
        <row r="625">
          <cell r="A625" t="str">
            <v>3171505050 Desp Soc-Comunicaçao Interna (Realizado)</v>
          </cell>
          <cell r="B625">
            <v>435</v>
          </cell>
        </row>
        <row r="626">
          <cell r="A626" t="str">
            <v>3171506010 Desp Transp-Conduçao Contratada (Realizado)</v>
          </cell>
          <cell r="B626">
            <v>228810.4</v>
          </cell>
        </row>
        <row r="627">
          <cell r="A627" t="str">
            <v>3171506015 Participaçao dos Empregados-Conduçao Contratada</v>
          </cell>
          <cell r="B627">
            <v>-3186.54</v>
          </cell>
        </row>
        <row r="628">
          <cell r="A628" t="str">
            <v>3171506020 Despesa Vale Transporte (Realizado)</v>
          </cell>
          <cell r="B628">
            <v>6633.72</v>
          </cell>
        </row>
        <row r="629">
          <cell r="A629" t="str">
            <v>3171506025 Participaçao dos Empregados-Vale Transporte</v>
          </cell>
          <cell r="B629">
            <v>-351.16</v>
          </cell>
        </row>
        <row r="630">
          <cell r="A630" t="str">
            <v>3171506030 Despesa Taxi e Conduçoes (Realizado)</v>
          </cell>
          <cell r="B630">
            <v>23819.66</v>
          </cell>
        </row>
        <row r="631">
          <cell r="A631" t="str">
            <v>3171506040 Despesa Aluguel de Veiculos (Realizado)</v>
          </cell>
          <cell r="B631">
            <v>565.16999999999996</v>
          </cell>
        </row>
        <row r="632">
          <cell r="A632" t="str">
            <v>3171507010 Despesa Refeiçoes Prontas (Realizado)</v>
          </cell>
          <cell r="B632">
            <v>71107.69</v>
          </cell>
        </row>
        <row r="633">
          <cell r="A633" t="str">
            <v>3171507015 Participaçao dos Empregados-Refeiçoes Prontas</v>
          </cell>
          <cell r="B633">
            <v>-12322.92</v>
          </cell>
        </row>
        <row r="634">
          <cell r="A634" t="str">
            <v>3171507020 Despesa Material de Consumo Refeitorio (Realiz)</v>
          </cell>
          <cell r="B634">
            <v>10087.49</v>
          </cell>
        </row>
        <row r="635">
          <cell r="A635" t="str">
            <v>3171507025 Desp Material Consumo Refeitorio Descont Func-R</v>
          </cell>
          <cell r="B635">
            <v>2635.8</v>
          </cell>
        </row>
        <row r="636">
          <cell r="A636" t="str">
            <v>3171507030 Despesa Refeiçoes-Visita e Outras (Realizado)</v>
          </cell>
          <cell r="B636">
            <v>12135.7</v>
          </cell>
        </row>
        <row r="637">
          <cell r="A637" t="str">
            <v>3171507040 Despesa Refeiçoes-Lanches Externos (Realizado)</v>
          </cell>
          <cell r="B637">
            <v>11342.25</v>
          </cell>
        </row>
        <row r="638">
          <cell r="A638" t="str">
            <v>Encargos de depreciação e amortização na DGA</v>
          </cell>
          <cell r="B638">
            <v>964655.65</v>
          </cell>
        </row>
        <row r="639">
          <cell r="A639" t="str">
            <v>3179001010 Encarg de Deprec e Amort-Depreciaçao (Realizado)</v>
          </cell>
          <cell r="B639">
            <v>110862.55</v>
          </cell>
        </row>
        <row r="640">
          <cell r="A640" t="str">
            <v>3179001011 Encarg de Depreciaçao Mais Valia (Realizado)</v>
          </cell>
          <cell r="B640">
            <v>1820.63</v>
          </cell>
        </row>
        <row r="641">
          <cell r="A641" t="str">
            <v>3179001012 Encs de Depreciaçao Mais Valia Comb Neg(Realizado)</v>
          </cell>
          <cell r="B641">
            <v>1820.63</v>
          </cell>
        </row>
        <row r="642">
          <cell r="A642" t="str">
            <v>3179001014 Encarg de Depreciaçao do AVP (Realizado)</v>
          </cell>
          <cell r="B642">
            <v>823.37</v>
          </cell>
        </row>
        <row r="643">
          <cell r="A643" t="str">
            <v>3179001050 Encarg de Deprec e Amort-Amortizaçao (Realizado)</v>
          </cell>
          <cell r="B643">
            <v>268282.05</v>
          </cell>
        </row>
        <row r="644">
          <cell r="A644" t="str">
            <v>3179001054 Encargs de Amortizaçao AVP (Realizado)</v>
          </cell>
          <cell r="B644">
            <v>1021.38</v>
          </cell>
        </row>
        <row r="645">
          <cell r="A645" t="str">
            <v>3179001104 Encargs de Amortizaçao Investimentos (Realizado)</v>
          </cell>
          <cell r="B645">
            <v>580025.04</v>
          </cell>
        </row>
        <row r="646">
          <cell r="A646" t="str">
            <v>Serviços de terceiros nas DGAs</v>
          </cell>
          <cell r="B646">
            <v>1021025.44</v>
          </cell>
        </row>
        <row r="647">
          <cell r="A647" t="str">
            <v>3172001010 Serviços Prestados Advocacia p/PJ (Realizado)</v>
          </cell>
          <cell r="B647">
            <v>213882.58</v>
          </cell>
        </row>
        <row r="648">
          <cell r="A648" t="str">
            <v>3172002010 Serviços Prestados Auditoria  p/PJ (Realizado)</v>
          </cell>
          <cell r="B648">
            <v>26750</v>
          </cell>
        </row>
        <row r="649">
          <cell r="A649" t="str">
            <v>3172003010 Serviços Prestados Consultoria p/PJ (Realizado)</v>
          </cell>
          <cell r="B649">
            <v>405201.33</v>
          </cell>
        </row>
        <row r="650">
          <cell r="A650" t="str">
            <v>3172003040 Serv Prest Consultoria p/PF s/Vinc Empr (Realiz)</v>
          </cell>
          <cell r="B650">
            <v>18865.36</v>
          </cell>
        </row>
        <row r="651">
          <cell r="A651" t="str">
            <v>3172007010 Serv Prest Informaçoes Cadastrais p/PJ (Realiz)</v>
          </cell>
          <cell r="B651">
            <v>36209.019999999997</v>
          </cell>
        </row>
        <row r="652">
          <cell r="A652" t="str">
            <v>3172008010 Serv Prest Propaganda e Publicidade p/PJ (Realiz)</v>
          </cell>
          <cell r="B652">
            <v>6690</v>
          </cell>
        </row>
        <row r="653">
          <cell r="A653" t="str">
            <v>3172009010 Serv Prest Atualiz/Suporte Tecnico p/PJ (Realiz)</v>
          </cell>
          <cell r="B653">
            <v>72854.710000000006</v>
          </cell>
        </row>
        <row r="654">
          <cell r="A654" t="str">
            <v>3172010010 Serviços Prestados Temporario p/PJ (Realizado)</v>
          </cell>
          <cell r="B654">
            <v>8274.02</v>
          </cell>
        </row>
        <row r="655">
          <cell r="A655" t="str">
            <v>3172011010 Serviços Prestados Limpeza p/ PJ (Realizado)</v>
          </cell>
          <cell r="B655">
            <v>15685.16</v>
          </cell>
        </row>
        <row r="656">
          <cell r="A656" t="str">
            <v>3172012010 Serviços Prestados Vigilancia PJ (Realiz)</v>
          </cell>
          <cell r="B656">
            <v>143551.26999999999</v>
          </cell>
        </row>
        <row r="657">
          <cell r="A657" t="str">
            <v>3172018010 Serv Prest Reparos Assist Tecnica p/PJ (Realiz)</v>
          </cell>
          <cell r="B657">
            <v>4986.5</v>
          </cell>
        </row>
        <row r="658">
          <cell r="A658" t="str">
            <v>3172099010 Prest Serv Tecnicos Profissionais p/PJ (Realiz)</v>
          </cell>
          <cell r="B658">
            <v>65757.490000000005</v>
          </cell>
        </row>
        <row r="659">
          <cell r="A659" t="str">
            <v>3172099040 Serv Prest Tec Profissionais p/PF s/Vin Empr (R)</v>
          </cell>
          <cell r="B659">
            <v>600</v>
          </cell>
        </row>
        <row r="660">
          <cell r="A660" t="str">
            <v>3172199010 Serv Prest Manutençao Geral p/PJ (Realizado)</v>
          </cell>
          <cell r="B660">
            <v>1718</v>
          </cell>
        </row>
        <row r="661">
          <cell r="A661" t="str">
            <v>Outras despesas gerais administrativas</v>
          </cell>
          <cell r="B661">
            <v>815446.84</v>
          </cell>
        </row>
        <row r="662">
          <cell r="A662" t="str">
            <v>3170801070 Mat Cons Oper-Reparo e Manutençao (Realiz)</v>
          </cell>
          <cell r="B662">
            <v>68.45</v>
          </cell>
        </row>
        <row r="663">
          <cell r="A663" t="str">
            <v>3170801100 Mat Cons Oper-Segurança (Realizado)</v>
          </cell>
          <cell r="B663">
            <v>323.77</v>
          </cell>
        </row>
        <row r="664">
          <cell r="A664" t="str">
            <v>3170801130 Mat Cons Oper-Escritorio (Realizado)</v>
          </cell>
          <cell r="B664">
            <v>4654.38</v>
          </cell>
        </row>
        <row r="665">
          <cell r="A665" t="str">
            <v>3170802990 Materias Consumo-Manutencao em Geral (Realiz)</v>
          </cell>
          <cell r="B665">
            <v>443.1</v>
          </cell>
        </row>
        <row r="666">
          <cell r="A666" t="str">
            <v>3171902010 Despesa Viagens Nacionais (Realizado)</v>
          </cell>
          <cell r="B666">
            <v>42295.83</v>
          </cell>
        </row>
        <row r="667">
          <cell r="A667" t="str">
            <v>3173501020 Desp Correspondencia-Postais (Realizado)</v>
          </cell>
          <cell r="B667">
            <v>720.28</v>
          </cell>
        </row>
        <row r="668">
          <cell r="A668" t="str">
            <v>3173505010 Desp Telec-Desp c/Telefonia Fixa (Realizado)</v>
          </cell>
          <cell r="B668">
            <v>5839.68</v>
          </cell>
        </row>
        <row r="669">
          <cell r="A669" t="str">
            <v>3173505020 Desp Telec-Desp c/Telefonia Movel (Realizado)</v>
          </cell>
          <cell r="B669">
            <v>15650.91</v>
          </cell>
        </row>
        <row r="670">
          <cell r="A670" t="str">
            <v>3173505030 Desp Telec-Desp Comun Dados EC/FC Internet(Realiz)</v>
          </cell>
          <cell r="B670">
            <v>14381.42</v>
          </cell>
        </row>
        <row r="671">
          <cell r="A671" t="str">
            <v>3173505040 Desp Telec-Desp Comum Dados Internet (Realizado)</v>
          </cell>
          <cell r="B671">
            <v>2846.13</v>
          </cell>
        </row>
        <row r="672">
          <cell r="A672" t="str">
            <v>3173505060 Desp Telec-Desp Comum Dados Banda Larga(Realizado)</v>
          </cell>
          <cell r="B672">
            <v>471.88</v>
          </cell>
        </row>
        <row r="673">
          <cell r="A673" t="str">
            <v>3173505070 Desp Telec-Desp Comum Dados Video Conferen(Realiz)</v>
          </cell>
          <cell r="B673">
            <v>584.6</v>
          </cell>
        </row>
        <row r="674">
          <cell r="A674" t="str">
            <v>3174001030 DLF-Desp Autenticidade Reconhecde Firmas (Realiz)</v>
          </cell>
          <cell r="B674">
            <v>2512.9</v>
          </cell>
        </row>
        <row r="675">
          <cell r="A675" t="str">
            <v>3174002010 DITC-Contribuiçao Sindical Patronal (Realizado)</v>
          </cell>
          <cell r="B675">
            <v>3338.82</v>
          </cell>
        </row>
        <row r="676">
          <cell r="A676" t="str">
            <v>3174002020 DITC-Predial e Territorial (Realizado)</v>
          </cell>
          <cell r="B676">
            <v>187673.24</v>
          </cell>
        </row>
        <row r="677">
          <cell r="A677" t="str">
            <v>3174002021 DITC-Provisao Imposto Predial Territorial (Realiz)</v>
          </cell>
          <cell r="B677">
            <v>12734</v>
          </cell>
        </row>
        <row r="678">
          <cell r="A678" t="str">
            <v>3174002040 DITC-ICMS s/Aquisiçao de Imobilizado (Realizado)</v>
          </cell>
          <cell r="B678">
            <v>746.77</v>
          </cell>
        </row>
        <row r="679">
          <cell r="A679" t="str">
            <v>3174002060 DITC-Txs Municipais,Estaduais,Federais (Realizado)</v>
          </cell>
          <cell r="B679">
            <v>4397.01</v>
          </cell>
        </row>
        <row r="680">
          <cell r="A680" t="str">
            <v>3175001010 Desp Seguro-Automoveis (Realizado)</v>
          </cell>
          <cell r="B680">
            <v>4626.9799999999996</v>
          </cell>
        </row>
        <row r="681">
          <cell r="A681" t="str">
            <v>3175001020 Desp Seguro-Responsabilidade Civil (Realizado)</v>
          </cell>
          <cell r="B681">
            <v>57877.51</v>
          </cell>
        </row>
        <row r="682">
          <cell r="A682" t="str">
            <v>3175001030 Desp Seguro-Risco Nomeado (Realizado)</v>
          </cell>
          <cell r="B682">
            <v>146677.25</v>
          </cell>
        </row>
        <row r="683">
          <cell r="A683" t="str">
            <v>3175001040 Desp Seguro-Riscos Diversos (Realizado)</v>
          </cell>
          <cell r="B683">
            <v>518.12</v>
          </cell>
        </row>
        <row r="684">
          <cell r="A684" t="str">
            <v>3175001050 Desp Seguro-Ambiental (Realizado)</v>
          </cell>
          <cell r="B684">
            <v>20000</v>
          </cell>
        </row>
        <row r="685">
          <cell r="A685" t="str">
            <v>3176001010 Desp Real Even-Semi Fora da Cia Gestao (Realizado)</v>
          </cell>
          <cell r="B685">
            <v>2760</v>
          </cell>
        </row>
        <row r="686">
          <cell r="A686" t="str">
            <v>3176002020 Desp c/Marketing-Relaçoes Publicas (Realizado)</v>
          </cell>
          <cell r="B686">
            <v>2711.11</v>
          </cell>
        </row>
        <row r="687">
          <cell r="A687" t="str">
            <v>3176002030 Desp c/Marketing-Patrocinios (Realizado)</v>
          </cell>
          <cell r="B687">
            <v>2760</v>
          </cell>
        </row>
        <row r="688">
          <cell r="A688" t="str">
            <v>3176002040 Desp c/Marketing-Programa Fabrica Aberta (Realiz)</v>
          </cell>
          <cell r="B688">
            <v>220</v>
          </cell>
        </row>
        <row r="689">
          <cell r="A689" t="str">
            <v>3178001990 DPC Ind-Outras Contrib/Doaçoes Indeduts (Realiz)</v>
          </cell>
          <cell r="B689">
            <v>4326.7</v>
          </cell>
        </row>
        <row r="690">
          <cell r="A690" t="str">
            <v>3178002050 DPC Ded-Contrib a Entidades de Classes (Realizado)</v>
          </cell>
          <cell r="B690">
            <v>74870.22</v>
          </cell>
        </row>
        <row r="691">
          <cell r="A691" t="str">
            <v>3178002990 DPC Ded-Outras Contrib e Doaçoes Dedutivs (Realiz)</v>
          </cell>
          <cell r="B691">
            <v>35000</v>
          </cell>
        </row>
        <row r="692">
          <cell r="A692" t="str">
            <v>3179905040 Desp Alug/Loc.Oper-Equip Impressao/Copias(Realiz)</v>
          </cell>
          <cell r="B692">
            <v>29186.89</v>
          </cell>
        </row>
        <row r="693">
          <cell r="A693" t="str">
            <v>3179905100 Desp Alug/Loc.Oper-Aluguel de Imovel (Realizado)</v>
          </cell>
          <cell r="B693">
            <v>109067.76</v>
          </cell>
        </row>
        <row r="694">
          <cell r="A694" t="str">
            <v>3179910010 Assin L.IT.J.R-Ass de Jornais e Revistas (Realiz)</v>
          </cell>
          <cell r="B694">
            <v>1398.2</v>
          </cell>
        </row>
        <row r="695">
          <cell r="A695" t="str">
            <v>3179910030 Assin L.IT.J.R-Ass Livros/Inform Tecnicos (Realiz)</v>
          </cell>
          <cell r="B695">
            <v>11987.68</v>
          </cell>
        </row>
        <row r="696">
          <cell r="A696" t="str">
            <v>3179920010 Desp c/Veiculos-Abastecimento (Realizado)</v>
          </cell>
          <cell r="B696">
            <v>3588.94</v>
          </cell>
        </row>
        <row r="697">
          <cell r="A697" t="str">
            <v>3179920020 Desp c/Veiculos-Reparos e Manutençoes (Realizado)</v>
          </cell>
          <cell r="B697">
            <v>250</v>
          </cell>
        </row>
        <row r="698">
          <cell r="A698" t="str">
            <v>3179920030 Desp c/Veiculos-Peças e Acessorios (Realizado)</v>
          </cell>
          <cell r="B698">
            <v>896.28</v>
          </cell>
        </row>
        <row r="699">
          <cell r="A699" t="str">
            <v>3179920040 Desp c/Veiculos-Lavagem e Lubrificaçao (Realizado)</v>
          </cell>
          <cell r="B699">
            <v>277</v>
          </cell>
        </row>
        <row r="700">
          <cell r="A700" t="str">
            <v>3179920050 Desp c/Veiculos-Pedagio e Estacionam (Realizado)</v>
          </cell>
          <cell r="B700">
            <v>6763.03</v>
          </cell>
        </row>
        <row r="701">
          <cell r="A701" t="str">
            <v>Outras despesas / receitas operacionais</v>
          </cell>
          <cell r="B701">
            <v>269835.96999999997</v>
          </cell>
        </row>
        <row r="702">
          <cell r="A702" t="str">
            <v>Outras receitas operacionais</v>
          </cell>
          <cell r="B702">
            <v>-29.04</v>
          </cell>
        </row>
        <row r="703">
          <cell r="A703" t="str">
            <v>3310101010 Receita c/Dividendos Recebidos (Realizado)</v>
          </cell>
          <cell r="B703">
            <v>-29.04</v>
          </cell>
        </row>
        <row r="704">
          <cell r="A704" t="str">
            <v>Outras despesas operacionais</v>
          </cell>
          <cell r="B704">
            <v>269865.01</v>
          </cell>
        </row>
        <row r="705">
          <cell r="A705" t="str">
            <v>3310110020 Desp c/Proc Trabalhista (Realizado)</v>
          </cell>
          <cell r="B705">
            <v>44.26</v>
          </cell>
        </row>
        <row r="706">
          <cell r="A706" t="str">
            <v>3310140010 Desp n Cor Multas Indedutiveis (Realizado)</v>
          </cell>
          <cell r="B706">
            <v>269820.75</v>
          </cell>
        </row>
        <row r="707">
          <cell r="A707" t="str">
            <v>Resultado de equivalência patrimonial</v>
          </cell>
          <cell r="B707">
            <v>2225614.86</v>
          </cell>
        </row>
        <row r="708">
          <cell r="A708" t="str">
            <v>3310201020 Result Negativo Paticipacoes Societarias (R)</v>
          </cell>
          <cell r="B708">
            <v>2225614.86</v>
          </cell>
        </row>
        <row r="709">
          <cell r="A709" t="str">
            <v>Resultado financeiro</v>
          </cell>
          <cell r="B709">
            <v>4623431.29</v>
          </cell>
        </row>
        <row r="710">
          <cell r="A710" t="str">
            <v>Receitas financeiras</v>
          </cell>
          <cell r="B710">
            <v>-2489593.81</v>
          </cell>
        </row>
        <row r="711">
          <cell r="A711" t="str">
            <v>Receita de equivalentes de caixa e TVM</v>
          </cell>
          <cell r="B711">
            <v>-2056008.73</v>
          </cell>
        </row>
        <row r="712">
          <cell r="A712" t="str">
            <v>3510101010 Rec Financ-Juros s/Aplic Financeiras (Realizado)</v>
          </cell>
          <cell r="B712">
            <v>-2056008.73</v>
          </cell>
        </row>
        <row r="713">
          <cell r="A713" t="str">
            <v>Outras receitas financeiras</v>
          </cell>
          <cell r="B713">
            <v>-433585.08</v>
          </cell>
        </row>
        <row r="714">
          <cell r="A714" t="str">
            <v>3510101090 Rec Financ-Juros s/Capital Proprio (Realizado)</v>
          </cell>
          <cell r="B714">
            <v>-20074.240000000002</v>
          </cell>
        </row>
        <row r="715">
          <cell r="A715" t="str">
            <v>3510102011 Rec Financ-Prov Var Monet s/ Depositos Judiciais</v>
          </cell>
          <cell r="B715">
            <v>-265178.03000000003</v>
          </cell>
        </row>
        <row r="716">
          <cell r="A716" t="str">
            <v>3510102020 Rec Financ-Var Monet s/Impostos a Recup. (Realiza)</v>
          </cell>
          <cell r="B716">
            <v>-26176.799999999999</v>
          </cell>
        </row>
        <row r="717">
          <cell r="A717" t="str">
            <v>3510102990 Rec Finan-Var Monetaria s/Outros Ativos(Realizado)</v>
          </cell>
          <cell r="B717">
            <v>-46244.91</v>
          </cell>
        </row>
        <row r="718">
          <cell r="A718" t="str">
            <v>3510103010 Rec Financ-Encargos s/Cobrança Duplic(Realizado)</v>
          </cell>
          <cell r="B718">
            <v>-20558.53</v>
          </cell>
        </row>
        <row r="719">
          <cell r="A719" t="str">
            <v>3510103030 Rec Financ-Descontos Obtidos (Realizado)</v>
          </cell>
          <cell r="B719">
            <v>-13497.26</v>
          </cell>
        </row>
        <row r="720">
          <cell r="A720" t="str">
            <v>3510105010 Rec Financ-Bonificaçoes s/Adm Apolice (Realizado)</v>
          </cell>
          <cell r="B720">
            <v>-203.89</v>
          </cell>
        </row>
        <row r="721">
          <cell r="A721" t="str">
            <v>3510106014 Rec Financ-Cont.AVP/ICMS Recup s/Aquis de At.Fixo</v>
          </cell>
          <cell r="B721">
            <v>-36146.99</v>
          </cell>
        </row>
        <row r="722">
          <cell r="A722" t="str">
            <v>3510199990 Rec Financ-Demais Receitas Financeiras (Realizado)</v>
          </cell>
          <cell r="B722">
            <v>-5504.43</v>
          </cell>
        </row>
        <row r="723">
          <cell r="A723" t="str">
            <v>Despesas financeiras</v>
          </cell>
          <cell r="B723">
            <v>7113025.0999999996</v>
          </cell>
        </row>
        <row r="724">
          <cell r="A724" t="str">
            <v>Juros de empréstimos e financiamentos</v>
          </cell>
          <cell r="B724">
            <v>6743721.2300000004</v>
          </cell>
        </row>
        <row r="725">
          <cell r="A725" t="str">
            <v>3510201010 (-)Desp Financ-Juros s/Emprestimos (Realizado)</v>
          </cell>
          <cell r="B725">
            <v>6743721.2300000004</v>
          </cell>
        </row>
        <row r="726">
          <cell r="A726" t="str">
            <v>Variações cambiais passivas s/ exig. exterior</v>
          </cell>
          <cell r="B726">
            <v>116268.42</v>
          </cell>
        </row>
        <row r="727">
          <cell r="A727" t="str">
            <v>3530102010 Var C Liq Pas-Ganho Var Camb s/Exigiv Exterior(R)</v>
          </cell>
          <cell r="B727">
            <v>-256.31</v>
          </cell>
        </row>
        <row r="728">
          <cell r="A728" t="str">
            <v>3530102020 Var C Liq Pas-Perda Var Camb s/Exigiv Exterior(R)</v>
          </cell>
          <cell r="B728">
            <v>116524.73</v>
          </cell>
        </row>
        <row r="729">
          <cell r="A729" t="str">
            <v>Outras despesas financeiras</v>
          </cell>
          <cell r="B729">
            <v>253035.45</v>
          </cell>
        </row>
        <row r="730">
          <cell r="A730" t="str">
            <v>3510201020 (-)Desp Financ-Juros s/Pgtos em Atraso (Realizado)</v>
          </cell>
          <cell r="B730">
            <v>21355.42</v>
          </cell>
        </row>
        <row r="731">
          <cell r="A731" t="str">
            <v>3510202990 Desp Financ-Var Monet s/Outros Passivos(Realizado)</v>
          </cell>
          <cell r="B731">
            <v>120.46</v>
          </cell>
        </row>
        <row r="732">
          <cell r="A732" t="str">
            <v>3510202991 Desp Financ-Prov Var Monetaria s/Contingencias</v>
          </cell>
          <cell r="B732">
            <v>17384.07</v>
          </cell>
        </row>
        <row r="733">
          <cell r="A733" t="str">
            <v>3510203500 Desp Financ-Encarg/Outros-I.O.C / I.O.F(Realizado)</v>
          </cell>
          <cell r="B733">
            <v>3.98</v>
          </cell>
        </row>
        <row r="734">
          <cell r="A734" t="str">
            <v>3510204010 Desp Financ-EFE-Comissoes s/Aquis Empres Amort(R)</v>
          </cell>
          <cell r="B734">
            <v>194899.59</v>
          </cell>
        </row>
        <row r="735">
          <cell r="A735" t="str">
            <v>3510205020 Desp Financ-Bancarias-Corretagens (Realiz)</v>
          </cell>
          <cell r="B735">
            <v>915.68</v>
          </cell>
        </row>
        <row r="736">
          <cell r="A736" t="str">
            <v>3510205030 Desp Financ-Bancarias-Comissoes Fiança (Realiz)</v>
          </cell>
          <cell r="B736">
            <v>13267.2</v>
          </cell>
        </row>
        <row r="737">
          <cell r="A737" t="str">
            <v>3510205040 Desp Financ-Bancaria-Txa Expediente (Realiz)</v>
          </cell>
          <cell r="B737">
            <v>5089.3599999999997</v>
          </cell>
        </row>
        <row r="738">
          <cell r="A738" t="str">
            <v>3510299990 Demais Despesas Financeiras (Realizado)</v>
          </cell>
          <cell r="B738">
            <v>-0.31</v>
          </cell>
        </row>
        <row r="739">
          <cell r="A739" t="str">
            <v>Imposto de renda e constribuição social</v>
          </cell>
          <cell r="B739">
            <v>5149280.3499999996</v>
          </cell>
        </row>
        <row r="740">
          <cell r="A740" t="str">
            <v>Corrente</v>
          </cell>
          <cell r="B740">
            <v>5529620.1500000004</v>
          </cell>
        </row>
        <row r="741">
          <cell r="A741" t="str">
            <v>3910101011 (-)Prov CSLL/Exerc.Corrente-CSLL Ajustado (Realiz)</v>
          </cell>
          <cell r="B741">
            <v>1430881.65</v>
          </cell>
        </row>
        <row r="742">
          <cell r="A742" t="str">
            <v>3920101011 (-)Prov IRPJ/Exerc.Correne-IRPJ s/Lucro Real</v>
          </cell>
          <cell r="B742">
            <v>4098738.5</v>
          </cell>
        </row>
        <row r="743">
          <cell r="A743" t="str">
            <v>Diferido</v>
          </cell>
          <cell r="B743">
            <v>-380339.8</v>
          </cell>
        </row>
        <row r="744">
          <cell r="A744" t="str">
            <v>3910101021 (-)Prov CSLL/Exerc.Corrente-CSLL Diferido Ativos</v>
          </cell>
          <cell r="B744">
            <v>-100674.83</v>
          </cell>
        </row>
        <row r="745">
          <cell r="A745" t="str">
            <v>3920101021 (-)Prov IRPJ/Exerc.Corrente-IRPJ Diferido Ativos</v>
          </cell>
          <cell r="B745">
            <v>-279664.96999999997</v>
          </cell>
        </row>
      </sheetData>
      <sheetData sheetId="1" refreshError="1">
        <row r="2">
          <cell r="A2" t="str">
            <v>ATIVO</v>
          </cell>
          <cell r="B2">
            <v>1657504939.0599999</v>
          </cell>
        </row>
        <row r="3">
          <cell r="A3" t="str">
            <v>CIRCULANTE</v>
          </cell>
          <cell r="B3">
            <v>346931168.00999999</v>
          </cell>
        </row>
        <row r="4">
          <cell r="A4" t="str">
            <v>CAIXA E EQUIVALENTE DE CAIXA</v>
          </cell>
          <cell r="B4">
            <v>77713730.719999999</v>
          </cell>
        </row>
        <row r="5">
          <cell r="A5" t="str">
            <v>Recursos em caixa e contas correntes bancária</v>
          </cell>
          <cell r="B5">
            <v>489474.77</v>
          </cell>
        </row>
        <row r="6">
          <cell r="A6" t="str">
            <v>1110102030 Banco Itau (Realizado)</v>
          </cell>
          <cell r="B6">
            <v>151870.24</v>
          </cell>
        </row>
        <row r="7">
          <cell r="A7" t="str">
            <v>1110102040 Banco Santander (Realizado)</v>
          </cell>
          <cell r="B7">
            <v>185553.58</v>
          </cell>
        </row>
        <row r="8">
          <cell r="A8" t="str">
            <v>1110102080 Banco Votorantin (Realizado)</v>
          </cell>
          <cell r="B8">
            <v>514.13</v>
          </cell>
        </row>
        <row r="9">
          <cell r="A9" t="str">
            <v>1110102100 Banco Pactual S.A.(Realizado)</v>
          </cell>
          <cell r="B9">
            <v>1759.2</v>
          </cell>
        </row>
        <row r="10">
          <cell r="A10" t="str">
            <v>1110102120 Banco Alfa de Investimentos S.A. (Realizado)</v>
          </cell>
          <cell r="B10">
            <v>5772.25</v>
          </cell>
        </row>
        <row r="11">
          <cell r="A11" t="str">
            <v>1110102210 Banco do Brasil  (Realizado)</v>
          </cell>
          <cell r="B11">
            <v>134886.21</v>
          </cell>
        </row>
        <row r="12">
          <cell r="A12" t="str">
            <v>1110102220 Banco Bradesco (Realizado)</v>
          </cell>
          <cell r="B12">
            <v>834.38</v>
          </cell>
        </row>
        <row r="13">
          <cell r="A13" t="str">
            <v>1110102240 Banco Santander (Realizado)</v>
          </cell>
          <cell r="B13">
            <v>1380.69</v>
          </cell>
        </row>
        <row r="14">
          <cell r="A14" t="str">
            <v>1110102250 Caixa Economica Federal (Realizado)</v>
          </cell>
          <cell r="B14">
            <v>687.48</v>
          </cell>
        </row>
        <row r="15">
          <cell r="A15" t="str">
            <v>1110102270 Banco Safra (Realizado)</v>
          </cell>
          <cell r="B15">
            <v>2285.12</v>
          </cell>
        </row>
        <row r="16">
          <cell r="A16" t="str">
            <v>1110102290 Banco Paulista (Realizado)</v>
          </cell>
          <cell r="B16">
            <v>1098.81</v>
          </cell>
        </row>
        <row r="17">
          <cell r="A17" t="str">
            <v>1110102320 Banco Bradesco (Realizado)</v>
          </cell>
          <cell r="B17">
            <v>1801.49</v>
          </cell>
        </row>
        <row r="18">
          <cell r="A18" t="str">
            <v>1110102350 Caixa Economica Federal (Realizado)</v>
          </cell>
          <cell r="B18">
            <v>1031.19</v>
          </cell>
        </row>
        <row r="19">
          <cell r="A19" t="str">
            <v>Aplicações Financeiras (CDBs)</v>
          </cell>
          <cell r="B19">
            <v>77224255.950000003</v>
          </cell>
        </row>
        <row r="20">
          <cell r="A20" t="str">
            <v>1110105010 Aplicaçoes Financeiras (Realizado)</v>
          </cell>
          <cell r="B20">
            <v>77224255.950000003</v>
          </cell>
        </row>
        <row r="21">
          <cell r="A21" t="str">
            <v>APLICAÇÕES FINANCEIRAS</v>
          </cell>
          <cell r="B21">
            <v>138357080.59999999</v>
          </cell>
        </row>
        <row r="22">
          <cell r="A22" t="str">
            <v>Mantidos para negociação</v>
          </cell>
          <cell r="B22">
            <v>92932108.599999994</v>
          </cell>
        </row>
        <row r="23">
          <cell r="A23" t="str">
            <v>1110201010 Tits do Merc de Cap Inter Mant p/ Neg (Realizado)</v>
          </cell>
          <cell r="B23">
            <v>92932108.599999994</v>
          </cell>
        </row>
        <row r="24">
          <cell r="A24" t="str">
            <v>Mantidos até o vencimento</v>
          </cell>
          <cell r="B24">
            <v>45424972</v>
          </cell>
        </row>
        <row r="25">
          <cell r="A25" t="str">
            <v>1110201020 Tits do Merc de Cap Inter Mant ate Ven (Realizado)</v>
          </cell>
          <cell r="B25">
            <v>45424972</v>
          </cell>
        </row>
        <row r="26">
          <cell r="A26" t="str">
            <v>DUPLICATAS A RECEBER DE CLIENTES</v>
          </cell>
          <cell r="B26">
            <v>81843822.280000001</v>
          </cell>
        </row>
        <row r="27">
          <cell r="A27" t="str">
            <v>Clientes nacionais</v>
          </cell>
          <cell r="B27">
            <v>96224750.060000002</v>
          </cell>
        </row>
        <row r="28">
          <cell r="A28" t="str">
            <v>1110501010 Duplicatas a Receber no MI  (Realizado)</v>
          </cell>
          <cell r="B28">
            <v>97663283.150000006</v>
          </cell>
        </row>
        <row r="29">
          <cell r="A29" t="str">
            <v>1110501011 Duplicatas a Receber no MI (Parcela de CP / LP)</v>
          </cell>
          <cell r="B29">
            <v>-1322635.1599999999</v>
          </cell>
        </row>
        <row r="30">
          <cell r="A30" t="str">
            <v>1110501014 (-)Rec Financeira a apropriar s/Dups a Rec no MI</v>
          </cell>
          <cell r="B30">
            <v>-115897.93</v>
          </cell>
        </row>
        <row r="31">
          <cell r="A31" t="str">
            <v>PCLD</v>
          </cell>
          <cell r="B31">
            <v>-14380927.779999999</v>
          </cell>
        </row>
        <row r="32">
          <cell r="A32" t="str">
            <v>1110501900 (-) Provisões para Créditos de Liquidação Duvidosa</v>
          </cell>
          <cell r="B32">
            <v>-14380927.779999999</v>
          </cell>
        </row>
        <row r="33">
          <cell r="A33" t="str">
            <v>IMPOSTOS A RECUPERAR</v>
          </cell>
          <cell r="B33">
            <v>9304103.8499999996</v>
          </cell>
        </row>
        <row r="34">
          <cell r="A34" t="str">
            <v>Impostos de renda e CSLL</v>
          </cell>
          <cell r="B34">
            <v>-3252237.49</v>
          </cell>
        </row>
        <row r="35">
          <cell r="A35" t="str">
            <v>1111001010 Antecipaçoes de CSLL (Realizado)</v>
          </cell>
          <cell r="B35">
            <v>828275.46</v>
          </cell>
        </row>
        <row r="36">
          <cell r="A36" t="str">
            <v>1111001020 Antecipaçoes de IRPJ (Realizado)</v>
          </cell>
          <cell r="B36">
            <v>2201851.59</v>
          </cell>
        </row>
        <row r="37">
          <cell r="A37" t="str">
            <v>1111506020 IRRF sobre Aplicaçoes Financeiras (Realizado)</v>
          </cell>
          <cell r="B37">
            <v>316580.12</v>
          </cell>
        </row>
        <row r="38">
          <cell r="A38" t="str">
            <v>1111506990 Cred Fisc IRPJ Sdo Negativo Per Anterior (Realiz)</v>
          </cell>
          <cell r="B38">
            <v>1018741.26</v>
          </cell>
        </row>
        <row r="39">
          <cell r="A39" t="str">
            <v>2112001010 Prov p/ CSLL s/Resultado Operacional (Realizado)</v>
          </cell>
          <cell r="B39">
            <v>-2519245.2599999998</v>
          </cell>
        </row>
        <row r="40">
          <cell r="A40" t="str">
            <v>2112001040 Contribuição Social s/Compensação Base Negativa (R</v>
          </cell>
          <cell r="B40">
            <v>552723.87</v>
          </cell>
        </row>
        <row r="41">
          <cell r="A41" t="str">
            <v>2112002010 Prov p/  IR s/Resultando Operacional (Realizado)</v>
          </cell>
          <cell r="B41">
            <v>-7207368.6500000004</v>
          </cell>
        </row>
        <row r="42">
          <cell r="A42" t="str">
            <v>2112002040 Imposto de Renda s/ Compensação Prejuízo Fiscal (R</v>
          </cell>
          <cell r="B42">
            <v>1556204.12</v>
          </cell>
        </row>
        <row r="43">
          <cell r="A43" t="str">
            <v>ICMS a recuperar</v>
          </cell>
          <cell r="B43">
            <v>2061791.03</v>
          </cell>
        </row>
        <row r="44">
          <cell r="A44" t="str">
            <v>1111507010 ICMS a Recup sobre Ativo Permanente (Realizado)</v>
          </cell>
          <cell r="B44">
            <v>2398252.9500000002</v>
          </cell>
        </row>
        <row r="45">
          <cell r="A45" t="str">
            <v>1111507014 (-)AVP sobre ICMS a Recup sobre Ativo Permanente</v>
          </cell>
          <cell r="B45">
            <v>-336461.92</v>
          </cell>
        </row>
        <row r="46">
          <cell r="A46" t="str">
            <v>INSS a compensar</v>
          </cell>
          <cell r="B46">
            <v>5657980.5099999998</v>
          </cell>
        </row>
        <row r="47">
          <cell r="A47" t="str">
            <v>1111599070 INSS a Compensar  - Decisão Judicial (Realizado)</v>
          </cell>
          <cell r="B47">
            <v>5657980.5099999998</v>
          </cell>
        </row>
        <row r="48">
          <cell r="A48" t="str">
            <v>PIS a compensar Lei nº 9.715</v>
          </cell>
          <cell r="B48">
            <v>3120104.25</v>
          </cell>
        </row>
        <row r="49">
          <cell r="A49" t="str">
            <v>1111599000 PIS a Compensar Lei 9715 (Realizado)</v>
          </cell>
          <cell r="B49">
            <v>3120104.25</v>
          </cell>
        </row>
        <row r="50">
          <cell r="A50" t="str">
            <v>Outros</v>
          </cell>
          <cell r="B50">
            <v>1716465.55</v>
          </cell>
        </row>
        <row r="51">
          <cell r="A51" t="str">
            <v>1111599010 Imp Import a Rec-Recolhimento em Dupl (Realiz)</v>
          </cell>
          <cell r="B51">
            <v>232231.19</v>
          </cell>
        </row>
        <row r="52">
          <cell r="A52" t="str">
            <v>1111599020 INSS a Rec-Recolhimento em Duplicidade (Realizado)</v>
          </cell>
          <cell r="B52">
            <v>66438.64</v>
          </cell>
        </row>
        <row r="53">
          <cell r="A53" t="str">
            <v>1111599030 Adic Estadual doImposto de Renda a Rec (Realizado)</v>
          </cell>
          <cell r="B53">
            <v>1251533.5</v>
          </cell>
        </row>
        <row r="54">
          <cell r="A54" t="str">
            <v>1111599040 FINSOCIAL 1982/83 (Realizado)</v>
          </cell>
          <cell r="B54">
            <v>67054.64</v>
          </cell>
        </row>
        <row r="55">
          <cell r="A55" t="str">
            <v>1111599050 IRRF Tercs Ret a Maior (Realizado)</v>
          </cell>
          <cell r="B55">
            <v>27304.54</v>
          </cell>
        </row>
        <row r="56">
          <cell r="A56" t="str">
            <v>1111599060 PIS/COF/COF Ret a maior (Realizado)</v>
          </cell>
          <cell r="B56">
            <v>7951.81</v>
          </cell>
        </row>
        <row r="57">
          <cell r="A57" t="str">
            <v>1111599080 ISS a restituir</v>
          </cell>
          <cell r="B57">
            <v>5739.52</v>
          </cell>
        </row>
        <row r="58">
          <cell r="A58" t="str">
            <v>1111599100 Recuperação de Impostos Federais - Reintegra</v>
          </cell>
          <cell r="B58">
            <v>58211.71</v>
          </cell>
        </row>
        <row r="59">
          <cell r="A59" t="str">
            <v>ESTOQUES</v>
          </cell>
          <cell r="B59">
            <v>19109490.68</v>
          </cell>
        </row>
        <row r="60">
          <cell r="A60" t="str">
            <v>Matérias-primas</v>
          </cell>
          <cell r="B60">
            <v>49468.46</v>
          </cell>
        </row>
        <row r="61">
          <cell r="A61" t="str">
            <v>1112001010 Estoques de Materias Primas (Realizado)</v>
          </cell>
          <cell r="B61">
            <v>796.37</v>
          </cell>
        </row>
        <row r="62">
          <cell r="A62" t="str">
            <v>1112090010 Importaçoes em And de Materias Primas (Realizado)</v>
          </cell>
          <cell r="B62">
            <v>48672.09</v>
          </cell>
        </row>
        <row r="63">
          <cell r="A63" t="str">
            <v>Produtos em processo</v>
          </cell>
          <cell r="B63">
            <v>9134369.6899999995</v>
          </cell>
        </row>
        <row r="64">
          <cell r="A64" t="str">
            <v>1112003010 Estoques de Produtos em Elaboraçao (Realizado)</v>
          </cell>
          <cell r="B64">
            <v>9134369.6899999995</v>
          </cell>
        </row>
        <row r="65">
          <cell r="A65" t="str">
            <v>Produtos Acabados</v>
          </cell>
          <cell r="B65">
            <v>5602943.4400000004</v>
          </cell>
        </row>
        <row r="66">
          <cell r="A66" t="str">
            <v>1112010010 Estoques de Produtos Acabados (Realizado)</v>
          </cell>
          <cell r="B66">
            <v>5584691.2199999997</v>
          </cell>
        </row>
        <row r="67">
          <cell r="A67" t="str">
            <v>1112050010 Estoques de Mercadorias Rev Nacionais (Realizado)</v>
          </cell>
          <cell r="B67">
            <v>17882.39</v>
          </cell>
        </row>
        <row r="68">
          <cell r="A68" t="str">
            <v>1112050020 Estoques de Mercadorias Rev Importadas (Realizado)</v>
          </cell>
          <cell r="B68">
            <v>369.83</v>
          </cell>
        </row>
        <row r="69">
          <cell r="A69" t="str">
            <v>Provisão para desvalorização</v>
          </cell>
          <cell r="B69">
            <v>-2822638.16</v>
          </cell>
        </row>
        <row r="70">
          <cell r="A70" t="str">
            <v>1112010014 (-)Prov p/ Aj. do Est ao Vlr de Merc - Prods Acab</v>
          </cell>
          <cell r="B70">
            <v>-2822638.16</v>
          </cell>
        </row>
        <row r="71">
          <cell r="A71" t="str">
            <v>Materiais auxiliares e embalagens</v>
          </cell>
          <cell r="B71">
            <v>1952092.53</v>
          </cell>
        </row>
        <row r="72">
          <cell r="A72" t="str">
            <v>1112005010 Estoques de Insumos (Mat-Aux) (Realiz)</v>
          </cell>
          <cell r="B72">
            <v>1848258.92</v>
          </cell>
        </row>
        <row r="73">
          <cell r="A73" t="str">
            <v>1112008010 Estoques de Materiais de Embalagens (Realizado)</v>
          </cell>
          <cell r="B73">
            <v>103833.61</v>
          </cell>
        </row>
        <row r="74">
          <cell r="A74" t="str">
            <v>Materiais de manutenção e outros</v>
          </cell>
          <cell r="B74">
            <v>5193254.72</v>
          </cell>
        </row>
        <row r="75">
          <cell r="A75" t="str">
            <v>1112020020 Estoque Almoxarif CP-Manutençao Eletrica (Realiz)</v>
          </cell>
          <cell r="B75">
            <v>1789195.82</v>
          </cell>
        </row>
        <row r="76">
          <cell r="A76" t="str">
            <v>1112020030 Estoque Almoxarif CP-Manutençao Mecanica (Realiz)</v>
          </cell>
          <cell r="B76">
            <v>5559767.2000000002</v>
          </cell>
        </row>
        <row r="77">
          <cell r="A77" t="str">
            <v>1112020050 Estoq Alm CP-Manut Calderaria e Tubulaçao (Realiz)</v>
          </cell>
          <cell r="B77">
            <v>4169159.28</v>
          </cell>
        </row>
        <row r="78">
          <cell r="A78" t="str">
            <v>1112020060 Estoque Alm CP-Manutençao Instrumentaçao (Realiz)</v>
          </cell>
          <cell r="B78">
            <v>4439267.07</v>
          </cell>
        </row>
        <row r="79">
          <cell r="A79" t="str">
            <v>1112020070 Estoque Alm CP-Manutençao Celula HG (Realizado)</v>
          </cell>
          <cell r="B79">
            <v>503603.03</v>
          </cell>
        </row>
        <row r="80">
          <cell r="A80" t="str">
            <v>1112020080 Estoque Almo CP-Manut Celula Diafragma (Realizado)</v>
          </cell>
          <cell r="B80">
            <v>925539.66</v>
          </cell>
        </row>
        <row r="81">
          <cell r="A81" t="str">
            <v>1112020090 Estoque Alm CP-Manutençao Celula Membrana (Realiz)</v>
          </cell>
          <cell r="B81">
            <v>12839.65</v>
          </cell>
        </row>
        <row r="82">
          <cell r="A82" t="str">
            <v>1112020100 Estoque Alm CP-Manut.de Cilindros e Carretas R</v>
          </cell>
          <cell r="B82">
            <v>149441.81</v>
          </cell>
        </row>
        <row r="83">
          <cell r="A83" t="str">
            <v>1112020490 Estoque Almo CP-Manutençao em Geral (Realizado)</v>
          </cell>
          <cell r="B83">
            <v>1628.13</v>
          </cell>
        </row>
        <row r="84">
          <cell r="A84" t="str">
            <v>1112020500 Estoque Alm CP-Almoxarifado de Uso Geral (Realiz)</v>
          </cell>
          <cell r="B84">
            <v>296128.17</v>
          </cell>
        </row>
        <row r="85">
          <cell r="A85" t="str">
            <v>1112020991 Estoque Almoxarifado Transf. Parcela Realizada L.P</v>
          </cell>
          <cell r="B85">
            <v>-12756655.439999999</v>
          </cell>
        </row>
        <row r="86">
          <cell r="A86" t="str">
            <v>1112080200 Etq de Outros Mats-Almox em Poder de Ters (Realiz)</v>
          </cell>
          <cell r="B86">
            <v>103340.34</v>
          </cell>
        </row>
        <row r="87">
          <cell r="A87" t="str">
            <v>DESPESAS DE EXERCICIO SEGUINTE</v>
          </cell>
          <cell r="B87">
            <v>3659876.56</v>
          </cell>
        </row>
        <row r="88">
          <cell r="A88" t="str">
            <v>Pagamentos Antecipados</v>
          </cell>
          <cell r="B88">
            <v>3659876.56</v>
          </cell>
        </row>
        <row r="89">
          <cell r="A89" t="str">
            <v>1119001010 Pagamentos Antecipados-Seguros (Realizado)</v>
          </cell>
          <cell r="B89">
            <v>1490284.18</v>
          </cell>
        </row>
        <row r="90">
          <cell r="A90" t="str">
            <v>1119001030 Pagamentos Antecip-Serv Tecnicos Prof (Realizado)</v>
          </cell>
          <cell r="B90">
            <v>185203.48</v>
          </cell>
        </row>
        <row r="91">
          <cell r="A91" t="str">
            <v>1119001040 Pagamentos Antecipados-Impostos (Realizado)</v>
          </cell>
          <cell r="B91">
            <v>1876732.9</v>
          </cell>
        </row>
        <row r="92">
          <cell r="A92" t="str">
            <v>1119001050 Pagtos Antecip-Contribuiçoes Associativas (Realiz)</v>
          </cell>
          <cell r="B92">
            <v>0</v>
          </cell>
        </row>
        <row r="93">
          <cell r="A93" t="str">
            <v>1119001900 Pagtos Antecip-Outras Desps/Custos(Realizado)</v>
          </cell>
          <cell r="B93">
            <v>107656</v>
          </cell>
        </row>
        <row r="94">
          <cell r="A94" t="str">
            <v>OUTROS ATIVOS CIRCULANTE</v>
          </cell>
          <cell r="B94">
            <v>16943063.32</v>
          </cell>
        </row>
        <row r="95">
          <cell r="A95" t="str">
            <v>Adiantamento a Fornecedores</v>
          </cell>
          <cell r="B95">
            <v>10940764.15</v>
          </cell>
        </row>
        <row r="96">
          <cell r="A96" t="str">
            <v>1118001010 Adiantamentos a Fornec de Serviços (Realizado)</v>
          </cell>
          <cell r="B96">
            <v>106988.3</v>
          </cell>
        </row>
        <row r="97">
          <cell r="A97" t="str">
            <v>1118001020 Adiantamentos a Fornecedores de MP (Realizado)</v>
          </cell>
          <cell r="B97">
            <v>4463316.0599999996</v>
          </cell>
        </row>
        <row r="98">
          <cell r="A98" t="str">
            <v>1118001040 Adiant  Fornecs de Materias de Consumo (Realizado)</v>
          </cell>
          <cell r="B98">
            <v>46462.89</v>
          </cell>
        </row>
        <row r="99">
          <cell r="A99" t="str">
            <v>1118001050 Adiant Fornecs de Funcionarios (Realizado)</v>
          </cell>
          <cell r="B99">
            <v>1019.46</v>
          </cell>
        </row>
        <row r="100">
          <cell r="A100" t="str">
            <v>1118001060 Adiantamentos a Fornecedores de Fretes</v>
          </cell>
          <cell r="B100">
            <v>6048854.6200000001</v>
          </cell>
        </row>
        <row r="101">
          <cell r="A101" t="str">
            <v>1118001070 Adiantamentos a Fornecedores do Exterior</v>
          </cell>
          <cell r="B101">
            <v>274122.82</v>
          </cell>
        </row>
        <row r="102">
          <cell r="A102" t="str">
            <v>Créditos a receber na venda de ativos</v>
          </cell>
          <cell r="B102">
            <v>5668481.8700000001</v>
          </cell>
        </row>
        <row r="103">
          <cell r="A103" t="str">
            <v>1118099060 Outros Créditos- Contratos a Receber (Realizado)</v>
          </cell>
          <cell r="B103">
            <v>5668481.8700000001</v>
          </cell>
        </row>
        <row r="104">
          <cell r="A104" t="str">
            <v>Outros Créditos</v>
          </cell>
          <cell r="B104">
            <v>333817.3</v>
          </cell>
        </row>
        <row r="105">
          <cell r="A105" t="str">
            <v>1118002010 Adiantamentos a Empregados Salarios (Realizado)</v>
          </cell>
          <cell r="B105">
            <v>3688.23</v>
          </cell>
        </row>
        <row r="106">
          <cell r="A106" t="str">
            <v>1118002020 Adiantamentos a Empregados 13º Salario (Realizado)</v>
          </cell>
          <cell r="B106">
            <v>115090.11</v>
          </cell>
        </row>
        <row r="107">
          <cell r="A107" t="str">
            <v>1118002030 Adiantamentos a Empregados Ferias (Realizado)</v>
          </cell>
          <cell r="B107">
            <v>25184.35</v>
          </cell>
        </row>
        <row r="108">
          <cell r="A108" t="str">
            <v>1118002050 Adiant a Empregados Plano Auxilio Doen (Realizado)</v>
          </cell>
          <cell r="B108">
            <v>6950</v>
          </cell>
        </row>
        <row r="109">
          <cell r="A109" t="str">
            <v>1118002060 Adto a Empregados Cobertura de Sdo Devedor (R)</v>
          </cell>
          <cell r="B109">
            <v>13936.21</v>
          </cell>
        </row>
        <row r="110">
          <cell r="A110" t="str">
            <v>1118002090 Adto a Empregados Desp de Resp de Funcionario (R)</v>
          </cell>
          <cell r="B110">
            <v>1453.98</v>
          </cell>
        </row>
        <row r="111">
          <cell r="A111" t="str">
            <v>1118099020 Outros Creditos-Depositos e Cauçoes (Realizado)</v>
          </cell>
          <cell r="B111">
            <v>167514.42000000001</v>
          </cell>
        </row>
        <row r="112">
          <cell r="A112" t="str">
            <v>NÃO CIRCULANTE</v>
          </cell>
          <cell r="B112">
            <v>65121526.969999999</v>
          </cell>
        </row>
        <row r="113">
          <cell r="A113" t="str">
            <v>DUPLICATAS A RECEBER DE CLIENTES</v>
          </cell>
          <cell r="B113">
            <v>1308556.25</v>
          </cell>
        </row>
        <row r="114">
          <cell r="A114" t="str">
            <v>Clientes nacionais</v>
          </cell>
          <cell r="B114">
            <v>1308556.25</v>
          </cell>
        </row>
        <row r="115">
          <cell r="A115" t="str">
            <v>1710501011 Duplicatas a Receber no MI LP (Parcela de CP / LP)</v>
          </cell>
          <cell r="B115">
            <v>1322635.1599999999</v>
          </cell>
        </row>
        <row r="116">
          <cell r="A116" t="str">
            <v>1710501014 (-)Rec Fin a apr s/ Dups a Rec no MI LP (P CP/LP)</v>
          </cell>
          <cell r="B116">
            <v>-14078.91</v>
          </cell>
        </row>
        <row r="117">
          <cell r="A117" t="str">
            <v>IMPOSTOS A RECUPERAR</v>
          </cell>
          <cell r="B117">
            <v>3172325.94</v>
          </cell>
        </row>
        <row r="118">
          <cell r="A118" t="str">
            <v>ICMS a Recuperar</v>
          </cell>
          <cell r="B118">
            <v>2904107.38</v>
          </cell>
        </row>
        <row r="119">
          <cell r="A119" t="str">
            <v>1711507010 ICMS a Recuperar s/e Ativo Permanet LP (Realizado)</v>
          </cell>
          <cell r="B119">
            <v>3051561.29</v>
          </cell>
        </row>
        <row r="120">
          <cell r="A120" t="str">
            <v>1711507014 (-)AVP s/ ICMS a Recuperar s/ Ativo Permanente LP</v>
          </cell>
          <cell r="B120">
            <v>-147453.91</v>
          </cell>
        </row>
        <row r="121">
          <cell r="A121" t="str">
            <v>Outros</v>
          </cell>
          <cell r="B121">
            <v>268218.56</v>
          </cell>
        </row>
        <row r="122">
          <cell r="A122" t="str">
            <v>1711599040 FINSOCIAL 1982/83 (Realizado)</v>
          </cell>
          <cell r="B122">
            <v>268218.56</v>
          </cell>
        </row>
        <row r="123">
          <cell r="A123" t="str">
            <v>ESTOQUES</v>
          </cell>
          <cell r="B123">
            <v>12756655.439999999</v>
          </cell>
        </row>
        <row r="124">
          <cell r="A124" t="str">
            <v>Materiais de Almoxarifado de Giro Baixo</v>
          </cell>
          <cell r="B124">
            <v>12756655.439999999</v>
          </cell>
        </row>
        <row r="125">
          <cell r="A125" t="str">
            <v>1712020991 Estoque Almoxarifado Parcela Realizada LP</v>
          </cell>
          <cell r="B125">
            <v>12756655.439999999</v>
          </cell>
        </row>
        <row r="126">
          <cell r="A126" t="str">
            <v>DEPÓSITOS JUDICIAIS</v>
          </cell>
          <cell r="B126">
            <v>47883989.340000004</v>
          </cell>
        </row>
        <row r="127">
          <cell r="A127" t="str">
            <v>Tributários</v>
          </cell>
          <cell r="B127">
            <v>8944754.6899999995</v>
          </cell>
        </row>
        <row r="128">
          <cell r="A128" t="str">
            <v>1719001010 Dep Jud s/Res Trib Fed R</v>
          </cell>
          <cell r="B128">
            <v>7884493.1200000001</v>
          </cell>
        </row>
        <row r="129">
          <cell r="A129" t="str">
            <v>1719001011 ATM Dep Jud s/Res Trib Fed R</v>
          </cell>
          <cell r="B129">
            <v>708272.24</v>
          </cell>
        </row>
        <row r="130">
          <cell r="A130" t="str">
            <v>1719001030 Depos Jud s/Reserva-Imp, Taxas e Contrib Munic (R)</v>
          </cell>
          <cell r="B130">
            <v>351989.33</v>
          </cell>
        </row>
        <row r="131">
          <cell r="A131" t="str">
            <v>Trabalhistas</v>
          </cell>
          <cell r="B131">
            <v>6080134.1799999997</v>
          </cell>
        </row>
        <row r="132">
          <cell r="A132" t="str">
            <v>1719002010 Depos Jud s/Reserva-Reclamaçoes Trab (Realizado)</v>
          </cell>
          <cell r="B132">
            <v>4336872.2</v>
          </cell>
        </row>
        <row r="133">
          <cell r="A133" t="str">
            <v>1719002030 Dep Judiciais s/Res -Previdenciarios (Realizado)</v>
          </cell>
          <cell r="B133">
            <v>1743261.98</v>
          </cell>
        </row>
        <row r="134">
          <cell r="A134" t="str">
            <v>Outros depósitos judiciais</v>
          </cell>
          <cell r="B134">
            <v>32859100.469999999</v>
          </cell>
        </row>
        <row r="135">
          <cell r="A135" t="str">
            <v>1719003990 Outros Dep Judic s/Reserva de Nat Oper (Realizado)</v>
          </cell>
          <cell r="B135">
            <v>28456009.030000001</v>
          </cell>
        </row>
        <row r="136">
          <cell r="A136" t="str">
            <v>1719003991 ATM Outros Dep Judic s/Reserva Nat Oper (Realiz)</v>
          </cell>
          <cell r="B136">
            <v>4403091.4400000004</v>
          </cell>
        </row>
        <row r="137">
          <cell r="A137" t="str">
            <v>INVESTIMENTOS</v>
          </cell>
          <cell r="B137">
            <v>54340735.509999998</v>
          </cell>
        </row>
        <row r="138">
          <cell r="A138" t="str">
            <v>PARTICIPAÇÃO EM COLIGADA</v>
          </cell>
          <cell r="B138">
            <v>54340735.509999998</v>
          </cell>
        </row>
        <row r="139">
          <cell r="A139" t="str">
            <v>Tecsis tecnologia e sistemas avançados</v>
          </cell>
          <cell r="B139">
            <v>54340735.509999998</v>
          </cell>
        </row>
        <row r="140">
          <cell r="A140" t="str">
            <v>1720201010 Cto Part Per em Coligada ou ControladaTecsis</v>
          </cell>
          <cell r="B140">
            <v>-4004048.72</v>
          </cell>
        </row>
        <row r="141">
          <cell r="A141" t="str">
            <v>1720201012 Agios em Partic Per Colig ou Control - Tecsis</v>
          </cell>
          <cell r="B141">
            <v>26896601.149999999</v>
          </cell>
        </row>
        <row r="142">
          <cell r="A142" t="str">
            <v>1720201014 Vlr Justo Ativos em Part Per Col Cont Tecsis</v>
          </cell>
          <cell r="B142">
            <v>58505815.5</v>
          </cell>
        </row>
        <row r="143">
          <cell r="A143" t="str">
            <v>1720201015 Realização Vlr Justo em Part Per Col Cont -Tecsis</v>
          </cell>
          <cell r="B143">
            <v>-12632945.49</v>
          </cell>
        </row>
        <row r="144">
          <cell r="A144" t="str">
            <v>1720201018 Ajust Aval Patrimonial em Part Per Col Cont Tecsis</v>
          </cell>
          <cell r="B144">
            <v>-14424686.93</v>
          </cell>
        </row>
        <row r="145">
          <cell r="A145" t="str">
            <v>IMOBILIZADO</v>
          </cell>
          <cell r="B145">
            <v>903047288.30999994</v>
          </cell>
        </row>
        <row r="146">
          <cell r="A146" t="str">
            <v>CUSTO</v>
          </cell>
          <cell r="B146">
            <v>1491468772.6300001</v>
          </cell>
        </row>
        <row r="147">
          <cell r="A147" t="str">
            <v>Terrenos</v>
          </cell>
          <cell r="B147">
            <v>247550000.00999999</v>
          </cell>
        </row>
        <row r="148">
          <cell r="A148" t="str">
            <v>1740101010 Imobilizado-Custo dos Terrenos</v>
          </cell>
          <cell r="B148">
            <v>2292264.9900000002</v>
          </cell>
        </row>
        <row r="149">
          <cell r="A149" t="str">
            <v>1740101011 Imobilizado-Mais Valia dos Terrenos</v>
          </cell>
          <cell r="B149">
            <v>122628867.51000001</v>
          </cell>
        </row>
        <row r="150">
          <cell r="A150" t="str">
            <v>1740101012 Imobilizado-Mais Valia Comb Neg dos Terrenos</v>
          </cell>
          <cell r="B150">
            <v>122628867.51000001</v>
          </cell>
        </row>
        <row r="151">
          <cell r="A151" t="str">
            <v>Edificações e construções</v>
          </cell>
          <cell r="B151">
            <v>145970986.33000001</v>
          </cell>
        </row>
        <row r="152">
          <cell r="A152" t="str">
            <v>1740102010 Imobilizado-Custo dos Edificios</v>
          </cell>
          <cell r="B152">
            <v>125895740.04000001</v>
          </cell>
        </row>
        <row r="153">
          <cell r="A153" t="str">
            <v>1740102011 Imobilizado-Mais Valia dos Edificios</v>
          </cell>
          <cell r="B153">
            <v>2867318.76</v>
          </cell>
        </row>
        <row r="154">
          <cell r="A154" t="str">
            <v>1740102012 Imobilizado-Mais Valia Comb Negocios dos Edificios</v>
          </cell>
          <cell r="B154">
            <v>2867318.76</v>
          </cell>
        </row>
        <row r="155">
          <cell r="A155" t="str">
            <v>1740102014 Imobilizado-Contrapartida do AVP de Edificios</v>
          </cell>
          <cell r="B155">
            <v>246130.39</v>
          </cell>
        </row>
        <row r="156">
          <cell r="A156" t="str">
            <v>1740102020 Imobilizado-Custo das Benfeitorias</v>
          </cell>
          <cell r="B156">
            <v>9745640.0999999996</v>
          </cell>
        </row>
        <row r="157">
          <cell r="A157" t="str">
            <v>1740102021 Imobilizado-Mais Valia Benfeitorias</v>
          </cell>
          <cell r="B157">
            <v>2173636.4</v>
          </cell>
        </row>
        <row r="158">
          <cell r="A158" t="str">
            <v>1740102022 Imobilizado-Mais Valia Comb Neg Benfeitorias</v>
          </cell>
          <cell r="B158">
            <v>2173636.4</v>
          </cell>
        </row>
        <row r="159">
          <cell r="A159" t="str">
            <v>1740102024 Imobilizado-Contrapartida do AVP de Beneficios</v>
          </cell>
          <cell r="B159">
            <v>1565.48</v>
          </cell>
        </row>
        <row r="160">
          <cell r="A160" t="str">
            <v>Equipamentos e Instalações</v>
          </cell>
          <cell r="B160">
            <v>1038631755.16</v>
          </cell>
        </row>
        <row r="161">
          <cell r="A161" t="str">
            <v>1740103010 Imobilizado-Custo de Equipamentos</v>
          </cell>
          <cell r="B161">
            <v>813344181.89999998</v>
          </cell>
        </row>
        <row r="162">
          <cell r="A162" t="str">
            <v>1740103011 Imobilizado-Mais Valia Equipamentos</v>
          </cell>
          <cell r="B162">
            <v>97197939.200000003</v>
          </cell>
        </row>
        <row r="163">
          <cell r="A163" t="str">
            <v>1740103012 Imobilizado-Mais Valia Comb Neg Equipamentos</v>
          </cell>
          <cell r="B163">
            <v>97197939.200000003</v>
          </cell>
        </row>
        <row r="164">
          <cell r="A164" t="str">
            <v>1740103014 Imobilizado-AVP Equipamentos</v>
          </cell>
          <cell r="B164">
            <v>8860140.3699999992</v>
          </cell>
        </row>
        <row r="165">
          <cell r="A165" t="str">
            <v>1740103020 Imobilizado-Custo dos Sobressalentes</v>
          </cell>
          <cell r="B165">
            <v>17486448.140000001</v>
          </cell>
        </row>
        <row r="166">
          <cell r="A166" t="str">
            <v>1740103021 Imobilizado-Mais Valia dos Sobressalentes</v>
          </cell>
          <cell r="B166">
            <v>2255648.7999999998</v>
          </cell>
        </row>
        <row r="167">
          <cell r="A167" t="str">
            <v>1740103022 Imobilizado-Custo dos Sobressalentes</v>
          </cell>
          <cell r="B167">
            <v>2255648.7999999998</v>
          </cell>
        </row>
        <row r="168">
          <cell r="A168" t="str">
            <v>1740105020 Imobilizado-Custo de Veiculos Fora de Estrada</v>
          </cell>
          <cell r="B168">
            <v>33808.75</v>
          </cell>
        </row>
        <row r="169">
          <cell r="A169" t="str">
            <v>Veículos</v>
          </cell>
          <cell r="B169">
            <v>1228207.99</v>
          </cell>
        </row>
        <row r="170">
          <cell r="A170" t="str">
            <v>1740105010 Imob-Custo de Veiculos de Passageiros e Carga</v>
          </cell>
          <cell r="B170">
            <v>1224371.3700000001</v>
          </cell>
        </row>
        <row r="171">
          <cell r="A171" t="str">
            <v>1740105011 Imob-Mais Valia de Veiculos de Passageiros e Carga</v>
          </cell>
          <cell r="B171">
            <v>1777.67</v>
          </cell>
        </row>
        <row r="172">
          <cell r="A172" t="str">
            <v>1740105012 Imob-Mais Valia de Veiculos de Passageiros e Carga</v>
          </cell>
          <cell r="B172">
            <v>1777.67</v>
          </cell>
        </row>
        <row r="173">
          <cell r="A173" t="str">
            <v>1740105014 Imob-AVP de Veiculos de Passageiros e Carga</v>
          </cell>
          <cell r="B173">
            <v>281.27999999999997</v>
          </cell>
        </row>
        <row r="174">
          <cell r="A174" t="str">
            <v>Móveis e utensílios</v>
          </cell>
          <cell r="B174">
            <v>12132918.23</v>
          </cell>
        </row>
        <row r="175">
          <cell r="A175" t="str">
            <v>1740104010 Imob-Custo de Moveis, Utensilios e Inst Comerciais</v>
          </cell>
          <cell r="B175">
            <v>12088095.390000001</v>
          </cell>
        </row>
        <row r="176">
          <cell r="A176" t="str">
            <v>1740104014 Imob-AVP de Moveis, Utensilios e Inst Comerciais</v>
          </cell>
          <cell r="B176">
            <v>44822.84</v>
          </cell>
        </row>
        <row r="177">
          <cell r="A177" t="str">
            <v>Demais bens</v>
          </cell>
          <cell r="B177">
            <v>11110958.92</v>
          </cell>
        </row>
        <row r="178">
          <cell r="A178" t="str">
            <v>1740199010 Imobilizado-Custo de Material Auxiliar Permanente</v>
          </cell>
          <cell r="B178">
            <v>2511016.21</v>
          </cell>
        </row>
        <row r="179">
          <cell r="A179" t="str">
            <v>1740199070 Imobilizado-Custo de Computadores e Perifericos</v>
          </cell>
          <cell r="B179">
            <v>8563621.0899999999</v>
          </cell>
        </row>
        <row r="180">
          <cell r="A180" t="str">
            <v>1740199074 Imobilizado- AVP de Computadores e Perifericos</v>
          </cell>
          <cell r="B180">
            <v>36321.620000000003</v>
          </cell>
        </row>
        <row r="181">
          <cell r="A181" t="str">
            <v>imobilizado em andamento</v>
          </cell>
          <cell r="B181">
            <v>34843945.990000002</v>
          </cell>
        </row>
        <row r="182">
          <cell r="A182" t="str">
            <v>1745001010 Imob Andament-Custo das Aquisiçoes p/Imob (Receb)</v>
          </cell>
          <cell r="B182">
            <v>27809084.649999999</v>
          </cell>
        </row>
        <row r="183">
          <cell r="A183" t="str">
            <v>1745001014 Contrapartida dos Aj a Vr Presente de IeA</v>
          </cell>
          <cell r="B183">
            <v>138627.81</v>
          </cell>
        </row>
        <row r="184">
          <cell r="A184" t="str">
            <v>1745001020 Imob And-Cto das Aquisiç de Sobres de Imob (Receb)</v>
          </cell>
          <cell r="B184">
            <v>32010</v>
          </cell>
        </row>
        <row r="185">
          <cell r="A185" t="str">
            <v>1745002030 Imob And-Cto dos Adiants p/Aquis de Imobiliz (T)</v>
          </cell>
          <cell r="B185">
            <v>999843.55</v>
          </cell>
        </row>
        <row r="186">
          <cell r="A186" t="str">
            <v>1745099010 Imob And-Encar Fin s/ Aquis de Imob-Juros (Realiz)</v>
          </cell>
          <cell r="B186">
            <v>3655630.23</v>
          </cell>
        </row>
        <row r="187">
          <cell r="A187" t="str">
            <v>1745099030 Imob And-Encar Fin s/ Aquis de Imob-Var Cam (R)</v>
          </cell>
          <cell r="B187">
            <v>2208749.75</v>
          </cell>
        </row>
        <row r="188">
          <cell r="A188" t="str">
            <v>DEPRECIAÇÃO</v>
          </cell>
          <cell r="B188">
            <v>-588421484.32000005</v>
          </cell>
        </row>
        <row r="189">
          <cell r="A189" t="str">
            <v>Edificações e construções</v>
          </cell>
          <cell r="B189">
            <v>-45645773.289999999</v>
          </cell>
        </row>
        <row r="190">
          <cell r="A190" t="str">
            <v>1740502010 (-)Depreciaçao-Custo dos Edificios</v>
          </cell>
          <cell r="B190">
            <v>-38806715.899999999</v>
          </cell>
        </row>
        <row r="191">
          <cell r="A191" t="str">
            <v>1740502011 (-)Depreciaçao-Mais Valia Edificios</v>
          </cell>
          <cell r="B191">
            <v>-139896.73000000001</v>
          </cell>
        </row>
        <row r="192">
          <cell r="A192" t="str">
            <v>1740502012 (-)Depreciaçao-Mais Valia Combin Neg Edificios</v>
          </cell>
          <cell r="B192">
            <v>-139896.73000000001</v>
          </cell>
        </row>
        <row r="193">
          <cell r="A193" t="str">
            <v>1740502014 (-)Depr-Contrapartida do AVP de Edificios</v>
          </cell>
          <cell r="B193">
            <v>-30768.38</v>
          </cell>
        </row>
        <row r="194">
          <cell r="A194" t="str">
            <v>1740502020 (-)Depreciaçao-Custo das Benfeitorias</v>
          </cell>
          <cell r="B194">
            <v>-6119618.25</v>
          </cell>
        </row>
        <row r="195">
          <cell r="A195" t="str">
            <v>1740502021 (-)Depreciaçao-Mais Valia Benfeitorias</v>
          </cell>
          <cell r="B195">
            <v>-204278.87</v>
          </cell>
        </row>
        <row r="196">
          <cell r="A196" t="str">
            <v>1740502022 (-)Depreciaçao-Mais Valia Combin Neg Benfeitorias</v>
          </cell>
          <cell r="B196">
            <v>-204278.87</v>
          </cell>
        </row>
        <row r="197">
          <cell r="A197" t="str">
            <v>1740502024 (-)Depr-Contrapartida do AVP de Benfeitorias</v>
          </cell>
          <cell r="B197">
            <v>-319.56</v>
          </cell>
        </row>
        <row r="198">
          <cell r="A198" t="str">
            <v>Equipamentos e Instalações</v>
          </cell>
          <cell r="B198">
            <v>-526591707.88</v>
          </cell>
        </row>
        <row r="199">
          <cell r="A199" t="str">
            <v>1740503010 (-)Depreciaçao-Custo de Equipamentos</v>
          </cell>
          <cell r="B199">
            <v>-496987423.83999997</v>
          </cell>
        </row>
        <row r="200">
          <cell r="A200" t="str">
            <v>1740503011 (-)Depreciaçao-Mais Valia Equipamentos</v>
          </cell>
          <cell r="B200">
            <v>-8594531.8000000007</v>
          </cell>
        </row>
        <row r="201">
          <cell r="A201" t="str">
            <v>1740503012 (-)Depreciaçao-Mais Valia Combin Neg Equipamentos</v>
          </cell>
          <cell r="B201">
            <v>-8594531.8000000007</v>
          </cell>
        </row>
        <row r="202">
          <cell r="A202" t="str">
            <v>1740503014 (-)Depr-Contrapartida do AVP de Equipamentos</v>
          </cell>
          <cell r="B202">
            <v>-2676645.44</v>
          </cell>
        </row>
        <row r="203">
          <cell r="A203" t="str">
            <v>1740503020 (-)Depreciaçao-Custo dos Sobressalentes</v>
          </cell>
          <cell r="B203">
            <v>-9321771.7599999998</v>
          </cell>
        </row>
        <row r="204">
          <cell r="A204" t="str">
            <v>1740503021 (-)Depreciaçao-Mais Valia Sobressalentes</v>
          </cell>
          <cell r="B204">
            <v>-199690.49</v>
          </cell>
        </row>
        <row r="205">
          <cell r="A205" t="str">
            <v>1740503022 (-)Depreciaçao-Mais Valia Combin Neg Sobressalente</v>
          </cell>
          <cell r="B205">
            <v>-199690.49</v>
          </cell>
        </row>
        <row r="206">
          <cell r="A206" t="str">
            <v>1740505020 (-)Depreciaçao-Custo de Veiculos Fora da Estrada</v>
          </cell>
          <cell r="B206">
            <v>-17422.259999999998</v>
          </cell>
        </row>
        <row r="207">
          <cell r="A207" t="str">
            <v>Veículos</v>
          </cell>
          <cell r="B207">
            <v>-700034.5</v>
          </cell>
        </row>
        <row r="208">
          <cell r="A208" t="str">
            <v>1740505010 (-)Depr-Custo de Veiculos de Passageiros e Carga</v>
          </cell>
          <cell r="B208">
            <v>-698092.86</v>
          </cell>
        </row>
        <row r="209">
          <cell r="A209" t="str">
            <v>1740505011 (-)Depreciaçao-Mais Valia Veiculos</v>
          </cell>
          <cell r="B209">
            <v>-839.47</v>
          </cell>
        </row>
        <row r="210">
          <cell r="A210" t="str">
            <v>1740505012 (-)Depreciaçao-Mais Valia Combin Neg Veiculos</v>
          </cell>
          <cell r="B210">
            <v>-839.47</v>
          </cell>
        </row>
        <row r="211">
          <cell r="A211" t="str">
            <v>1740505014 (-)Depr-Contrapartida do AVP de Veículos</v>
          </cell>
          <cell r="B211">
            <v>-262.7</v>
          </cell>
        </row>
        <row r="212">
          <cell r="A212" t="str">
            <v>Móveis e utensílios</v>
          </cell>
          <cell r="B212">
            <v>-8474034.2200000007</v>
          </cell>
        </row>
        <row r="213">
          <cell r="A213" t="str">
            <v>1740504010 (-)Depreciaçao-Custo dos Móveis, Utens e Inst Com</v>
          </cell>
          <cell r="B213">
            <v>-8460946.7899999991</v>
          </cell>
        </row>
        <row r="214">
          <cell r="A214" t="str">
            <v>1740504014 (-)Depr-Contrapartida do AVP de Móveis, Utens</v>
          </cell>
          <cell r="B214">
            <v>-13087.43</v>
          </cell>
        </row>
        <row r="215">
          <cell r="A215" t="str">
            <v>Demais bens</v>
          </cell>
          <cell r="B215">
            <v>-7009934.4299999997</v>
          </cell>
        </row>
        <row r="216">
          <cell r="A216" t="str">
            <v>1740599070 (-)Depreciaçao-Custo de Computadores e Perifericos</v>
          </cell>
          <cell r="B216">
            <v>-6988225.79</v>
          </cell>
        </row>
        <row r="217">
          <cell r="A217" t="str">
            <v>1740599074 (-)Depr-Contrap do AVP dos Computad Perifericos</v>
          </cell>
          <cell r="B217">
            <v>-21708.639999999999</v>
          </cell>
        </row>
        <row r="218">
          <cell r="A218" t="str">
            <v>INTANGÍVEL</v>
          </cell>
          <cell r="B218">
            <v>288064220.25999999</v>
          </cell>
        </row>
        <row r="219">
          <cell r="A219" t="str">
            <v>INTANGÍVEL EM OPERAÇÃO</v>
          </cell>
          <cell r="B219">
            <v>288064220.25999999</v>
          </cell>
        </row>
        <row r="220">
          <cell r="A220" t="str">
            <v>Ágio - combinação de negócio em estágios</v>
          </cell>
          <cell r="B220">
            <v>195808784.34999999</v>
          </cell>
        </row>
        <row r="221">
          <cell r="A221" t="str">
            <v>1750190012 Intangivel Op-Mais Valia C N Ativ n Alocados</v>
          </cell>
          <cell r="B221">
            <v>195808784.34999999</v>
          </cell>
        </row>
        <row r="222">
          <cell r="A222" t="str">
            <v>Carteira de clientes</v>
          </cell>
          <cell r="B222">
            <v>174458.32</v>
          </cell>
        </row>
        <row r="223">
          <cell r="A223" t="str">
            <v>1750103011 Intangivel Op-Mais Valia de Carteira de Clientes</v>
          </cell>
          <cell r="B223">
            <v>106000</v>
          </cell>
        </row>
        <row r="224">
          <cell r="A224" t="str">
            <v>1750103012 Intangivel Op-Mais Valia de Carteira Clientes C N</v>
          </cell>
          <cell r="B224">
            <v>106000</v>
          </cell>
        </row>
        <row r="225">
          <cell r="A225" t="str">
            <v>1750603011 (-)Amort-Mais Valia Carteira de Clientes</v>
          </cell>
          <cell r="B225">
            <v>-18770.84</v>
          </cell>
        </row>
        <row r="226">
          <cell r="A226" t="str">
            <v>1750603012 (-)Amort-Mais Valia C N Carteira de Clientes</v>
          </cell>
          <cell r="B226">
            <v>-18770.84</v>
          </cell>
        </row>
        <row r="227">
          <cell r="A227" t="str">
            <v>Direito de uso de software e pesquisa e desen</v>
          </cell>
          <cell r="B227">
            <v>14907004.33</v>
          </cell>
        </row>
        <row r="228">
          <cell r="A228" t="str">
            <v>1750101010 Intangivel Op-Custo das Marcas e Patentes</v>
          </cell>
          <cell r="B228">
            <v>1385.16</v>
          </cell>
        </row>
        <row r="229">
          <cell r="A229" t="str">
            <v>1750102010 Intangivel Op-Cto das Software ou Prog de Comput</v>
          </cell>
          <cell r="B229">
            <v>19883267.920000002</v>
          </cell>
        </row>
        <row r="230">
          <cell r="A230" t="str">
            <v>1750102014 Intangivel Op-AV de Software ou Prog de Comput</v>
          </cell>
          <cell r="B230">
            <v>61858.13</v>
          </cell>
        </row>
        <row r="231">
          <cell r="A231" t="str">
            <v>1750602010 (-)Amort-Cto dos Software ou Programas de Comput</v>
          </cell>
          <cell r="B231">
            <v>-5031701.07</v>
          </cell>
        </row>
        <row r="232">
          <cell r="A232" t="str">
            <v>1750602014 (-)Amort-Contrapartida do AVP de Softwares</v>
          </cell>
          <cell r="B232">
            <v>-7805.81</v>
          </cell>
        </row>
        <row r="233">
          <cell r="A233" t="str">
            <v>Ágio Goodwill</v>
          </cell>
          <cell r="B233">
            <v>116930262.52</v>
          </cell>
        </row>
        <row r="234">
          <cell r="A234" t="str">
            <v>1750190011 Intangivel Op-Mais Valia Ativ n Alocados</v>
          </cell>
          <cell r="B234">
            <v>116930262.52</v>
          </cell>
        </row>
        <row r="235">
          <cell r="A235" t="str">
            <v>Tributos diferidos s/ágio não alocado</v>
          </cell>
          <cell r="B235">
            <v>-39756289.259999998</v>
          </cell>
        </row>
        <row r="236">
          <cell r="A236" t="str">
            <v>1750190021 Intangivel Op-Tribs Dif S/Mais Valia de Ativos (R)</v>
          </cell>
          <cell r="B236">
            <v>-39756289.259999998</v>
          </cell>
        </row>
        <row r="237">
          <cell r="A237" t="str">
            <v>1754901020 Trib Diferidos s/Mais Valia CN Ativos Imob (Realiz</v>
          </cell>
          <cell r="B237">
            <v>-74144886.480000004</v>
          </cell>
        </row>
        <row r="238">
          <cell r="A238" t="str">
            <v>1754901021 Trib Diferidos s/Mais Valia CN At Imob (Tr Passivo</v>
          </cell>
          <cell r="B238">
            <v>74144886.480000004</v>
          </cell>
        </row>
        <row r="239">
          <cell r="A239" t="str">
            <v>PASSIVO E PATRIMÔNIO LÍQUIDO</v>
          </cell>
          <cell r="B239">
            <v>-1657504939.0599999</v>
          </cell>
        </row>
        <row r="240">
          <cell r="A240" t="str">
            <v>CIRCULANTE</v>
          </cell>
          <cell r="B240">
            <v>-312510416.93000001</v>
          </cell>
        </row>
        <row r="241">
          <cell r="A241" t="str">
            <v>FORNECEDORES</v>
          </cell>
          <cell r="B241">
            <v>-31800001.010000002</v>
          </cell>
        </row>
        <row r="242">
          <cell r="A242" t="str">
            <v>Serviços</v>
          </cell>
          <cell r="B242">
            <v>-16995834.559999999</v>
          </cell>
        </row>
        <row r="243">
          <cell r="A243" t="str">
            <v>2110101010 Fornecedores Nacionais de Serviços (Realizado)</v>
          </cell>
          <cell r="B243">
            <v>-16995834.559999999</v>
          </cell>
        </row>
        <row r="244">
          <cell r="A244" t="str">
            <v>Matérias Primas</v>
          </cell>
          <cell r="B244">
            <v>-1738908.89</v>
          </cell>
        </row>
        <row r="245">
          <cell r="A245" t="str">
            <v>2110101020 Fornecedores Nacionais de MP (Realizado)</v>
          </cell>
          <cell r="B245">
            <v>-1738908.89</v>
          </cell>
        </row>
        <row r="246">
          <cell r="A246" t="str">
            <v>Fretes</v>
          </cell>
          <cell r="B246">
            <v>-5809356.5999999996</v>
          </cell>
        </row>
        <row r="247">
          <cell r="A247" t="str">
            <v>2110101070 Fornecedores Nacionais de Fretes (Realizado)</v>
          </cell>
          <cell r="B247">
            <v>-5809356.5999999996</v>
          </cell>
        </row>
        <row r="248">
          <cell r="A248" t="str">
            <v>Materiais de Consumo</v>
          </cell>
          <cell r="B248">
            <v>-1484132.85</v>
          </cell>
        </row>
        <row r="249">
          <cell r="A249" t="str">
            <v>2110101040 Fornecedores Nacionais de Mat de Cons(Realizado)</v>
          </cell>
          <cell r="B249">
            <v>-1430118.59</v>
          </cell>
        </row>
        <row r="250">
          <cell r="A250" t="str">
            <v>2110102040 Fornecedores do Ext de Mat de Cons (Realizado)</v>
          </cell>
          <cell r="B250">
            <v>-54014.26</v>
          </cell>
        </row>
        <row r="251">
          <cell r="A251" t="str">
            <v>Demais tipos de fornecedores</v>
          </cell>
          <cell r="B251">
            <v>-5771768.1100000003</v>
          </cell>
        </row>
        <row r="252">
          <cell r="A252" t="str">
            <v>2110101030 Fornecedores Nacionais de Energia (Realizado)</v>
          </cell>
          <cell r="B252">
            <v>-18084.810000000001</v>
          </cell>
        </row>
        <row r="253">
          <cell r="A253" t="str">
            <v>2110101050 Fornecedores Nacionais Funcionarios (Realizado)</v>
          </cell>
          <cell r="B253">
            <v>-25740.02</v>
          </cell>
        </row>
        <row r="254">
          <cell r="A254" t="str">
            <v>2110101060 Fornecedores Nacionais Imps e Contrib (Realizado)</v>
          </cell>
          <cell r="B254">
            <v>-2033073.64</v>
          </cell>
        </row>
        <row r="255">
          <cell r="A255" t="str">
            <v>2110199011 Provisao de Entrada de Mercad e de Fatura (EM/EF)</v>
          </cell>
          <cell r="B255">
            <v>-3694869.64</v>
          </cell>
        </row>
        <row r="256">
          <cell r="A256" t="str">
            <v>EMPRÉSTIMOS</v>
          </cell>
          <cell r="B256">
            <v>-191826521.97</v>
          </cell>
        </row>
        <row r="257">
          <cell r="A257" t="str">
            <v>Moeda nacional</v>
          </cell>
          <cell r="B257">
            <v>-189810676.69999999</v>
          </cell>
        </row>
        <row r="258">
          <cell r="A258" t="str">
            <v>2110502010 Emprest e Financs em Moeda Nacional CP (Realizado)</v>
          </cell>
          <cell r="B258">
            <v>-159572842</v>
          </cell>
        </row>
        <row r="259">
          <cell r="A259" t="str">
            <v>2110502020 Juros s/Empr Fin em Moeda Nacional CP (Realizado)</v>
          </cell>
          <cell r="B259">
            <v>-24930650.620000001</v>
          </cell>
        </row>
        <row r="260">
          <cell r="A260" t="str">
            <v>2110502500 Custo de Emprest e Finan Amort em MN CP (Realiz)</v>
          </cell>
          <cell r="B260">
            <v>-5307184.08</v>
          </cell>
        </row>
        <row r="261">
          <cell r="A261" t="str">
            <v>Moeda estrangeira</v>
          </cell>
          <cell r="B261">
            <v>-2015845.27</v>
          </cell>
        </row>
        <row r="262">
          <cell r="A262" t="str">
            <v>2110502600 Emprestimos e Finan em Moeda Estrang CP (Realiz)</v>
          </cell>
          <cell r="B262">
            <v>-2102708.9</v>
          </cell>
        </row>
        <row r="263">
          <cell r="A263" t="str">
            <v>2110502610 Jur s/Emprest e Finan Moeda Estrang CP (Realizado)</v>
          </cell>
          <cell r="B263">
            <v>86863.63</v>
          </cell>
        </row>
        <row r="264">
          <cell r="A264" t="str">
            <v>SALÁRIOS E ENCARGOS SOCIAIS</v>
          </cell>
          <cell r="B264">
            <v>-25230173.780000001</v>
          </cell>
        </row>
        <row r="265">
          <cell r="A265" t="str">
            <v>Salários, Férias e Gratificações</v>
          </cell>
          <cell r="B265">
            <v>-20874790.899999999</v>
          </cell>
        </row>
        <row r="266">
          <cell r="A266" t="str">
            <v>2111001010 Salarios a Pagar (Realizado)</v>
          </cell>
          <cell r="B266">
            <v>3326.64</v>
          </cell>
        </row>
        <row r="267">
          <cell r="A267" t="str">
            <v>2111001050 Provisao de 13º Salario (Realizado)</v>
          </cell>
          <cell r="B267">
            <v>-696198.88</v>
          </cell>
        </row>
        <row r="268">
          <cell r="A268" t="str">
            <v>2111001060 Provisao de Ferias (Realizado)</v>
          </cell>
          <cell r="B268">
            <v>-5382583.7800000003</v>
          </cell>
        </row>
        <row r="269">
          <cell r="A269" t="str">
            <v>2111001080 Provisao de Gratificaçoes Ferias (Realizado)</v>
          </cell>
          <cell r="B269">
            <v>-3278600.88</v>
          </cell>
        </row>
        <row r="270">
          <cell r="A270" t="str">
            <v>2111001090 Provisao de Gratificaçoes Diretores Estatutários</v>
          </cell>
          <cell r="B270">
            <v>-4433331</v>
          </cell>
        </row>
        <row r="271">
          <cell r="A271" t="str">
            <v>2111001100 Provisão de Gratificações  - CLT</v>
          </cell>
          <cell r="B271">
            <v>-2789475</v>
          </cell>
        </row>
        <row r="272">
          <cell r="A272" t="str">
            <v>2111001900 Provisoes Partic nos Lucros de Funcion (Realizado)</v>
          </cell>
          <cell r="B272">
            <v>-4297928</v>
          </cell>
        </row>
        <row r="273">
          <cell r="A273" t="str">
            <v>INSS</v>
          </cell>
          <cell r="B273">
            <v>-3524138.74</v>
          </cell>
        </row>
        <row r="274">
          <cell r="A274" t="str">
            <v>2111005010 Contrib Prev a Recolher-INSS s/Folha (Realizado)</v>
          </cell>
          <cell r="B274">
            <v>-1790654.58</v>
          </cell>
        </row>
        <row r="275">
          <cell r="A275" t="str">
            <v>2111005020 Contrib Prev a Recolher-INSS s/Autonomos (Realiz)</v>
          </cell>
          <cell r="B275">
            <v>-23313.53</v>
          </cell>
        </row>
        <row r="276">
          <cell r="A276" t="str">
            <v>2111005030 Contrib Prev a Recolher-INSS s/Cooperativas (Real)</v>
          </cell>
          <cell r="B276">
            <v>-1195.29</v>
          </cell>
        </row>
        <row r="277">
          <cell r="A277" t="str">
            <v>2111005040 Contrib Prev a Recolher-INSS Termo Coop SENAI (R)</v>
          </cell>
          <cell r="B277">
            <v>-2356.88</v>
          </cell>
        </row>
        <row r="278">
          <cell r="A278" t="str">
            <v>2111005050 Prov de Contrib Prev-INSS sobre 13º Salario (R)</v>
          </cell>
          <cell r="B278">
            <v>-195458.18</v>
          </cell>
        </row>
        <row r="279">
          <cell r="A279" t="str">
            <v>2111005060 Prov de Contrib Prev-INSS sobre Ferias (Realizado)</v>
          </cell>
          <cell r="B279">
            <v>-1511160.28</v>
          </cell>
        </row>
        <row r="280">
          <cell r="A280" t="str">
            <v>FGTS</v>
          </cell>
          <cell r="B280">
            <v>-831244.14</v>
          </cell>
        </row>
        <row r="281">
          <cell r="A281" t="str">
            <v>2111006010 Contrib Prev a Recolher-FGTS s/Folha (Realizado)</v>
          </cell>
          <cell r="B281">
            <v>-345198.05</v>
          </cell>
        </row>
        <row r="282">
          <cell r="A282" t="str">
            <v>2111006050 Prov Contrib Prev-FGTS s/ 13º Salario (Realizado)</v>
          </cell>
          <cell r="B282">
            <v>-55615.9</v>
          </cell>
        </row>
        <row r="283">
          <cell r="A283" t="str">
            <v>2111006060 Prov Contrib Prev-FGTS sobre Ferias (Realizado)</v>
          </cell>
          <cell r="B283">
            <v>-430430.19</v>
          </cell>
        </row>
        <row r="284">
          <cell r="A284" t="str">
            <v>OUTROS IMPOSTOS E CONTRIBUIÇÕES A PAGAR</v>
          </cell>
          <cell r="B284">
            <v>-15373533.939999999</v>
          </cell>
        </row>
        <row r="285">
          <cell r="A285" t="str">
            <v>ICMS a recolher</v>
          </cell>
          <cell r="B285">
            <v>-10133512.65</v>
          </cell>
        </row>
        <row r="286">
          <cell r="A286" t="str">
            <v>2113005300 ICMS a Recolher (Realizado)</v>
          </cell>
          <cell r="B286">
            <v>-10133512.65</v>
          </cell>
        </row>
        <row r="287">
          <cell r="A287" t="str">
            <v>PIS a recolher</v>
          </cell>
          <cell r="B287">
            <v>-732507.62</v>
          </cell>
        </row>
        <row r="288">
          <cell r="A288" t="str">
            <v>2113005010 PIS a Recolher (Realizado)</v>
          </cell>
          <cell r="B288">
            <v>-732507.62</v>
          </cell>
        </row>
        <row r="289">
          <cell r="A289" t="str">
            <v>Cofins a recolher</v>
          </cell>
          <cell r="B289">
            <v>-3373973.44</v>
          </cell>
        </row>
        <row r="290">
          <cell r="A290" t="str">
            <v>2113005020 COFINS a Recolher (Realizado)</v>
          </cell>
          <cell r="B290">
            <v>-3373973.44</v>
          </cell>
        </row>
        <row r="291">
          <cell r="A291" t="str">
            <v>Obrigações tributárias s/ servs.de terceiros</v>
          </cell>
          <cell r="B291">
            <v>-1133540.23</v>
          </cell>
        </row>
        <row r="292">
          <cell r="A292" t="str">
            <v>2113001010 IR de Funcionarios (Realizado)</v>
          </cell>
          <cell r="B292">
            <v>-831917.7</v>
          </cell>
        </row>
        <row r="293">
          <cell r="A293" t="str">
            <v>2113001300 Imposto de Renda s/Servs de Terceiros (Realizado)</v>
          </cell>
          <cell r="B293">
            <v>-34225.53</v>
          </cell>
        </row>
        <row r="294">
          <cell r="A294" t="str">
            <v>2113001310 INSS s/Serviços de Terceiros PF</v>
          </cell>
          <cell r="B294">
            <v>-4760.43</v>
          </cell>
        </row>
        <row r="295">
          <cell r="A295" t="str">
            <v>2113001320 INSS s/Serviços de Terceiros PJ</v>
          </cell>
          <cell r="B295">
            <v>-75037.03</v>
          </cell>
        </row>
        <row r="296">
          <cell r="A296" t="str">
            <v>2113001350 CSLL s/Serviços de Terceiros (Realizado)</v>
          </cell>
          <cell r="B296">
            <v>-9550.34</v>
          </cell>
        </row>
        <row r="297">
          <cell r="A297" t="str">
            <v>2113001360 PIS s/Serviços de Terceiros (Realizado)</v>
          </cell>
          <cell r="B297">
            <v>-6324.04</v>
          </cell>
        </row>
        <row r="298">
          <cell r="A298" t="str">
            <v>2113001370 COFINS s/Serviços de Terceiros (Realizado)</v>
          </cell>
          <cell r="B298">
            <v>-29092.31</v>
          </cell>
        </row>
        <row r="299">
          <cell r="A299" t="str">
            <v>2113001400 ISS s/Serviços de Terceiros (Realizado)</v>
          </cell>
          <cell r="B299">
            <v>-142632.85</v>
          </cell>
        </row>
        <row r="300">
          <cell r="A300" t="str">
            <v>DIVIDENDOS E JUROS S/ CAPITAL PROPRIO A PAGAR</v>
          </cell>
          <cell r="B300">
            <v>-20490640.68</v>
          </cell>
        </row>
        <row r="301">
          <cell r="A301" t="str">
            <v>Dividendos a pagar</v>
          </cell>
          <cell r="B301">
            <v>-618457.12</v>
          </cell>
        </row>
        <row r="302">
          <cell r="A302" t="str">
            <v>2114001010 Dividendos a Pagar (Realizado)</v>
          </cell>
          <cell r="B302">
            <v>-618457.12</v>
          </cell>
        </row>
        <row r="303">
          <cell r="A303" t="str">
            <v>Dividendos propostos</v>
          </cell>
          <cell r="B303">
            <v>-19872183.559999999</v>
          </cell>
        </row>
        <row r="304">
          <cell r="A304" t="str">
            <v>2114001020 Dividendos Propostos (Realizado)</v>
          </cell>
          <cell r="B304">
            <v>-19872183.559999999</v>
          </cell>
        </row>
        <row r="305">
          <cell r="A305" t="str">
            <v>DEMANDAS JUDICIAIS</v>
          </cell>
          <cell r="B305">
            <v>-3248278.88</v>
          </cell>
        </row>
        <row r="306">
          <cell r="A306" t="str">
            <v>Fiscais</v>
          </cell>
          <cell r="B306">
            <v>-3248278.88</v>
          </cell>
        </row>
        <row r="307">
          <cell r="A307" t="str">
            <v>2119001010 Prov Nat Trib s/Dep Gar CP-Imp,Taxas Contr Fed (R)</v>
          </cell>
          <cell r="B307">
            <v>-3248278.88</v>
          </cell>
        </row>
        <row r="308">
          <cell r="A308" t="str">
            <v>ENERGIA ELÉTRICA</v>
          </cell>
          <cell r="B308">
            <v>-13495456.800000001</v>
          </cell>
        </row>
        <row r="309">
          <cell r="A309" t="str">
            <v>Energia elétrica provisionada</v>
          </cell>
          <cell r="B309">
            <v>-13495456.800000001</v>
          </cell>
        </row>
        <row r="310">
          <cell r="A310" t="str">
            <v>2118005010 Fornec e nao Faturado-Energia Eletrica (Realizado)</v>
          </cell>
          <cell r="B310">
            <v>-13495456.800000001</v>
          </cell>
        </row>
        <row r="311">
          <cell r="A311" t="str">
            <v>OUTROS PASSIVOS CIRCULANTES</v>
          </cell>
          <cell r="B311">
            <v>-11045809.869999999</v>
          </cell>
        </row>
        <row r="312">
          <cell r="A312" t="str">
            <v>Serviços Técnicos profissionais</v>
          </cell>
          <cell r="B312">
            <v>-280000</v>
          </cell>
        </row>
        <row r="313">
          <cell r="A313" t="str">
            <v>2119003020 Prov Nat Op Desp c/ Servs Tecn e Prof CP (Realiz)</v>
          </cell>
          <cell r="B313">
            <v>-280000</v>
          </cell>
        </row>
        <row r="314">
          <cell r="A314" t="str">
            <v>Fretes sobre vendas</v>
          </cell>
          <cell r="B314">
            <v>-3356300.58</v>
          </cell>
        </row>
        <row r="315">
          <cell r="A315" t="str">
            <v>2119003010 Prov Nat Op Desp c/ Fretes s/Vendas CP (Realizado)</v>
          </cell>
          <cell r="B315">
            <v>-3356300.58</v>
          </cell>
        </row>
        <row r="316">
          <cell r="A316" t="str">
            <v>Desembaraço alfandegário</v>
          </cell>
          <cell r="B316">
            <v>-4140633.41</v>
          </cell>
        </row>
        <row r="317">
          <cell r="A317" t="str">
            <v>2118005040 Fornec e nao Faturado-Materiais de Cons (Realiz)</v>
          </cell>
          <cell r="B317">
            <v>-4140633.41</v>
          </cell>
        </row>
        <row r="318">
          <cell r="A318" t="str">
            <v>Obrigações de natureza fiscais</v>
          </cell>
          <cell r="B318">
            <v>-1909571</v>
          </cell>
        </row>
        <row r="319">
          <cell r="A319" t="str">
            <v>2119001030 Prov Nat Trib s/Dep Gar CP-Imp,Taxas Cont Mun (R)</v>
          </cell>
          <cell r="B319">
            <v>-1909571</v>
          </cell>
        </row>
        <row r="320">
          <cell r="A320" t="str">
            <v>Trabalhistas e previdênciárias</v>
          </cell>
          <cell r="B320">
            <v>-371.44</v>
          </cell>
        </row>
        <row r="321">
          <cell r="A321" t="str">
            <v>2119002020 Prov Ind Trab p/Desligamen Compulsório CP (Realiz)</v>
          </cell>
          <cell r="B321">
            <v>-371.44</v>
          </cell>
        </row>
        <row r="322">
          <cell r="A322" t="str">
            <v>Outras obrigações e compromissos</v>
          </cell>
          <cell r="B322">
            <v>-1358933.44</v>
          </cell>
        </row>
        <row r="323">
          <cell r="A323" t="str">
            <v>2118005020 Fornec e nao Faturado-Agua (Realizado)</v>
          </cell>
          <cell r="B323">
            <v>-41000</v>
          </cell>
        </row>
        <row r="324">
          <cell r="A324" t="str">
            <v>2118005090 Fornec e nao Faturado-Servs Prestados (Realizado)</v>
          </cell>
          <cell r="B324">
            <v>-267272.37</v>
          </cell>
        </row>
        <row r="325">
          <cell r="A325" t="str">
            <v>2118010010 Retençoes s/Contratos de Compras (Realizado)</v>
          </cell>
          <cell r="B325">
            <v>-16416.61</v>
          </cell>
        </row>
        <row r="326">
          <cell r="A326" t="str">
            <v>2118050010 Adiantamentos de Clientes (Realizado)</v>
          </cell>
          <cell r="B326">
            <v>-741188.94</v>
          </cell>
        </row>
        <row r="327">
          <cell r="A327" t="str">
            <v>2119003030 Prov Nat Op Desp c/Servs de Auditoria CP (Realiz)</v>
          </cell>
          <cell r="B327">
            <v>-233055.52</v>
          </cell>
        </row>
        <row r="328">
          <cell r="A328" t="str">
            <v>2119003040 Prov Nat Op Desp c/Seguros Gerais CP (Realizado)</v>
          </cell>
          <cell r="B328">
            <v>-60000</v>
          </cell>
        </row>
        <row r="329">
          <cell r="A329" t="str">
            <v>NÃO CIRCULANTE</v>
          </cell>
          <cell r="B329">
            <v>-563055966.16999996</v>
          </cell>
        </row>
        <row r="330">
          <cell r="A330" t="str">
            <v>EMPRÉSTIMOS</v>
          </cell>
          <cell r="B330">
            <v>-467062065.68000001</v>
          </cell>
        </row>
        <row r="331">
          <cell r="A331" t="str">
            <v>Moeda nacional</v>
          </cell>
          <cell r="B331">
            <v>-461454841.82999998</v>
          </cell>
        </row>
        <row r="332">
          <cell r="A332" t="str">
            <v>2310502010 Emprest Finan Bancarios Moeda Nacional LP (R)</v>
          </cell>
          <cell r="B332">
            <v>-461454841.82999998</v>
          </cell>
        </row>
        <row r="333">
          <cell r="A333" t="str">
            <v>Moeda estrangeira</v>
          </cell>
          <cell r="B333">
            <v>-5607223.8499999996</v>
          </cell>
        </row>
        <row r="334">
          <cell r="A334" t="str">
            <v>2310502600 Empr Financiamentos Moeda Estrangeira LP (Realiz)</v>
          </cell>
          <cell r="B334">
            <v>-5607223.8499999996</v>
          </cell>
        </row>
        <row r="335">
          <cell r="A335" t="str">
            <v>IR E CONTRIBUIÇÃO SOCIAL DIFERIDOS</v>
          </cell>
          <cell r="B335">
            <v>-41717748.960000001</v>
          </cell>
        </row>
        <row r="336">
          <cell r="A336" t="str">
            <v>Ativo de imposto diferido</v>
          </cell>
          <cell r="B336">
            <v>91970960.230000004</v>
          </cell>
        </row>
        <row r="337">
          <cell r="A337" t="str">
            <v>1711505000 Cred Fisc CSLL-Bas de Cal Negativa LP (Real)</v>
          </cell>
          <cell r="B337">
            <v>7584362.0300000003</v>
          </cell>
        </row>
        <row r="338">
          <cell r="A338" t="str">
            <v>1711505010 Cred Fisc CSLL-Dif Temp (Real)</v>
          </cell>
          <cell r="B338">
            <v>17179629</v>
          </cell>
        </row>
        <row r="339">
          <cell r="A339" t="str">
            <v>1711506000 Cred Fisc IRPJL-Prejuizo Fiscal LP (Real)</v>
          </cell>
          <cell r="B339">
            <v>20430835.199999999</v>
          </cell>
        </row>
        <row r="340">
          <cell r="A340" t="str">
            <v>1711506010 Cred Fisc IRPJ-Dif Temp (Realizado)</v>
          </cell>
          <cell r="B340">
            <v>46776134</v>
          </cell>
        </row>
        <row r="341">
          <cell r="A341" t="str">
            <v>Passivo de imposto diferido</v>
          </cell>
          <cell r="B341">
            <v>-133688709.19</v>
          </cell>
        </row>
        <row r="342">
          <cell r="A342" t="str">
            <v>2312001030 Prov p/CSLL Diferida s/Depr Fiscal LP (Realiz)</v>
          </cell>
          <cell r="B342">
            <v>-35388190.140000001</v>
          </cell>
        </row>
        <row r="343">
          <cell r="A343" t="str">
            <v>2312002030 Prov p/IR Diferida s/Depr Fiscal LP (Realiz)</v>
          </cell>
          <cell r="B343">
            <v>-98300519.049999997</v>
          </cell>
        </row>
        <row r="344">
          <cell r="A344" t="str">
            <v>OBRIGAÇÕES COM BENEFICIOS AOS EMPREGADOS</v>
          </cell>
          <cell r="B344">
            <v>-23510320.559999999</v>
          </cell>
        </row>
        <row r="345">
          <cell r="A345" t="str">
            <v>Provisão para previdência privada</v>
          </cell>
          <cell r="B345">
            <v>86.23</v>
          </cell>
        </row>
        <row r="346">
          <cell r="A346" t="str">
            <v>2318001010 Previdencia Privada-CVM 371 LP (Realizado)</v>
          </cell>
          <cell r="B346">
            <v>86.23</v>
          </cell>
        </row>
        <row r="347">
          <cell r="A347" t="str">
            <v>Provisão para assistência médica</v>
          </cell>
          <cell r="B347">
            <v>-2296797.25</v>
          </cell>
        </row>
        <row r="348">
          <cell r="A348" t="str">
            <v>2319002150 Prov Nat Trab Assist Medica Aposent LP (Realizado)</v>
          </cell>
          <cell r="B348">
            <v>-2296797.25</v>
          </cell>
        </row>
        <row r="349">
          <cell r="A349" t="str">
            <v>Provisão para aposentadoria compulsória</v>
          </cell>
          <cell r="B349">
            <v>-18813890.829999998</v>
          </cell>
        </row>
        <row r="350">
          <cell r="A350" t="str">
            <v>2319002100 Prov Nat Trab FGTS Aviso Prev s/Aposen Comp LP (R)</v>
          </cell>
          <cell r="B350">
            <v>-18813890.829999998</v>
          </cell>
        </row>
        <row r="351">
          <cell r="A351" t="str">
            <v>Provisão para gratificação tempo de casa</v>
          </cell>
          <cell r="B351">
            <v>-2399718.71</v>
          </cell>
        </row>
        <row r="352">
          <cell r="A352" t="str">
            <v>2319002200 Prov Nat Trab Gratif Tempo Serv LP-Quinq (Realiz)</v>
          </cell>
          <cell r="B352">
            <v>-2399718.71</v>
          </cell>
        </row>
        <row r="353">
          <cell r="A353" t="str">
            <v>DEMANDAS JUDICIAIS</v>
          </cell>
          <cell r="B353">
            <v>-30765830.969999999</v>
          </cell>
        </row>
        <row r="354">
          <cell r="A354" t="str">
            <v>Fiscais</v>
          </cell>
          <cell r="B354">
            <v>-14458948.52</v>
          </cell>
        </row>
        <row r="355">
          <cell r="A355" t="str">
            <v>2319001010 Prov Nat Trib s/Dep Gar LP-Imp,Taxs Cont Fed (R)</v>
          </cell>
          <cell r="B355">
            <v>-658310.72</v>
          </cell>
        </row>
        <row r="356">
          <cell r="A356" t="str">
            <v>2319001020 Prov Nat Trib s/Dep Gar LP-Imp,Taxs Cont Est (R)</v>
          </cell>
          <cell r="B356">
            <v>-695219.45</v>
          </cell>
        </row>
        <row r="357">
          <cell r="A357" t="str">
            <v>2319101010 Prov Nat Trib c/Dep Gar LP-Imp,Taxas Cont Fed (R)</v>
          </cell>
          <cell r="B357">
            <v>-11418224.300000001</v>
          </cell>
        </row>
        <row r="358">
          <cell r="A358" t="str">
            <v>2319101030 Prov Nat Trib c/Dep em Gar LP-Imps Taxs Ctrb M (R)</v>
          </cell>
          <cell r="B358">
            <v>-1687194.05</v>
          </cell>
        </row>
        <row r="359">
          <cell r="A359" t="str">
            <v>Trabalhistas</v>
          </cell>
          <cell r="B359">
            <v>-7680419.8700000001</v>
          </cell>
        </row>
        <row r="360">
          <cell r="A360" t="str">
            <v>2319002010 Prov Nat Trab s/Dep em Gar LP-Recl Trabalh (Real)</v>
          </cell>
          <cell r="B360">
            <v>-6783349.5199999996</v>
          </cell>
        </row>
        <row r="361">
          <cell r="A361" t="str">
            <v>2319102030 Prov Nat Trab c/Dep em Gar LP - Previd (Realizado)</v>
          </cell>
          <cell r="B361">
            <v>-897070.35</v>
          </cell>
        </row>
        <row r="362">
          <cell r="A362" t="str">
            <v>Cíveis</v>
          </cell>
          <cell r="B362">
            <v>-22628951.280000001</v>
          </cell>
        </row>
        <row r="363">
          <cell r="A363" t="str">
            <v>2319000010 Prov Nat Cível s/Dep Gar LP (R)</v>
          </cell>
          <cell r="B363">
            <v>-22628951.280000001</v>
          </cell>
        </row>
        <row r="364">
          <cell r="A364" t="str">
            <v>Depósitos judiciais</v>
          </cell>
          <cell r="B364">
            <v>14002488.699999999</v>
          </cell>
        </row>
        <row r="365">
          <cell r="A365" t="str">
            <v>1719101010 Dep Jud c/ Reserv-Imp,Taxas e Contrib Fed (Realiz)</v>
          </cell>
          <cell r="B365">
            <v>11418224.300000001</v>
          </cell>
        </row>
        <row r="366">
          <cell r="A366" t="str">
            <v>1719101030 Dep Jud c/Res-Imp, Taxas e Contrib Munic (Realiz)</v>
          </cell>
          <cell r="B366">
            <v>1687194.05</v>
          </cell>
        </row>
        <row r="367">
          <cell r="A367" t="str">
            <v>1719102030 Dep Judiciais c/Res -Previdenciarios (Realizado)</v>
          </cell>
          <cell r="B367">
            <v>897070.35</v>
          </cell>
        </row>
        <row r="368">
          <cell r="A368" t="str">
            <v>PATRIMÔNIO LÍQUIDO</v>
          </cell>
          <cell r="B368">
            <v>-781938555.96000004</v>
          </cell>
        </row>
        <row r="369">
          <cell r="A369" t="str">
            <v>CAPITAL SOCIAL</v>
          </cell>
          <cell r="B369">
            <v>-384330953.12</v>
          </cell>
        </row>
        <row r="370">
          <cell r="A370" t="str">
            <v>Capital Subscrito</v>
          </cell>
          <cell r="B370">
            <v>-384330953.12</v>
          </cell>
        </row>
        <row r="371">
          <cell r="A371" t="str">
            <v>2710101010 Capital  Subs Domic e Resids no Pais (Realizado)</v>
          </cell>
          <cell r="B371">
            <v>-384330953.12</v>
          </cell>
        </row>
        <row r="372">
          <cell r="A372" t="str">
            <v>AÇÕES EM TESOURARIA</v>
          </cell>
          <cell r="B372">
            <v>14879117.300000001</v>
          </cell>
        </row>
        <row r="373">
          <cell r="A373" t="str">
            <v>Preferenciais</v>
          </cell>
          <cell r="B373">
            <v>14397516.449999999</v>
          </cell>
        </row>
        <row r="374">
          <cell r="A374" t="str">
            <v>2760101010 Acoes Preferenciais em Tesouraria</v>
          </cell>
          <cell r="B374">
            <v>14397516.449999999</v>
          </cell>
        </row>
        <row r="375">
          <cell r="A375" t="str">
            <v>Ordinárias</v>
          </cell>
          <cell r="B375">
            <v>481600.85</v>
          </cell>
        </row>
        <row r="376">
          <cell r="A376" t="str">
            <v>2760101020 Acoes Ordinarias em Tesouraria</v>
          </cell>
          <cell r="B376">
            <v>481600.85</v>
          </cell>
        </row>
        <row r="377">
          <cell r="A377" t="str">
            <v>RESERVA DE CAPITAL</v>
          </cell>
          <cell r="B377">
            <v>-79.84</v>
          </cell>
        </row>
        <row r="378">
          <cell r="A378" t="str">
            <v>Reserva de capital</v>
          </cell>
          <cell r="B378">
            <v>-79.84</v>
          </cell>
        </row>
        <row r="379">
          <cell r="A379" t="str">
            <v>2740101010 Reservas de Capital (Realizado)</v>
          </cell>
          <cell r="B379">
            <v>-79.84</v>
          </cell>
        </row>
        <row r="380">
          <cell r="A380" t="str">
            <v>RESERVAS DE LUCROS</v>
          </cell>
          <cell r="B380">
            <v>-418127013.91000003</v>
          </cell>
        </row>
        <row r="381">
          <cell r="A381" t="str">
            <v>Reserva legal</v>
          </cell>
          <cell r="B381">
            <v>-23131218.949999999</v>
          </cell>
        </row>
        <row r="382">
          <cell r="A382" t="str">
            <v>2740201010 Reserva Legal (Realizado)</v>
          </cell>
          <cell r="B382">
            <v>-23131218.949999999</v>
          </cell>
        </row>
        <row r="383">
          <cell r="A383" t="str">
            <v>Reserva especial para dividendos</v>
          </cell>
          <cell r="B383">
            <v>-23131218.949999999</v>
          </cell>
        </row>
        <row r="384">
          <cell r="A384" t="str">
            <v>2740203010 Reserva Especial p/Dividendos (Realizado)</v>
          </cell>
          <cell r="B384">
            <v>-23131218.949999999</v>
          </cell>
        </row>
        <row r="385">
          <cell r="A385" t="str">
            <v>Reserva de retenção de lucros</v>
          </cell>
          <cell r="B385">
            <v>-108955206.18000001</v>
          </cell>
        </row>
        <row r="386">
          <cell r="A386" t="str">
            <v>2740202100 Reserva Est-Ret de Lucros Exer de 2.014 (Realiz)</v>
          </cell>
          <cell r="B386">
            <v>-43454068.93</v>
          </cell>
        </row>
        <row r="387">
          <cell r="A387" t="str">
            <v>2740205010 Reserva de Lucros para Investimentos</v>
          </cell>
          <cell r="B387">
            <v>-65501137.25</v>
          </cell>
        </row>
        <row r="388">
          <cell r="A388" t="str">
            <v>Reserva de lucros a realizar</v>
          </cell>
          <cell r="B388">
            <v>-262909369.83000001</v>
          </cell>
        </row>
        <row r="389">
          <cell r="A389" t="str">
            <v>2740204010 Reserva de Lucros a Realizar (Realizado)</v>
          </cell>
          <cell r="B389">
            <v>-262909369.83000001</v>
          </cell>
        </row>
        <row r="390">
          <cell r="A390" t="str">
            <v>OUTROS RESULTADOS ABRANGENTES DO PERIODO</v>
          </cell>
          <cell r="B390">
            <v>16312385.93</v>
          </cell>
        </row>
        <row r="391">
          <cell r="A391" t="str">
            <v>Ajuste às normas internacionais de contab.</v>
          </cell>
          <cell r="B391">
            <v>16312385.93</v>
          </cell>
        </row>
        <row r="392">
          <cell r="A392" t="str">
            <v>2750101010 Ajs as Normas Internac de Contab (Realizado)</v>
          </cell>
          <cell r="B392">
            <v>-1991426</v>
          </cell>
        </row>
        <row r="393">
          <cell r="A393" t="str">
            <v>2750102010 (-)Ajs as Normas Internac de Contab (Realizado)</v>
          </cell>
          <cell r="B393">
            <v>18303811.93</v>
          </cell>
        </row>
        <row r="394">
          <cell r="A394" t="str">
            <v>LUCROS ACUMULADOS</v>
          </cell>
          <cell r="B394">
            <v>-10672012.32</v>
          </cell>
        </row>
        <row r="395">
          <cell r="A395" t="str">
            <v>Resultado líquido do periodo</v>
          </cell>
          <cell r="B395">
            <v>-10672012.32</v>
          </cell>
        </row>
        <row r="396">
          <cell r="A396" t="str">
            <v>Resultado antes dos tributos sobre o lucro</v>
          </cell>
          <cell r="B396">
            <v>-19700134.890000001</v>
          </cell>
        </row>
        <row r="397">
          <cell r="A397" t="str">
            <v>Resultado antes do resultado financeiro</v>
          </cell>
          <cell r="B397">
            <v>-28590172.109999999</v>
          </cell>
        </row>
        <row r="398">
          <cell r="A398" t="str">
            <v>Lucro bruto</v>
          </cell>
          <cell r="B398">
            <v>-62955691.770000003</v>
          </cell>
        </row>
        <row r="399">
          <cell r="A399" t="str">
            <v>Receita líquida de vendas</v>
          </cell>
          <cell r="B399">
            <v>-133762901.84</v>
          </cell>
        </row>
        <row r="400">
          <cell r="A400" t="str">
            <v>Receita bruta de vendas</v>
          </cell>
          <cell r="B400">
            <v>-174406452.30000001</v>
          </cell>
        </row>
        <row r="401">
          <cell r="A401" t="str">
            <v>Mercado interno</v>
          </cell>
          <cell r="B401">
            <v>-174406452.30000001</v>
          </cell>
        </row>
        <row r="402">
          <cell r="A402" t="str">
            <v>3110101030 Rec Brt-Vendas de Produtos no MI (Realizado)</v>
          </cell>
          <cell r="B402">
            <v>-171667954.27000001</v>
          </cell>
        </row>
        <row r="403">
          <cell r="A403" t="str">
            <v>3110105030 Rec Brt-Rev de Mercs Nacionais no MI (Realizado)</v>
          </cell>
          <cell r="B403">
            <v>-2894326.77</v>
          </cell>
        </row>
        <row r="404">
          <cell r="A404" t="str">
            <v>3110108030 Rec Brt-Rev de Mercs Diversas no MI (Realizado)</v>
          </cell>
          <cell r="B404">
            <v>-27201.97</v>
          </cell>
        </row>
        <row r="405">
          <cell r="A405" t="str">
            <v>3110301030 (-)Vendas Canc e Dev de Prod no MI (Realizado)</v>
          </cell>
          <cell r="B405">
            <v>183030.71</v>
          </cell>
        </row>
        <row r="406">
          <cell r="A406" t="str">
            <v>Impostos incidentes s/ vendas e abatimentos</v>
          </cell>
          <cell r="B406">
            <v>40643550.460000001</v>
          </cell>
        </row>
        <row r="407">
          <cell r="A407" t="str">
            <v>3110401030 (-)Desc Incond s/Vend de Prod FP no MI (Realizado)</v>
          </cell>
          <cell r="B407">
            <v>55567.78</v>
          </cell>
        </row>
        <row r="408">
          <cell r="A408" t="str">
            <v>3110501030 (-)ICMS s/Vendas de Produtos FP no MI (Realiz)</v>
          </cell>
          <cell r="B408">
            <v>25394692.289999999</v>
          </cell>
        </row>
        <row r="409">
          <cell r="A409" t="str">
            <v>3110505030 (-)ICMS s/Rev de Mercs Nacionais no MI (Realiz)</v>
          </cell>
          <cell r="B409">
            <v>475413.4</v>
          </cell>
        </row>
        <row r="410">
          <cell r="A410" t="str">
            <v>3110508030 (-)ICMS s/Rev Mercadorias Divs no MI (Realizado)</v>
          </cell>
          <cell r="B410">
            <v>4896.3599999999997</v>
          </cell>
        </row>
        <row r="411">
          <cell r="A411" t="str">
            <v>3110590900 (-)ICMS s/Remessas Mercadorias Div no MI (Realiz)</v>
          </cell>
          <cell r="B411">
            <v>661.07</v>
          </cell>
        </row>
        <row r="412">
          <cell r="A412" t="str">
            <v>3110601030 (-)Cofins s/Venda Produtos FP no MI (R)</v>
          </cell>
          <cell r="B412">
            <v>11865923.84</v>
          </cell>
        </row>
        <row r="413">
          <cell r="A413" t="str">
            <v>3110605030 (-)Cofins s/Revenda Merc Nacionais no MI (Realiz)</v>
          </cell>
          <cell r="B413">
            <v>219968.84</v>
          </cell>
        </row>
        <row r="414">
          <cell r="A414" t="str">
            <v>3110608030 (-)Cofins s/Revenda Mercad Divs no MI (Realiz)</v>
          </cell>
          <cell r="B414">
            <v>2067.33</v>
          </cell>
        </row>
        <row r="415">
          <cell r="A415" t="str">
            <v>3110701030 (-)PIS/Pasep s/Vendas Produtos FP no MI (Realiz)</v>
          </cell>
          <cell r="B415">
            <v>2576154.34</v>
          </cell>
        </row>
        <row r="416">
          <cell r="A416" t="str">
            <v>3110705030 (-)PIS/Pasep s/Rev Merc Nacionais no MI (Realiz)</v>
          </cell>
          <cell r="B416">
            <v>47756.37</v>
          </cell>
        </row>
        <row r="417">
          <cell r="A417" t="str">
            <v>3110708030 (-)PIS/Pasep s/Revenda Merc Divs no MI (Realiz)</v>
          </cell>
          <cell r="B417">
            <v>448.84</v>
          </cell>
        </row>
        <row r="418">
          <cell r="A418" t="str">
            <v>Custo dos bens e serviços vendidos</v>
          </cell>
          <cell r="B418">
            <v>70807210.069999993</v>
          </cell>
        </row>
        <row r="419">
          <cell r="A419" t="str">
            <v>Variações nos estoques de Materiais</v>
          </cell>
          <cell r="B419">
            <v>25494485.34</v>
          </cell>
        </row>
        <row r="420">
          <cell r="A420" t="str">
            <v>3130101012 Rev Prov p/ Desv de Exportaçao Direta de Produtos</v>
          </cell>
          <cell r="B420">
            <v>-1727731.85</v>
          </cell>
        </row>
        <row r="421">
          <cell r="A421" t="str">
            <v>3130101015 Prov p/Desv de Exportaçao Direta de Produtos</v>
          </cell>
          <cell r="B421">
            <v>3681500.04</v>
          </cell>
        </row>
        <row r="422">
          <cell r="A422" t="str">
            <v>3130101030 Custo das Vendas de Produtos MI (Realizado)</v>
          </cell>
          <cell r="B422">
            <v>68128346.730000004</v>
          </cell>
        </row>
        <row r="423">
          <cell r="A423" t="str">
            <v>3130101031 Custo Vendas de Produtos MI - AJ</v>
          </cell>
          <cell r="B423">
            <v>-25.08</v>
          </cell>
        </row>
        <row r="424">
          <cell r="A424" t="str">
            <v>3130101039 Custo das Vendas de Produtos MI Serv (Realizado)</v>
          </cell>
          <cell r="B424">
            <v>2198.98</v>
          </cell>
        </row>
        <row r="425">
          <cell r="A425" t="str">
            <v>3130105030 Custo das Revendas de Mercadorias no MI (Realiz)</v>
          </cell>
          <cell r="B425">
            <v>716998.67</v>
          </cell>
        </row>
        <row r="426">
          <cell r="A426" t="str">
            <v>3130105031 Custo Revendas de Produtos MI - AJ</v>
          </cell>
          <cell r="B426">
            <v>-5000</v>
          </cell>
        </row>
        <row r="427">
          <cell r="A427" t="str">
            <v>3130130030 Custo das Vendas de Serviços no MI (Realizado)</v>
          </cell>
          <cell r="B427">
            <v>10922.58</v>
          </cell>
        </row>
        <row r="428">
          <cell r="A428" t="str">
            <v>5110101010 Estoq Consumido Prod-Materia Prima SAL (Realizado)</v>
          </cell>
          <cell r="B428">
            <v>7252387.1699999999</v>
          </cell>
        </row>
        <row r="429">
          <cell r="A429" t="str">
            <v>5110101011 Estoq Consumido Prod-Materia Prima SAL (Aj Real)</v>
          </cell>
          <cell r="B429">
            <v>431464.1</v>
          </cell>
        </row>
        <row r="430">
          <cell r="A430" t="str">
            <v>5110101020 Estoq Consumido Prod-MP-Etileno (Realizado)</v>
          </cell>
          <cell r="B430">
            <v>4178987.09</v>
          </cell>
        </row>
        <row r="431">
          <cell r="A431" t="str">
            <v>5110101021 Estoq Consumido Prod-MP-Etileno (Aj Real)</v>
          </cell>
          <cell r="B431">
            <v>-561076.56000000006</v>
          </cell>
        </row>
        <row r="432">
          <cell r="A432" t="str">
            <v>5110101300 Estoq Consumido Prod-Mat Aux Gas Natural (Realiz)</v>
          </cell>
          <cell r="B432">
            <v>6847003.79</v>
          </cell>
        </row>
        <row r="433">
          <cell r="A433" t="str">
            <v>5110101301 Estoq Consumido Prod-Mat Aux Gas Natural (Aj Real)</v>
          </cell>
          <cell r="B433">
            <v>-744964.98</v>
          </cell>
        </row>
        <row r="434">
          <cell r="A434" t="str">
            <v>5110101310 Estoq Consumido Prod-M Aux Vapor Petroc (Realiz)</v>
          </cell>
          <cell r="B434">
            <v>1065306.01</v>
          </cell>
        </row>
        <row r="435">
          <cell r="A435" t="str">
            <v>5110101311 Estoq Consumido Prod-M Aux Vapor Petroc (Aj Real)</v>
          </cell>
          <cell r="B435">
            <v>-65329.61</v>
          </cell>
        </row>
        <row r="436">
          <cell r="A436" t="str">
            <v>5110101490 Estoq Consumido Prod-M Aux Demais (Realizado)</v>
          </cell>
          <cell r="B436">
            <v>1747705.22</v>
          </cell>
        </row>
        <row r="437">
          <cell r="A437" t="str">
            <v>5110101491 Estoq Consumido Prod-M Aux Demais (Aj Real)</v>
          </cell>
          <cell r="B437">
            <v>6653.53</v>
          </cell>
        </row>
        <row r="438">
          <cell r="A438" t="str">
            <v>5110101500 Estoq Consumido Prod-Embalagens (Realizado)</v>
          </cell>
          <cell r="B438">
            <v>619918.4</v>
          </cell>
        </row>
        <row r="439">
          <cell r="A439" t="str">
            <v>5110101501 Estoq Consumido Prod-Embalagens (Aj Real)</v>
          </cell>
          <cell r="B439">
            <v>-30120.31</v>
          </cell>
        </row>
        <row r="440">
          <cell r="A440" t="str">
            <v>5110102010 Cons.Insumo-Revestimentos de Anodos (Realizado)</v>
          </cell>
          <cell r="B440">
            <v>184484.08</v>
          </cell>
        </row>
        <row r="441">
          <cell r="A441" t="str">
            <v>5110504070 Aj Preço-Var Preço Dif C Mud Nivel-Semi Acab (KDV)</v>
          </cell>
          <cell r="B441">
            <v>-3.38</v>
          </cell>
        </row>
        <row r="442">
          <cell r="A442" t="str">
            <v>5110504080 Aj Preço-Var Preço Dif C Mud Nivel-Acabados (KDV)</v>
          </cell>
          <cell r="B442">
            <v>-0.03</v>
          </cell>
        </row>
        <row r="443">
          <cell r="A443" t="str">
            <v>5110505010 Aj Preço-Dif Preço Nivel Único-Sal (PRD)</v>
          </cell>
          <cell r="B443">
            <v>512147.6</v>
          </cell>
        </row>
        <row r="444">
          <cell r="A444" t="str">
            <v>5110505020 Aj Preço-Dif Preço Nivel Único-Etileno (PRD)</v>
          </cell>
          <cell r="B444">
            <v>-561076.56000000006</v>
          </cell>
        </row>
        <row r="445">
          <cell r="A445" t="str">
            <v>5110505030 Aj Preço-Dif Preço Nivel Único-Gás Natural (PRD)</v>
          </cell>
          <cell r="B445">
            <v>-744964.98</v>
          </cell>
        </row>
        <row r="446">
          <cell r="A446" t="str">
            <v>5110505040 Aj Preço-Dif Preço Nivel Único-Vapor (PRD)</v>
          </cell>
          <cell r="B446">
            <v>-65329.61</v>
          </cell>
        </row>
        <row r="447">
          <cell r="A447" t="str">
            <v>5110505050 Aj Preço-Dif Preço Nivel Único-Mat Auxiliares(PRD)</v>
          </cell>
          <cell r="B447">
            <v>20067.939999999999</v>
          </cell>
        </row>
        <row r="448">
          <cell r="A448" t="str">
            <v>5110505060 Aj Preço-Dif Preço Nivel Único-Embalagens (PRD)</v>
          </cell>
          <cell r="B448">
            <v>-23000.639999999999</v>
          </cell>
        </row>
        <row r="449">
          <cell r="A449" t="str">
            <v>5110505070 Aj Preço-Dif Preço Nivel Único-Semi Acabados (PRD)</v>
          </cell>
          <cell r="B449">
            <v>7207706.0800000001</v>
          </cell>
        </row>
        <row r="450">
          <cell r="A450" t="str">
            <v>5110505080 Aj Preço-Dif Preço Nivel Único-Acabados (PRD)</v>
          </cell>
          <cell r="B450">
            <v>279102.28999999998</v>
          </cell>
        </row>
        <row r="451">
          <cell r="A451" t="str">
            <v>5110505090 Aj Preço-Dif Preço Nivel Único-Revenda (PRD)</v>
          </cell>
          <cell r="B451">
            <v>95495.17</v>
          </cell>
        </row>
        <row r="452">
          <cell r="A452" t="str">
            <v>5110506070 Aj Preço-Dif Preço Multinivel-Semi Acabado (PRV)</v>
          </cell>
          <cell r="B452">
            <v>1.1100000000000001</v>
          </cell>
        </row>
        <row r="453">
          <cell r="A453" t="str">
            <v>5110506080 Aj Preço-Dif Preço Multinivel-Acabado (PRV)</v>
          </cell>
          <cell r="B453">
            <v>-0.01</v>
          </cell>
        </row>
        <row r="454">
          <cell r="A454" t="str">
            <v>5110507010 Aj Preço-Dif Preço Fechamento ML-Sal (PRY)</v>
          </cell>
          <cell r="B454">
            <v>-512147.6</v>
          </cell>
        </row>
        <row r="455">
          <cell r="A455" t="str">
            <v>5110507020 Aj Preço-Dif Preço Fechamento ML-Etileno (PRY)</v>
          </cell>
          <cell r="B455">
            <v>561076.56000000006</v>
          </cell>
        </row>
        <row r="456">
          <cell r="A456" t="str">
            <v>5110507030 Aj Preço-Dif Preço Fechamento ML-Gas Natural (PRY)</v>
          </cell>
          <cell r="B456">
            <v>744964.98</v>
          </cell>
        </row>
        <row r="457">
          <cell r="A457" t="str">
            <v>5110507040 Aj Preço-Dif Preço Fechamento ML-Vapor (PRY)</v>
          </cell>
          <cell r="B457">
            <v>65329.61</v>
          </cell>
        </row>
        <row r="458">
          <cell r="A458" t="str">
            <v>5110507050 Aj Preço-Dif Preço Fechamento ML-Mat Auxiliar(PRY)</v>
          </cell>
          <cell r="B458">
            <v>-20067.93</v>
          </cell>
        </row>
        <row r="459">
          <cell r="A459" t="str">
            <v>5110507060 Aj Preço-Dif Preço Fechamento ML-Embalagens (PRY)</v>
          </cell>
          <cell r="B459">
            <v>23000.639999999999</v>
          </cell>
        </row>
        <row r="460">
          <cell r="A460" t="str">
            <v>5110507070 Aj Preço-Dif Preço Fechamento ML-Semi Acabad (PRY)</v>
          </cell>
          <cell r="B460">
            <v>-7207706.0999999996</v>
          </cell>
        </row>
        <row r="461">
          <cell r="A461" t="str">
            <v>5110507080 Aj Preço-Dif Preço Fechamento ML-Acabados (PRY)</v>
          </cell>
          <cell r="B461">
            <v>-279102.28999999998</v>
          </cell>
        </row>
        <row r="462">
          <cell r="A462" t="str">
            <v>5110507090 Aj Preço-Dif Preço Fechamento ML-Revenda (PRY)</v>
          </cell>
          <cell r="B462">
            <v>-95495.17</v>
          </cell>
        </row>
        <row r="463">
          <cell r="A463" t="str">
            <v>5110508080 Aj Preço-Var Preço Revaloriz Estoq-Acabados (UMB)</v>
          </cell>
          <cell r="B463">
            <v>-28.38</v>
          </cell>
        </row>
        <row r="464">
          <cell r="A464" t="str">
            <v>5110599010 Ajustes do Grupo Material Ledger - Realizado</v>
          </cell>
          <cell r="B464">
            <v>30.7</v>
          </cell>
        </row>
        <row r="465">
          <cell r="A465" t="str">
            <v>5110608010 Proj Inv.Est.Pesq-Mat Cons-Imobilizado (Realizado)</v>
          </cell>
          <cell r="B465">
            <v>359361.41</v>
          </cell>
        </row>
        <row r="466">
          <cell r="A466" t="str">
            <v>5110620010 Proj Inv.Est.Pesq-S.Prest Terc-Imobiliz PJ(Realiz)</v>
          </cell>
          <cell r="B466">
            <v>1098501.08</v>
          </cell>
        </row>
        <row r="467">
          <cell r="A467" t="str">
            <v>5110635010 Proj Inv.Est.Pesq-Encarg Financ-Imobiliz (Realiz)</v>
          </cell>
          <cell r="B467">
            <v>159104.57999999999</v>
          </cell>
        </row>
        <row r="468">
          <cell r="A468" t="str">
            <v>5110690050 (-)Proj Inv.Est.Pesq-Imp Aq-ICMS s/Aquis Imob (R)</v>
          </cell>
          <cell r="B468">
            <v>57562.51</v>
          </cell>
        </row>
        <row r="469">
          <cell r="A469" t="str">
            <v>5110690060 (-)Proj Inv.Est.Pesq-Imp Aq-COFINS Aquis Imob (R)</v>
          </cell>
          <cell r="B469">
            <v>123368.11</v>
          </cell>
        </row>
        <row r="470">
          <cell r="A470" t="str">
            <v>5110690070 (-)Proj Inv.Est.Pesq-Imp Aquis-PIS Aquis Imob (R)</v>
          </cell>
          <cell r="B470">
            <v>26783.8</v>
          </cell>
        </row>
        <row r="471">
          <cell r="A471" t="str">
            <v>5110699010 Proj Inv.Est.Pesq-Transf p/Imob em Andamento (R)</v>
          </cell>
          <cell r="B471">
            <v>-1824681.49</v>
          </cell>
        </row>
        <row r="472">
          <cell r="A472" t="str">
            <v>5120101010 Cst P.Fab Próp Transf p/S.Acabado(F.Fab)-(Aj.Real)</v>
          </cell>
          <cell r="B472">
            <v>-211865224.28999999</v>
          </cell>
        </row>
        <row r="473">
          <cell r="A473" t="str">
            <v>5120101011 Cst P.Fab Próp Transf p/S.Acab(AjOrdProd)-(Planej)</v>
          </cell>
          <cell r="B473">
            <v>-7207706.0800000001</v>
          </cell>
        </row>
        <row r="474">
          <cell r="A474" t="str">
            <v>5120101012 Cst P.Fab Próp Transf p/S.Acab(Zerar Centro Cst)</v>
          </cell>
          <cell r="B474">
            <v>2845226.42</v>
          </cell>
        </row>
        <row r="475">
          <cell r="A475" t="str">
            <v>5120101013 Cst P.Fab Próp Consumo S.Acab (Realizado)</v>
          </cell>
          <cell r="B475">
            <v>216184989.94</v>
          </cell>
        </row>
        <row r="476">
          <cell r="A476" t="str">
            <v>5120101020 Cst P.Fab Próp Transf p/P.Acabado(F.Fab)-(Aj.Real)</v>
          </cell>
          <cell r="B476">
            <v>-66329989.390000001</v>
          </cell>
        </row>
        <row r="477">
          <cell r="A477" t="str">
            <v>5120101021 Cst P.Fab Próp Transf p/P.Acabado(F.Fab)-(Planej)</v>
          </cell>
          <cell r="B477">
            <v>-279102.28999999998</v>
          </cell>
        </row>
        <row r="478">
          <cell r="A478" t="str">
            <v>5120101022 Cst P.Fab Próp Transf p/P.Acabado(Zerar CentroCst)</v>
          </cell>
          <cell r="B478">
            <v>-556705.18000000005</v>
          </cell>
        </row>
        <row r="479">
          <cell r="A479" t="str">
            <v>5120101030 Cst P.Fab Próp Transf p/P.Acabado(Aj Cons Real)</v>
          </cell>
          <cell r="B479">
            <v>963368.21</v>
          </cell>
        </row>
        <row r="480">
          <cell r="A480" t="str">
            <v>Energia Elétrica</v>
          </cell>
          <cell r="B480">
            <v>20598157.440000001</v>
          </cell>
        </row>
        <row r="481">
          <cell r="A481" t="str">
            <v>5110105010 Cons Insumo E Eletrica Cons Energia Eletrica (R)</v>
          </cell>
          <cell r="B481">
            <v>20598157.440000001</v>
          </cell>
        </row>
        <row r="482">
          <cell r="A482" t="str">
            <v>Despesas com salários e benefícios a empregad</v>
          </cell>
          <cell r="B482">
            <v>11442753.76</v>
          </cell>
        </row>
        <row r="483">
          <cell r="A483" t="str">
            <v>5111001030 FLPG-Ordena.Sal.Outras Remune Empreg(R)</v>
          </cell>
          <cell r="B483">
            <v>5840810.2400000002</v>
          </cell>
        </row>
        <row r="484">
          <cell r="A484" t="str">
            <v>5111001040 FLPG-13º Salario (Realizado)</v>
          </cell>
          <cell r="B484">
            <v>7972.28</v>
          </cell>
        </row>
        <row r="485">
          <cell r="A485" t="str">
            <v>5111001041 FLPG-Provisao de 13º Salario</v>
          </cell>
          <cell r="B485">
            <v>454400.95</v>
          </cell>
        </row>
        <row r="486">
          <cell r="A486" t="str">
            <v>5111001042 FLPG-Reversao da Provisao de 13º Salario</v>
          </cell>
          <cell r="B486">
            <v>-1890.69</v>
          </cell>
        </row>
        <row r="487">
          <cell r="A487" t="str">
            <v>5111001050 FLPG-Ferias (Realizado)</v>
          </cell>
          <cell r="B487">
            <v>726667.17</v>
          </cell>
        </row>
        <row r="488">
          <cell r="A488" t="str">
            <v>5111001051 FLPG-Provisao de Ferias</v>
          </cell>
          <cell r="B488">
            <v>604505.63</v>
          </cell>
        </row>
        <row r="489">
          <cell r="A489" t="str">
            <v>5111001052 FLPG-Reversao da Provisao de Ferias</v>
          </cell>
          <cell r="B489">
            <v>-652325.81000000006</v>
          </cell>
        </row>
        <row r="490">
          <cell r="A490" t="str">
            <v>5111001080 FLPG-Gratificaçoes de Ferias(Realizado)</v>
          </cell>
          <cell r="B490">
            <v>360251.12</v>
          </cell>
        </row>
        <row r="491">
          <cell r="A491" t="str">
            <v>5111001081 FLPG-Provisao de Gratificaçoes de Ferias</v>
          </cell>
          <cell r="B491">
            <v>328371.20000000001</v>
          </cell>
        </row>
        <row r="492">
          <cell r="A492" t="str">
            <v>5111001082 FLPG-Rever Provi Gratificaçoes de Ferias</v>
          </cell>
          <cell r="B492">
            <v>-360251.12</v>
          </cell>
        </row>
        <row r="493">
          <cell r="A493" t="str">
            <v>5111001091 FLPG-Provisao de Gratificaçoes</v>
          </cell>
          <cell r="B493">
            <v>860432</v>
          </cell>
        </row>
        <row r="494">
          <cell r="A494" t="str">
            <v>5111001100 FLPG-Gratificaçoes Quinquenios (Realizado)</v>
          </cell>
          <cell r="B494">
            <v>468456.76</v>
          </cell>
        </row>
        <row r="495">
          <cell r="A495" t="str">
            <v>5111001101 FLPG-Prov Gratificaçoes Quinquenios</v>
          </cell>
          <cell r="B495">
            <v>-10858.27</v>
          </cell>
        </row>
        <row r="496">
          <cell r="A496" t="str">
            <v>5111001102 FLPG-Rever Prov Gratificaçoes Quinquenios</v>
          </cell>
          <cell r="B496">
            <v>-468456.76</v>
          </cell>
        </row>
        <row r="497">
          <cell r="A497" t="str">
            <v>5111001120 FLPG-Aviso Previo (Realizado)</v>
          </cell>
          <cell r="B497">
            <v>94787.45</v>
          </cell>
        </row>
        <row r="498">
          <cell r="A498" t="str">
            <v>5111001122 FLPG-Reversao da Provisao de Aviso Previo</v>
          </cell>
          <cell r="B498">
            <v>-94787.45</v>
          </cell>
        </row>
        <row r="499">
          <cell r="A499" t="str">
            <v>5111001240 FLPG-Auxilio Doença (Realizado)</v>
          </cell>
          <cell r="B499">
            <v>3804.42</v>
          </cell>
        </row>
        <row r="500">
          <cell r="A500" t="str">
            <v>5111001250 FLPG-Auxilio Ensino (Realizado)</v>
          </cell>
          <cell r="B500">
            <v>88309.03</v>
          </cell>
        </row>
        <row r="501">
          <cell r="A501" t="str">
            <v>5111001300 FLPG-Bolsa Estudos de Estagiarios (Realizado)</v>
          </cell>
          <cell r="B501">
            <v>41814.82</v>
          </cell>
        </row>
        <row r="502">
          <cell r="A502" t="str">
            <v>5111001990 Rateio da Mão de Obra da Manutenção</v>
          </cell>
          <cell r="B502">
            <v>-3057.85</v>
          </cell>
        </row>
        <row r="503">
          <cell r="A503" t="str">
            <v>5111002010 FGTS-Folha de Pagamento (Realizado)</v>
          </cell>
          <cell r="B503">
            <v>505037.34</v>
          </cell>
        </row>
        <row r="504">
          <cell r="A504" t="str">
            <v>5111002020 FGTS-Ferias (Realizado)</v>
          </cell>
          <cell r="B504">
            <v>38276.550000000003</v>
          </cell>
        </row>
        <row r="505">
          <cell r="A505" t="str">
            <v>5111002021 FGTS-Provisao de FGTS s/Ferias</v>
          </cell>
          <cell r="B505">
            <v>35892.639999999999</v>
          </cell>
        </row>
        <row r="506">
          <cell r="A506" t="str">
            <v>5111002022 FGTS-Reversao da Provisao de FGTS s/Ferias</v>
          </cell>
          <cell r="B506">
            <v>-39113.33</v>
          </cell>
        </row>
        <row r="507">
          <cell r="A507" t="str">
            <v>5111002030 FGTS-13º Salario (Realizado)</v>
          </cell>
          <cell r="B507">
            <v>7413.92</v>
          </cell>
        </row>
        <row r="508">
          <cell r="A508" t="str">
            <v>5111002031 FGTS-Provisao de FGTS S/13º Salario</v>
          </cell>
          <cell r="B508">
            <v>43616.92</v>
          </cell>
        </row>
        <row r="509">
          <cell r="A509" t="str">
            <v>5111002032 FGTS-Reversao da Provisao FGTS S/13º Salario</v>
          </cell>
          <cell r="B509">
            <v>-7483.62</v>
          </cell>
        </row>
        <row r="510">
          <cell r="A510" t="str">
            <v>5111002040 FGTS-Desligamento de Funcionarios (Realizado)</v>
          </cell>
          <cell r="B510">
            <v>261342.67</v>
          </cell>
        </row>
        <row r="511">
          <cell r="A511" t="str">
            <v>5111002041 FGTS-Provisao FGTS s/Desligamento Funcionario</v>
          </cell>
          <cell r="B511">
            <v>335930</v>
          </cell>
        </row>
        <row r="512">
          <cell r="A512" t="str">
            <v>5111002042 FGTS-Rever Prov FGTS s/Desligamento Funcionario</v>
          </cell>
          <cell r="B512">
            <v>-261342.67</v>
          </cell>
        </row>
        <row r="513">
          <cell r="A513" t="str">
            <v>5111003010 INSS-Folha de Pagamento (Realizado)</v>
          </cell>
          <cell r="B513">
            <v>1907789.82</v>
          </cell>
        </row>
        <row r="514">
          <cell r="A514" t="str">
            <v>5111003021 INSS-Provisao de INSS s/Ferias</v>
          </cell>
          <cell r="B514">
            <v>28194.02</v>
          </cell>
        </row>
        <row r="515">
          <cell r="A515" t="str">
            <v>5111003022 INSS-Reversao da Provisao de INSS s/Ferias</v>
          </cell>
          <cell r="B515">
            <v>-41619.61</v>
          </cell>
        </row>
        <row r="516">
          <cell r="A516" t="str">
            <v>5111003031 INSS-Provisao de INSS s/13º Salario</v>
          </cell>
          <cell r="B516">
            <v>127467.29</v>
          </cell>
        </row>
        <row r="517">
          <cell r="A517" t="str">
            <v>5111003032 INSS-Reversao Provisao de INSS s/13º Salario</v>
          </cell>
          <cell r="B517">
            <v>-424.71</v>
          </cell>
        </row>
        <row r="518">
          <cell r="A518" t="str">
            <v>5111503040 Desp Medicas Hospitalares (Realizado)</v>
          </cell>
          <cell r="B518">
            <v>40291.26</v>
          </cell>
        </row>
        <row r="519">
          <cell r="A519" t="str">
            <v>5111504060 Desenv Prof-Refeiçoes em Cursos (Realizado)</v>
          </cell>
          <cell r="B519">
            <v>38.42</v>
          </cell>
        </row>
        <row r="520">
          <cell r="A520" t="str">
            <v>5111504070 Desenv Prof-Aprendiz de Menores em Cursos (Realiz)</v>
          </cell>
          <cell r="B520">
            <v>24480.54</v>
          </cell>
        </row>
        <row r="521">
          <cell r="A521" t="str">
            <v>5111505010 Desp Soc-Contrib Associaçao Desportiva (Realizado)</v>
          </cell>
          <cell r="B521">
            <v>70160</v>
          </cell>
        </row>
        <row r="522">
          <cell r="A522" t="str">
            <v>5111505020 Desp Soc-Comemoraçoes e Eventos (Realizado)</v>
          </cell>
          <cell r="B522">
            <v>7242.8</v>
          </cell>
        </row>
        <row r="523">
          <cell r="A523" t="str">
            <v>5111506030 Despesa Taxi e Conduçoes (Realizado)</v>
          </cell>
          <cell r="B523">
            <v>54990.97</v>
          </cell>
        </row>
        <row r="524">
          <cell r="A524" t="str">
            <v>5111507010 Despesa Refeiçoes Prontas (Realizado)</v>
          </cell>
          <cell r="B524">
            <v>472.76</v>
          </cell>
        </row>
        <row r="525">
          <cell r="A525" t="str">
            <v>5111507030 Despesa Refeiçoes-Visita e Outras (Realizado)</v>
          </cell>
          <cell r="B525">
            <v>9615.56</v>
          </cell>
        </row>
        <row r="526">
          <cell r="A526" t="str">
            <v>5111507040 Despesa Refeiçoes-Lanches Externos (Realizado)</v>
          </cell>
          <cell r="B526">
            <v>5529.1</v>
          </cell>
        </row>
        <row r="527">
          <cell r="A527" t="str">
            <v>Encargos de depreciação e amortização</v>
          </cell>
          <cell r="B527">
            <v>6544805.29</v>
          </cell>
        </row>
        <row r="528">
          <cell r="A528" t="str">
            <v>5119001010 Encarg de Deprec e Amort-Depreciaçao (Realizado)</v>
          </cell>
          <cell r="B528">
            <v>4313503.97</v>
          </cell>
        </row>
        <row r="529">
          <cell r="A529" t="str">
            <v>5119001011 Encarg de Depreciaçao Mais Valia (Realizado)</v>
          </cell>
          <cell r="B529">
            <v>1073547.3999999999</v>
          </cell>
        </row>
        <row r="530">
          <cell r="A530" t="str">
            <v>5119001012 Encarg de Depreciaçao Mais Valia CN (Realizado)</v>
          </cell>
          <cell r="B530">
            <v>1073547.3999999999</v>
          </cell>
        </row>
        <row r="531">
          <cell r="A531" t="str">
            <v>5119001014 Encarg de Depreciaçao AVP (Realizado)</v>
          </cell>
          <cell r="B531">
            <v>77677.320000000007</v>
          </cell>
        </row>
        <row r="532">
          <cell r="A532" t="str">
            <v>5119001050 Encarg de Deprec e Amort-Amortizaçao (Realizado)</v>
          </cell>
          <cell r="B532">
            <v>6495</v>
          </cell>
        </row>
        <row r="533">
          <cell r="A533" t="str">
            <v>5119001054 Amortizaçao AVP (Realizado)</v>
          </cell>
          <cell r="B533">
            <v>34.200000000000003</v>
          </cell>
        </row>
        <row r="534">
          <cell r="A534" t="str">
            <v>Serviços de terceiros</v>
          </cell>
          <cell r="B534">
            <v>3781748.45</v>
          </cell>
        </row>
        <row r="535">
          <cell r="A535" t="str">
            <v>5112002010 Serviços Prestados Auditoria  p/PJ (Realizado)</v>
          </cell>
          <cell r="B535">
            <v>10280</v>
          </cell>
        </row>
        <row r="536">
          <cell r="A536" t="str">
            <v>5112003010 Serviços Prestados Consultoria p/PJ (Realizado)</v>
          </cell>
          <cell r="B536">
            <v>121162.04</v>
          </cell>
        </row>
        <row r="537">
          <cell r="A537" t="str">
            <v>5112003040 Serv Prest Consultoria p/PF s/Vinc Empr (Realiz)</v>
          </cell>
          <cell r="B537">
            <v>11838.68</v>
          </cell>
        </row>
        <row r="538">
          <cell r="A538" t="str">
            <v>5112010010 Serviços Prestados Temporario p/PJ (Realizado)</v>
          </cell>
          <cell r="B538">
            <v>4638.13</v>
          </cell>
        </row>
        <row r="539">
          <cell r="A539" t="str">
            <v>5112011010 Serviços Prestados Limpeza p/ PJ (Realizado)</v>
          </cell>
          <cell r="B539">
            <v>160696.85</v>
          </cell>
        </row>
        <row r="540">
          <cell r="A540" t="str">
            <v>5112012010 Serviços Prestados Vigilancia PJ (Realiz)</v>
          </cell>
          <cell r="B540">
            <v>140003.93</v>
          </cell>
        </row>
        <row r="541">
          <cell r="A541" t="str">
            <v>5112013010 Serviços Prestados Jardinagem p/PJ (Realizado)</v>
          </cell>
          <cell r="B541">
            <v>75034.13</v>
          </cell>
        </row>
        <row r="542">
          <cell r="A542" t="str">
            <v>5112014010 Serv Prest Estacionamento de Caminhoes PJ (Realiz)</v>
          </cell>
          <cell r="B542">
            <v>163350</v>
          </cell>
        </row>
        <row r="543">
          <cell r="A543" t="str">
            <v>5112015010 Serv Prest Fretes Carretos s/Compras p/PJ (Realiz)</v>
          </cell>
          <cell r="B543">
            <v>1105698.55</v>
          </cell>
        </row>
        <row r="544">
          <cell r="A544" t="str">
            <v>5112018010 Serv Prest Reparos Assist Tecnica p/PJ (Realiz)</v>
          </cell>
          <cell r="B544">
            <v>275257.67</v>
          </cell>
        </row>
        <row r="545">
          <cell r="A545" t="str">
            <v>5112019010 Serv Prest Tratamento de Residuos p/PJ (Realiz)</v>
          </cell>
          <cell r="B545">
            <v>25730.06</v>
          </cell>
        </row>
        <row r="546">
          <cell r="A546" t="str">
            <v>5112099010 Prest Serv Tecnicos Profissionais p/PJ (Realiz)</v>
          </cell>
          <cell r="B546">
            <v>104087.88</v>
          </cell>
        </row>
        <row r="547">
          <cell r="A547" t="str">
            <v>5112150010 Serv Prest Manutençao Civil p/PJ (Realizado)</v>
          </cell>
          <cell r="B547">
            <v>368631.36</v>
          </cell>
        </row>
        <row r="548">
          <cell r="A548" t="str">
            <v>5112151010 Serv Prest Manutençao Eletricos p/PJ (Realiz)</v>
          </cell>
          <cell r="B548">
            <v>133868.88</v>
          </cell>
        </row>
        <row r="549">
          <cell r="A549" t="str">
            <v>5112152010 Serv Prest Manutençao Mecânicos p/PJ (Realizado)</v>
          </cell>
          <cell r="B549">
            <v>114090.42</v>
          </cell>
        </row>
        <row r="550">
          <cell r="A550" t="str">
            <v>5112153010 Serv Prest Manutençao Inspeçao PJ (Realizado)</v>
          </cell>
          <cell r="B550">
            <v>129901.72</v>
          </cell>
        </row>
        <row r="551">
          <cell r="A551" t="str">
            <v>5112154010 Serv Prest Manutençao Cald/Tubul PJ (Realzado)</v>
          </cell>
          <cell r="B551">
            <v>219135.47</v>
          </cell>
        </row>
        <row r="552">
          <cell r="A552" t="str">
            <v>5112155010 Serv Prest Manut Instrumentaçao PJ (Realizado)</v>
          </cell>
          <cell r="B552">
            <v>145068.9</v>
          </cell>
        </row>
        <row r="553">
          <cell r="A553" t="str">
            <v>5112170010 Serv Prest Manutenaçao Cel HG-PJ (Realizado)</v>
          </cell>
          <cell r="B553">
            <v>100640.77</v>
          </cell>
        </row>
        <row r="554">
          <cell r="A554" t="str">
            <v>5112175010 Serv Prest Manutençao Cel Diafrag p/PJ (Realiz)</v>
          </cell>
          <cell r="B554">
            <v>49127.17</v>
          </cell>
        </row>
        <row r="555">
          <cell r="A555" t="str">
            <v>5112199010 Serv Prest Manutençao Apoio-PJ (Realizado)</v>
          </cell>
          <cell r="B555">
            <v>92279.16</v>
          </cell>
        </row>
        <row r="556">
          <cell r="A556" t="str">
            <v>5112199410 Serv Prest Manutençao Pintura-PJ (Realizado)</v>
          </cell>
          <cell r="B556">
            <v>93468.11</v>
          </cell>
        </row>
        <row r="557">
          <cell r="A557" t="str">
            <v>5112199510 Serv Prest Manutençao Revestimentos-PJ (Realizado)</v>
          </cell>
          <cell r="B557">
            <v>76829.440000000002</v>
          </cell>
        </row>
        <row r="558">
          <cell r="A558" t="str">
            <v>5112199610 Serv Prest Manutençao Isolamentos-PJ (Realizado)</v>
          </cell>
          <cell r="B558">
            <v>60929.13</v>
          </cell>
        </row>
        <row r="559">
          <cell r="A559" t="str">
            <v>Outras</v>
          </cell>
          <cell r="B559">
            <v>2945259.79</v>
          </cell>
        </row>
        <row r="560">
          <cell r="A560" t="str">
            <v>5110801020 Mat Cons-Oper-Mat Processo Produtivo (Realiz)</v>
          </cell>
          <cell r="B560">
            <v>24731.05</v>
          </cell>
        </row>
        <row r="561">
          <cell r="A561" t="str">
            <v>5110801030 Mat Cons-Oper-Mat Tratamento Residuos (Realiz)</v>
          </cell>
          <cell r="B561">
            <v>14091.03</v>
          </cell>
        </row>
        <row r="562">
          <cell r="A562" t="str">
            <v>5110801040 Mat Cons-Oper-Mat Análises Quimicas (Realizado)</v>
          </cell>
          <cell r="B562">
            <v>57618.67</v>
          </cell>
        </row>
        <row r="563">
          <cell r="A563" t="str">
            <v>5110801060 Mat Cons-Oper-Ferramentas (Realizado)</v>
          </cell>
          <cell r="B563">
            <v>71827.75</v>
          </cell>
        </row>
        <row r="564">
          <cell r="A564" t="str">
            <v>5110801070 Mat Cons-Oper-Mat Reparo e Manutençao (Realizado)</v>
          </cell>
          <cell r="B564">
            <v>453.5</v>
          </cell>
        </row>
        <row r="565">
          <cell r="A565" t="str">
            <v>5110801090 Mat Cons-Oper-Mat Limpeza (Realizado)</v>
          </cell>
          <cell r="B565">
            <v>4611.92</v>
          </cell>
        </row>
        <row r="566">
          <cell r="A566" t="str">
            <v>5110801100 Mat Cons-Oper-Mat Segurança (Realizado)</v>
          </cell>
          <cell r="B566">
            <v>124443.03</v>
          </cell>
        </row>
        <row r="567">
          <cell r="A567" t="str">
            <v>5110801110 Mat Cons-Oper-Consumo de Água (Realizado)</v>
          </cell>
          <cell r="B567">
            <v>126534.54</v>
          </cell>
        </row>
        <row r="568">
          <cell r="A568" t="str">
            <v>5110801130 Mat Cons-Oper-Mat Escritório (Realizado)</v>
          </cell>
          <cell r="B568">
            <v>4852.78</v>
          </cell>
        </row>
        <row r="569">
          <cell r="A569" t="str">
            <v>5110801140 Mat Cons-Oper-Mat Imobilizado (Realizado)</v>
          </cell>
          <cell r="B569">
            <v>2255.91</v>
          </cell>
        </row>
        <row r="570">
          <cell r="A570" t="str">
            <v>5110802020 Mat Cons-Manutençao-Eletrica (Realizado)</v>
          </cell>
          <cell r="B570">
            <v>121707.76</v>
          </cell>
        </row>
        <row r="571">
          <cell r="A571" t="str">
            <v>5110802030 Mat Cons-Manutençao-Mecânica (Realizado)</v>
          </cell>
          <cell r="B571">
            <v>531572.26</v>
          </cell>
        </row>
        <row r="572">
          <cell r="A572" t="str">
            <v>5110802040 Mat Cons-Manutençao-Manut Inspeçao (Realizado)</v>
          </cell>
          <cell r="B572">
            <v>0.01</v>
          </cell>
        </row>
        <row r="573">
          <cell r="A573" t="str">
            <v>5110802050 Mat Cons-Manutençao-Calderaria/Tubul (Realizado)</v>
          </cell>
          <cell r="B573">
            <v>768953.49</v>
          </cell>
        </row>
        <row r="574">
          <cell r="A574" t="str">
            <v>5110802060 Mat Cons-Manutençao-Instrumentaçao (Realizado)</v>
          </cell>
          <cell r="B574">
            <v>490184.25</v>
          </cell>
        </row>
        <row r="575">
          <cell r="A575" t="str">
            <v>5110802070 Mat Cons-Manutençao-Celula HG (Realizado)</v>
          </cell>
          <cell r="B575">
            <v>137921.78</v>
          </cell>
        </row>
        <row r="576">
          <cell r="A576" t="str">
            <v>5110802080 Mat Cons-Manutençao-Celula Diafragma (Realizado)</v>
          </cell>
          <cell r="B576">
            <v>147614.88</v>
          </cell>
        </row>
        <row r="577">
          <cell r="A577" t="str">
            <v>5110802990 Mat Cons-Manutençao-Geral (Realizado)</v>
          </cell>
          <cell r="B577">
            <v>226602.73</v>
          </cell>
        </row>
        <row r="578">
          <cell r="A578" t="str">
            <v>5110803220 Mat Cons-Proc Produtivo-Perda Estoq Almox (Realiz)</v>
          </cell>
          <cell r="B578">
            <v>36.659999999999997</v>
          </cell>
        </row>
        <row r="579">
          <cell r="A579" t="str">
            <v>5111902010 Despesa Viagens Nacionais (Realizado)</v>
          </cell>
          <cell r="B579">
            <v>8211.42</v>
          </cell>
        </row>
        <row r="580">
          <cell r="A580" t="str">
            <v>5111902020 Despesas Viagens Internacionais (Realizado)</v>
          </cell>
          <cell r="B580">
            <v>3630.15</v>
          </cell>
        </row>
        <row r="581">
          <cell r="A581" t="str">
            <v>5114002060 DITC-Txs Municipais,Estaduais,Federais (Realizado)</v>
          </cell>
          <cell r="B581">
            <v>233.75</v>
          </cell>
        </row>
        <row r="582">
          <cell r="A582" t="str">
            <v>5114002105 Créditos de impostos recuperados - Reintegra</v>
          </cell>
          <cell r="B582">
            <v>-403211.71</v>
          </cell>
        </row>
        <row r="583">
          <cell r="A583" t="str">
            <v>5118002050 DPC Ded-Contrib a Entidades de Classes (Realizado)</v>
          </cell>
          <cell r="B583">
            <v>5499.85</v>
          </cell>
        </row>
        <row r="584">
          <cell r="A584" t="str">
            <v>5119905010 Desp Alug/Loc.Oper-Locaçao Equip Operaçao (Realiz)</v>
          </cell>
          <cell r="B584">
            <v>285633.27</v>
          </cell>
        </row>
        <row r="585">
          <cell r="A585" t="str">
            <v>5119905050 Desp Alug/Loc.Oper-Loc de Equip Telefonia(Realiz)</v>
          </cell>
          <cell r="B585">
            <v>998.25</v>
          </cell>
        </row>
        <row r="586">
          <cell r="A586" t="str">
            <v>5119906010 Desp Alug/Loc. Op-Equipamentos de Manut (Realiz)</v>
          </cell>
          <cell r="B586">
            <v>181377.27</v>
          </cell>
        </row>
        <row r="587">
          <cell r="A587" t="str">
            <v>5119920010 Desp c/Veiculos-Abastecimento (Realizado)</v>
          </cell>
          <cell r="B587">
            <v>806.25</v>
          </cell>
        </row>
        <row r="588">
          <cell r="A588" t="str">
            <v>5119920050 Desp c/Veiculos-Pedagio e Estacionam (Realizado)</v>
          </cell>
          <cell r="B588">
            <v>1483.44</v>
          </cell>
        </row>
        <row r="589">
          <cell r="A589" t="str">
            <v>5119920060 Desp c/Veiculos-Licenciamento (Realizado)</v>
          </cell>
          <cell r="B589">
            <v>4583.8500000000004</v>
          </cell>
        </row>
        <row r="590">
          <cell r="A590" t="str">
            <v>Despesas / Receitas Operacionais</v>
          </cell>
          <cell r="B590">
            <v>34365519.659999996</v>
          </cell>
        </row>
        <row r="591">
          <cell r="A591" t="str">
            <v>Despesas com vendas</v>
          </cell>
          <cell r="B591">
            <v>13279390.210000001</v>
          </cell>
        </row>
        <row r="592">
          <cell r="A592" t="str">
            <v>Despesas com fretes sobre vendas</v>
          </cell>
          <cell r="B592">
            <v>13279390.02</v>
          </cell>
        </row>
        <row r="593">
          <cell r="A593" t="str">
            <v>3140101030 Fretes s/Vendas de Produtos no MI (Realizado)</v>
          </cell>
          <cell r="B593">
            <v>12975605.199999999</v>
          </cell>
        </row>
        <row r="594">
          <cell r="A594" t="str">
            <v>3140105030 Fretes s/Revendas de Mercadorias no MI (Realiz)</v>
          </cell>
          <cell r="B594">
            <v>303784.82</v>
          </cell>
        </row>
        <row r="595">
          <cell r="A595" t="str">
            <v>Outras despesas com vendas</v>
          </cell>
          <cell r="B595">
            <v>0.19</v>
          </cell>
        </row>
        <row r="596">
          <cell r="A596" t="str">
            <v>3140601030 Desp Remessas p/Testes Ensaios e Prod FP (Realiz)</v>
          </cell>
          <cell r="B596">
            <v>0.19</v>
          </cell>
        </row>
        <row r="597">
          <cell r="A597" t="str">
            <v>Despesas Gerais e Administrativas</v>
          </cell>
          <cell r="B597">
            <v>14546462.93</v>
          </cell>
        </row>
        <row r="598">
          <cell r="A598" t="str">
            <v>Energia Elétrica consumo administrativo</v>
          </cell>
          <cell r="B598">
            <v>8582.19</v>
          </cell>
        </row>
        <row r="599">
          <cell r="A599" t="str">
            <v>3170801120 Mat Cons Oper-Luz (Realizado)</v>
          </cell>
          <cell r="B599">
            <v>8582.19</v>
          </cell>
        </row>
        <row r="600">
          <cell r="A600" t="str">
            <v>Despesas com salários e benefícios a empreg</v>
          </cell>
          <cell r="B600">
            <v>8285377</v>
          </cell>
        </row>
        <row r="601">
          <cell r="A601" t="str">
            <v>3171001010 FLPG-Remuneraçao a Dirigentes Conselho Adm (Pgto)</v>
          </cell>
          <cell r="B601">
            <v>1070518</v>
          </cell>
        </row>
        <row r="602">
          <cell r="A602" t="str">
            <v>3171001021 FLPG-Prov Gratificaçao a Dirigentes Conselho Adm</v>
          </cell>
          <cell r="B602">
            <v>544246</v>
          </cell>
        </row>
        <row r="603">
          <cell r="A603" t="str">
            <v>3171001030 FLPG-Ordenados, Salars e Outras Remun a Empreg (R)</v>
          </cell>
          <cell r="B603">
            <v>2007830.81</v>
          </cell>
        </row>
        <row r="604">
          <cell r="A604" t="str">
            <v>3171001040 FLPG-13º Salario (Realizado)</v>
          </cell>
          <cell r="B604">
            <v>11297.68</v>
          </cell>
        </row>
        <row r="605">
          <cell r="A605" t="str">
            <v>3171001041 FLPG-Provisao de 13º Salario</v>
          </cell>
          <cell r="B605">
            <v>173204.64</v>
          </cell>
        </row>
        <row r="606">
          <cell r="A606" t="str">
            <v>3171001042 FLPG-Reversao Provisao de 13º Salario</v>
          </cell>
          <cell r="B606">
            <v>-3282.7</v>
          </cell>
        </row>
        <row r="607">
          <cell r="A607" t="str">
            <v>3171001050 FLPG-Ferias (Realizado)</v>
          </cell>
          <cell r="B607">
            <v>261846.42</v>
          </cell>
        </row>
        <row r="608">
          <cell r="A608" t="str">
            <v>3171001051 FLPG-Provisao de Ferias</v>
          </cell>
          <cell r="B608">
            <v>180269.64</v>
          </cell>
        </row>
        <row r="609">
          <cell r="A609" t="str">
            <v>3171001052 FLPG-Reversap da Provisao de Ferias</v>
          </cell>
          <cell r="B609">
            <v>-176009.64</v>
          </cell>
        </row>
        <row r="610">
          <cell r="A610" t="str">
            <v>3171001080 FLPG-Gratificaçao de Ferias (Realiz)</v>
          </cell>
          <cell r="B610">
            <v>100141.82</v>
          </cell>
        </row>
        <row r="611">
          <cell r="A611" t="str">
            <v>3171001081 FLPG-Provisao de Gratificaçao de Ferias</v>
          </cell>
          <cell r="B611">
            <v>89645.92</v>
          </cell>
        </row>
        <row r="612">
          <cell r="A612" t="str">
            <v>3171001082 FLPG-Reversao da Prov de Gratificaçao de Ferias</v>
          </cell>
          <cell r="B612">
            <v>-100141.82</v>
          </cell>
        </row>
        <row r="613">
          <cell r="A613" t="str">
            <v>3171001090 FLPG-Gratificaçoes (Realizado)</v>
          </cell>
          <cell r="B613">
            <v>1035.3800000000001</v>
          </cell>
        </row>
        <row r="614">
          <cell r="A614" t="str">
            <v>3171001091 FLPG-Provisao de Gratificaçoes</v>
          </cell>
          <cell r="B614">
            <v>454562</v>
          </cell>
        </row>
        <row r="615">
          <cell r="A615" t="str">
            <v>3171001100 FLPG-Gratificoes Quinquenios (Realizado)</v>
          </cell>
          <cell r="B615">
            <v>11208.81</v>
          </cell>
        </row>
        <row r="616">
          <cell r="A616" t="str">
            <v>3171001101 FLPG-Provisao de Gratificaçoes Quinquenios</v>
          </cell>
          <cell r="B616">
            <v>-18416.419999999998</v>
          </cell>
        </row>
        <row r="617">
          <cell r="A617" t="str">
            <v>3171001102 FLPG-Reversao Provisao Gratificacoes Quinquenios</v>
          </cell>
          <cell r="B617">
            <v>-11208.81</v>
          </cell>
        </row>
        <row r="618">
          <cell r="A618" t="str">
            <v>3171001120 FLPG-Aviso Previo (Realizado)</v>
          </cell>
          <cell r="B618">
            <v>98853.1</v>
          </cell>
        </row>
        <row r="619">
          <cell r="A619" t="str">
            <v>3171001122 FLPG-Reversao da Provisao de Aviso Previo</v>
          </cell>
          <cell r="B619">
            <v>-98853.1</v>
          </cell>
        </row>
        <row r="620">
          <cell r="A620" t="str">
            <v>3171001130 FLPG-Indenizacoes (Realizado)</v>
          </cell>
          <cell r="B620">
            <v>26511.7</v>
          </cell>
        </row>
        <row r="621">
          <cell r="A621" t="str">
            <v>3171001240 FLPG-Auxilio Doença (Realizado)</v>
          </cell>
          <cell r="B621">
            <v>13628.32</v>
          </cell>
        </row>
        <row r="622">
          <cell r="A622" t="str">
            <v>3171001250 FLPG-Auxilio Ensino (Realizado)</v>
          </cell>
          <cell r="B622">
            <v>34679.31</v>
          </cell>
        </row>
        <row r="623">
          <cell r="A623" t="str">
            <v>3171001300 FLPG-Bolsa Estudos de Estagiarios (Realizado)</v>
          </cell>
          <cell r="B623">
            <v>18746.28</v>
          </cell>
        </row>
        <row r="624">
          <cell r="A624" t="str">
            <v>3171001990 Rateio da Mão de Obra da Manutenção</v>
          </cell>
          <cell r="B624">
            <v>3057.85</v>
          </cell>
        </row>
        <row r="625">
          <cell r="A625" t="str">
            <v>3171002010 FGTS s/Folha de Pagamento (Realizado)</v>
          </cell>
          <cell r="B625">
            <v>161317.99</v>
          </cell>
        </row>
        <row r="626">
          <cell r="A626" t="str">
            <v>3171002020 FGTS s/Ferias (Realizado)</v>
          </cell>
          <cell r="B626">
            <v>9607.91</v>
          </cell>
        </row>
        <row r="627">
          <cell r="A627" t="str">
            <v>3171002021 Provisao de FGTS s/Ferias</v>
          </cell>
          <cell r="B627">
            <v>13547.64</v>
          </cell>
        </row>
        <row r="628">
          <cell r="A628" t="str">
            <v>3171002022 Reversao da Provisao de FGTS s/Ferias</v>
          </cell>
          <cell r="B628">
            <v>-13224.47</v>
          </cell>
        </row>
        <row r="629">
          <cell r="A629" t="str">
            <v>3171002030 FGTS s/13º Salario (Realizado)</v>
          </cell>
          <cell r="B629">
            <v>3068.07</v>
          </cell>
        </row>
        <row r="630">
          <cell r="A630" t="str">
            <v>3171002031 Provisao de FGTS s/13º Salario</v>
          </cell>
          <cell r="B630">
            <v>16912.099999999999</v>
          </cell>
        </row>
        <row r="631">
          <cell r="A631" t="str">
            <v>3171002032 Reversao da Provisao de FGTS s/13º Salario</v>
          </cell>
          <cell r="B631">
            <v>-3330.68</v>
          </cell>
        </row>
        <row r="632">
          <cell r="A632" t="str">
            <v>3171002040 FGTS s/Desligamento de Funcionario (Realizado)</v>
          </cell>
          <cell r="B632">
            <v>276366.95</v>
          </cell>
        </row>
        <row r="633">
          <cell r="A633" t="str">
            <v>3171002041 Provisao de FGTS s/Desligamento de Funcionario</v>
          </cell>
          <cell r="B633">
            <v>182868</v>
          </cell>
        </row>
        <row r="634">
          <cell r="A634" t="str">
            <v>3171002042 Reversao Provisao de FGTS s/Desl Funcionario</v>
          </cell>
          <cell r="B634">
            <v>-276366.95</v>
          </cell>
        </row>
        <row r="635">
          <cell r="A635" t="str">
            <v>3171003010 INSS s/Folha de Pagamento (Realizado)</v>
          </cell>
          <cell r="B635">
            <v>817522.54</v>
          </cell>
        </row>
        <row r="636">
          <cell r="A636" t="str">
            <v>3171003021 Provisao de INSS s/Ferias</v>
          </cell>
          <cell r="B636">
            <v>34686.93</v>
          </cell>
        </row>
        <row r="637">
          <cell r="A637" t="str">
            <v>3171003022 Reversao da Provisao de INSS s/Ferias</v>
          </cell>
          <cell r="B637">
            <v>-33490.93</v>
          </cell>
        </row>
        <row r="638">
          <cell r="A638" t="str">
            <v>3171003031 Provisao de INSS s/13º Salario</v>
          </cell>
          <cell r="B638">
            <v>48627.26</v>
          </cell>
        </row>
        <row r="639">
          <cell r="A639" t="str">
            <v>3171003032 Reversao da Provisao de INSS s/13º Salario</v>
          </cell>
          <cell r="B639">
            <v>-921.62</v>
          </cell>
        </row>
        <row r="640">
          <cell r="A640" t="str">
            <v>3171003051 Provisao de INSS s/Gratificações</v>
          </cell>
          <cell r="B640">
            <v>108850</v>
          </cell>
        </row>
        <row r="641">
          <cell r="A641" t="str">
            <v>3171501010 Prev Priv CD-Contribuicoes da Empresa (Realizado)</v>
          </cell>
          <cell r="B641">
            <v>974403.74</v>
          </cell>
        </row>
        <row r="642">
          <cell r="A642" t="str">
            <v>3171501015 Prev Priv CD-Participaçao dos Empregados</v>
          </cell>
          <cell r="B642">
            <v>-315988.73</v>
          </cell>
        </row>
        <row r="643">
          <cell r="A643" t="str">
            <v>3171502011 Provisao Seguro de Vida em Grupo</v>
          </cell>
          <cell r="B643">
            <v>122385.22</v>
          </cell>
        </row>
        <row r="644">
          <cell r="A644" t="str">
            <v>3171503010 Assistencia Medica e Hospitalar (Realizado)</v>
          </cell>
          <cell r="B644">
            <v>527165.74</v>
          </cell>
        </row>
        <row r="645">
          <cell r="A645" t="str">
            <v>3171503015 Partic dos Empregados Assistenc Medica e Hospit</v>
          </cell>
          <cell r="B645">
            <v>-52141.15</v>
          </cell>
        </row>
        <row r="646">
          <cell r="A646" t="str">
            <v>3171503020 Assistencia Medica e Hospitalar Aposent (Realiz)</v>
          </cell>
          <cell r="B646">
            <v>66451.75</v>
          </cell>
        </row>
        <row r="647">
          <cell r="A647" t="str">
            <v>3171503021 Provisao Assistencia Medica Hospitalar Aposentados</v>
          </cell>
          <cell r="B647">
            <v>54866</v>
          </cell>
        </row>
        <row r="648">
          <cell r="A648" t="str">
            <v>3171503022 Reversao Prov Assist Medica Hospitalar Aposentados</v>
          </cell>
          <cell r="B648">
            <v>-66451.75</v>
          </cell>
        </row>
        <row r="649">
          <cell r="A649" t="str">
            <v>3171503030 Assistencia Odontologica (Realizado)</v>
          </cell>
          <cell r="B649">
            <v>64946.98</v>
          </cell>
        </row>
        <row r="650">
          <cell r="A650" t="str">
            <v>3171503035 Participacao dos Empregados Assist Odontologica</v>
          </cell>
          <cell r="B650">
            <v>-3268.82</v>
          </cell>
        </row>
        <row r="651">
          <cell r="A651" t="str">
            <v>3171503040 Despesas Medicas e Hospitalares (Realizado)</v>
          </cell>
          <cell r="B651">
            <v>19379.77</v>
          </cell>
        </row>
        <row r="652">
          <cell r="A652" t="str">
            <v>3171504010 Desenv Prof-Cursos (Realizado)</v>
          </cell>
          <cell r="B652">
            <v>13156.85</v>
          </cell>
        </row>
        <row r="653">
          <cell r="A653" t="str">
            <v>3171504020 Desenv Prof-Material de Consumo em Cursos (Realiz)</v>
          </cell>
          <cell r="B653">
            <v>1564.9</v>
          </cell>
        </row>
        <row r="654">
          <cell r="A654" t="str">
            <v>3171504030 Desenv Prof-Serviços de Tercrs em Cursos (Realiz)</v>
          </cell>
          <cell r="B654">
            <v>1110</v>
          </cell>
        </row>
        <row r="655">
          <cell r="A655" t="str">
            <v>3171504050 Desenv Prof-Transportes em Cursos (Realizado)</v>
          </cell>
          <cell r="B655">
            <v>4080.79</v>
          </cell>
        </row>
        <row r="656">
          <cell r="A656" t="str">
            <v>3171504060 Desenv Prof-Refeiçoes em Cursos (Realizado)</v>
          </cell>
          <cell r="B656">
            <v>5154.7700000000004</v>
          </cell>
        </row>
        <row r="657">
          <cell r="A657" t="str">
            <v>3171504070 Desenv Prof-Aprendiz de Menores em Cursos (Realiz)</v>
          </cell>
          <cell r="B657">
            <v>2455.1999999999998</v>
          </cell>
        </row>
        <row r="658">
          <cell r="A658" t="str">
            <v>3171505020 Desp Soc-Comemoraçoes e Eventos (Realizado)</v>
          </cell>
          <cell r="B658">
            <v>1908.06</v>
          </cell>
        </row>
        <row r="659">
          <cell r="A659" t="str">
            <v>3171505030 Desp Soc-Assistencia Social Funcionarios (Realiz)</v>
          </cell>
          <cell r="B659">
            <v>14895.93</v>
          </cell>
        </row>
        <row r="660">
          <cell r="A660" t="str">
            <v>3171505050 Desp Soc-Comunicaçao Interna (Realizado)</v>
          </cell>
          <cell r="B660">
            <v>3305</v>
          </cell>
        </row>
        <row r="661">
          <cell r="A661" t="str">
            <v>3171506010 Desp Transp-Conduçao Contratada (Realizado)</v>
          </cell>
          <cell r="B661">
            <v>457740.5</v>
          </cell>
        </row>
        <row r="662">
          <cell r="A662" t="str">
            <v>3171506015 Participaçao dos Empregados-Conduçao Contratada</v>
          </cell>
          <cell r="B662">
            <v>-6417.99</v>
          </cell>
        </row>
        <row r="663">
          <cell r="A663" t="str">
            <v>3171506020 Despesa Vale Transporte (Realizado)</v>
          </cell>
          <cell r="B663">
            <v>15363.28</v>
          </cell>
        </row>
        <row r="664">
          <cell r="A664" t="str">
            <v>3171506025 Participaçao dos Empregados-Vale Transporte</v>
          </cell>
          <cell r="B664">
            <v>-558.16</v>
          </cell>
        </row>
        <row r="665">
          <cell r="A665" t="str">
            <v>3171506030 Despesa Taxi e Conduçoes (Realizado)</v>
          </cell>
          <cell r="B665">
            <v>50445.35</v>
          </cell>
        </row>
        <row r="666">
          <cell r="A666" t="str">
            <v>3171506040 Despesa Aluguel de Veiculos (Realizado)</v>
          </cell>
          <cell r="B666">
            <v>565.16999999999996</v>
          </cell>
        </row>
        <row r="667">
          <cell r="A667" t="str">
            <v>3171507010 Despesa Refeiçoes Prontas (Realizado)</v>
          </cell>
          <cell r="B667">
            <v>225075.87</v>
          </cell>
        </row>
        <row r="668">
          <cell r="A668" t="str">
            <v>3171507015 Participaçao dos Empregados-Refeiçoes Prontas</v>
          </cell>
          <cell r="B668">
            <v>-26462.59</v>
          </cell>
        </row>
        <row r="669">
          <cell r="A669" t="str">
            <v>3171507020 Despesa Material de Consumo Refeitorio (Realiz)</v>
          </cell>
          <cell r="B669">
            <v>27502.03</v>
          </cell>
        </row>
        <row r="670">
          <cell r="A670" t="str">
            <v>3171507025 Desp Material Consumo Refeitorio Descont Func-R</v>
          </cell>
          <cell r="B670">
            <v>5676.72</v>
          </cell>
        </row>
        <row r="671">
          <cell r="A671" t="str">
            <v>3171507030 Despesa Refeiçoes-Visita e Outras (Realizado)</v>
          </cell>
          <cell r="B671">
            <v>33554.22</v>
          </cell>
        </row>
        <row r="672">
          <cell r="A672" t="str">
            <v>3171507040 Despesa Refeiçoes-Lanches Externos (Realizado)</v>
          </cell>
          <cell r="B672">
            <v>24100.42</v>
          </cell>
        </row>
        <row r="673">
          <cell r="A673" t="str">
            <v>Encargos de depreciação e amortização na DGA</v>
          </cell>
          <cell r="B673">
            <v>1936494.19</v>
          </cell>
        </row>
        <row r="674">
          <cell r="A674" t="str">
            <v>3179001010 Encarg de Deprec e Amort-Depreciaçao (Realizado)</v>
          </cell>
          <cell r="B674">
            <v>220740.54</v>
          </cell>
        </row>
        <row r="675">
          <cell r="A675" t="str">
            <v>3179001011 Encarg de Depreciaçao Mais Valia (Realizado)</v>
          </cell>
          <cell r="B675">
            <v>3635.12</v>
          </cell>
        </row>
        <row r="676">
          <cell r="A676" t="str">
            <v>3179001012 Encs de Depreciaçao Mais Valia Comb Neg(Realizado)</v>
          </cell>
          <cell r="B676">
            <v>3635.12</v>
          </cell>
        </row>
        <row r="677">
          <cell r="A677" t="str">
            <v>3179001014 Encarg de Depreciaçao do AVP (Realizado)</v>
          </cell>
          <cell r="B677">
            <v>1647.07</v>
          </cell>
        </row>
        <row r="678">
          <cell r="A678" t="str">
            <v>3179001050 Encarg de Deprec e Amort-Amortizaçao (Realizado)</v>
          </cell>
          <cell r="B678">
            <v>544743.53</v>
          </cell>
        </row>
        <row r="679">
          <cell r="A679" t="str">
            <v>3179001054 Encargs de Amortizaçao AVP (Realizado)</v>
          </cell>
          <cell r="B679">
            <v>2042.73</v>
          </cell>
        </row>
        <row r="680">
          <cell r="A680" t="str">
            <v>3179001104 Encargs de Amortizaçao Investimentos (Realizado)</v>
          </cell>
          <cell r="B680">
            <v>1160050.08</v>
          </cell>
        </row>
        <row r="681">
          <cell r="A681" t="str">
            <v>Serviços de terceiros nas DGAs</v>
          </cell>
          <cell r="B681">
            <v>2528916.6</v>
          </cell>
        </row>
        <row r="682">
          <cell r="A682" t="str">
            <v>3172001010 Serviços Prestados Advocacia p/PJ (Realizado)</v>
          </cell>
          <cell r="B682">
            <v>976193.03</v>
          </cell>
        </row>
        <row r="683">
          <cell r="A683" t="str">
            <v>3172001015 Rec Desps c/Honorarios Advocaticios (Realizado)</v>
          </cell>
          <cell r="B683">
            <v>-38212.79</v>
          </cell>
        </row>
        <row r="684">
          <cell r="A684" t="str">
            <v>3172002010 Serviços Prestados Auditoria  p/PJ (Realizado)</v>
          </cell>
          <cell r="B684">
            <v>53500</v>
          </cell>
        </row>
        <row r="685">
          <cell r="A685" t="str">
            <v>3172003010 Serviços Prestados Consultoria p/PJ (Realizado)</v>
          </cell>
          <cell r="B685">
            <v>735099.9</v>
          </cell>
        </row>
        <row r="686">
          <cell r="A686" t="str">
            <v>3172003040 Serv Prest Consultoria p/PF s/Vinc Empr (Realiz)</v>
          </cell>
          <cell r="B686">
            <v>40312.559999999998</v>
          </cell>
        </row>
        <row r="687">
          <cell r="A687" t="str">
            <v>3172007010 Serv Prest Informaçoes Cadastrais p/PJ (Realiz)</v>
          </cell>
          <cell r="B687">
            <v>47245.08</v>
          </cell>
        </row>
        <row r="688">
          <cell r="A688" t="str">
            <v>3172008010 Serv Prest Propaganda e Publicidade p/PJ (Realiz)</v>
          </cell>
          <cell r="B688">
            <v>16644.2</v>
          </cell>
        </row>
        <row r="689">
          <cell r="A689" t="str">
            <v>3172009010 Serv Prest Atualiz/Suporte Tecnico p/PJ (Realiz)</v>
          </cell>
          <cell r="B689">
            <v>174921.01</v>
          </cell>
        </row>
        <row r="690">
          <cell r="A690" t="str">
            <v>3172010010 Serviços Prestados Temporario p/PJ (Realizado)</v>
          </cell>
          <cell r="B690">
            <v>61885.23</v>
          </cell>
        </row>
        <row r="691">
          <cell r="A691" t="str">
            <v>3172011010 Serviços Prestados Limpeza p/ PJ (Realizado)</v>
          </cell>
          <cell r="B691">
            <v>15685.16</v>
          </cell>
        </row>
        <row r="692">
          <cell r="A692" t="str">
            <v>3172012010 Serviços Prestados Vigilancia PJ (Realiz)</v>
          </cell>
          <cell r="B692">
            <v>302253.8</v>
          </cell>
        </row>
        <row r="693">
          <cell r="A693" t="str">
            <v>3172018010 Serv Prest Reparos Assist Tecnica p/PJ (Realiz)</v>
          </cell>
          <cell r="B693">
            <v>41293.53</v>
          </cell>
        </row>
        <row r="694">
          <cell r="A694" t="str">
            <v>3172099010 Prest Serv Tecnicos Profissionais p/PJ (Realiz)</v>
          </cell>
          <cell r="B694">
            <v>96882.84</v>
          </cell>
        </row>
        <row r="695">
          <cell r="A695" t="str">
            <v>3172099040 Serv Prest Tec Profissionais p/PF s/Vin Empr (R)</v>
          </cell>
          <cell r="B695">
            <v>600</v>
          </cell>
        </row>
        <row r="696">
          <cell r="A696" t="str">
            <v>3172150010 Serv Prest Manutençao Civil p/PJ (Realizado)</v>
          </cell>
          <cell r="B696">
            <v>1695.05</v>
          </cell>
        </row>
        <row r="697">
          <cell r="A697" t="str">
            <v>3172199010 Serv Prest Manutençao Geral p/PJ (Realizado)</v>
          </cell>
          <cell r="B697">
            <v>2918</v>
          </cell>
        </row>
        <row r="698">
          <cell r="A698" t="str">
            <v>Outras despesas gerais administrativas</v>
          </cell>
          <cell r="B698">
            <v>1787092.95</v>
          </cell>
        </row>
        <row r="699">
          <cell r="A699" t="str">
            <v>3170801070 Mat Cons Oper-Reparo e Manutençao (Realiz)</v>
          </cell>
          <cell r="B699">
            <v>247.54</v>
          </cell>
        </row>
        <row r="700">
          <cell r="A700" t="str">
            <v>3170801100 Mat Cons Oper-Segurança (Realizado)</v>
          </cell>
          <cell r="B700">
            <v>903.78</v>
          </cell>
        </row>
        <row r="701">
          <cell r="A701" t="str">
            <v>3170801130 Mat Cons Oper-Escritorio (Realizado)</v>
          </cell>
          <cell r="B701">
            <v>9257.5</v>
          </cell>
        </row>
        <row r="702">
          <cell r="A702" t="str">
            <v>3170801140 Mat Cons Oper-Imobilizado (Realizado)</v>
          </cell>
          <cell r="B702">
            <v>400</v>
          </cell>
        </row>
        <row r="703">
          <cell r="A703" t="str">
            <v>3170802990 Materias Consumo-Manutencao em Geral (Realiz)</v>
          </cell>
          <cell r="B703">
            <v>1617.23</v>
          </cell>
        </row>
        <row r="704">
          <cell r="A704" t="str">
            <v>3171901010 Sel Recrut-Servs de Tercrs p/Seleçao e Recrut (R)</v>
          </cell>
          <cell r="B704">
            <v>480</v>
          </cell>
        </row>
        <row r="705">
          <cell r="A705" t="str">
            <v>3171902010 Despesa Viagens Nacionais (Realizado)</v>
          </cell>
          <cell r="B705">
            <v>52873.8</v>
          </cell>
        </row>
        <row r="706">
          <cell r="A706" t="str">
            <v>3171902020 Despesas Viagens Internacionais (Realizado)</v>
          </cell>
          <cell r="B706">
            <v>-19244.14</v>
          </cell>
        </row>
        <row r="707">
          <cell r="A707" t="str">
            <v>3173501020 Desp Correspondencia-Postais (Realizado)</v>
          </cell>
          <cell r="B707">
            <v>3132.58</v>
          </cell>
        </row>
        <row r="708">
          <cell r="A708" t="str">
            <v>3173505010 Desp Telec-Desp c/Telefonia Fixa (Realizado)</v>
          </cell>
          <cell r="B708">
            <v>5121.9799999999996</v>
          </cell>
        </row>
        <row r="709">
          <cell r="A709" t="str">
            <v>3173505020 Desp Telec-Desp c/Telefonia Movel (Realizado)</v>
          </cell>
          <cell r="B709">
            <v>30075.42</v>
          </cell>
        </row>
        <row r="710">
          <cell r="A710" t="str">
            <v>3173505030 Desp Telec-Desp Comun Dados EC/FC Internet(Realiz)</v>
          </cell>
          <cell r="B710">
            <v>20208.54</v>
          </cell>
        </row>
        <row r="711">
          <cell r="A711" t="str">
            <v>3173505040 Desp Telec-Desp Comum Dados Internet (Realizado)</v>
          </cell>
          <cell r="B711">
            <v>8809.23</v>
          </cell>
        </row>
        <row r="712">
          <cell r="A712" t="str">
            <v>3173505060 Desp Telec-Desp Comum Dados Banda Larga(Realizado)</v>
          </cell>
          <cell r="B712">
            <v>955.25</v>
          </cell>
        </row>
        <row r="713">
          <cell r="A713" t="str">
            <v>3173505070 Desp Telec-Desp Comum Dados Video Conferen(Realiz)</v>
          </cell>
          <cell r="B713">
            <v>1272.6400000000001</v>
          </cell>
        </row>
        <row r="714">
          <cell r="A714" t="str">
            <v>3174001020 DLF-Desp Escritur Procuraçoes e Contratos (Realiz)</v>
          </cell>
          <cell r="B714">
            <v>99660.2</v>
          </cell>
        </row>
        <row r="715">
          <cell r="A715" t="str">
            <v>3174001030 DLF-Desp Autenticidade Reconhecde Firmas (Realiz)</v>
          </cell>
          <cell r="B715">
            <v>5788.3</v>
          </cell>
        </row>
        <row r="716">
          <cell r="A716" t="str">
            <v>3174001040 DLF-Desp c/ Custas Judiciais (Realizado)</v>
          </cell>
          <cell r="B716">
            <v>16598.96</v>
          </cell>
        </row>
        <row r="717">
          <cell r="A717" t="str">
            <v>3174001990 DLF-Outras Despesas Legais (Realizado)</v>
          </cell>
          <cell r="B717">
            <v>50813.85</v>
          </cell>
        </row>
        <row r="718">
          <cell r="A718" t="str">
            <v>3174002010 DITC-Contribuiçao Sindical Patronal (Realizado)</v>
          </cell>
          <cell r="B718">
            <v>3338.82</v>
          </cell>
        </row>
        <row r="719">
          <cell r="A719" t="str">
            <v>3174002020 DITC-Predial e Territorial (Realizado)</v>
          </cell>
          <cell r="B719">
            <v>375346.53</v>
          </cell>
        </row>
        <row r="720">
          <cell r="A720" t="str">
            <v>3174002021 DITC-Provisao Imposto Predial Territorial (Realiz)</v>
          </cell>
          <cell r="B720">
            <v>25468</v>
          </cell>
        </row>
        <row r="721">
          <cell r="A721" t="str">
            <v>3174002040 DITC-ICMS s/Aquisiçao de Imobilizado (Realizado)</v>
          </cell>
          <cell r="B721">
            <v>1013.45</v>
          </cell>
        </row>
        <row r="722">
          <cell r="A722" t="str">
            <v>3174002060 DITC-Txs Municipais,Estaduais,Federais (Realizado)</v>
          </cell>
          <cell r="B722">
            <v>4397.01</v>
          </cell>
        </row>
        <row r="723">
          <cell r="A723" t="str">
            <v>3175001010 Desp Seguro-Automoveis (Realizado)</v>
          </cell>
          <cell r="B723">
            <v>10516</v>
          </cell>
        </row>
        <row r="724">
          <cell r="A724" t="str">
            <v>3175001020 Desp Seguro-Responsabilidade Civil (Realizado)</v>
          </cell>
          <cell r="B724">
            <v>115755.02</v>
          </cell>
        </row>
        <row r="725">
          <cell r="A725" t="str">
            <v>3175001030 Desp Seguro-Risco Nomeado (Realizado)</v>
          </cell>
          <cell r="B725">
            <v>293354.5</v>
          </cell>
        </row>
        <row r="726">
          <cell r="A726" t="str">
            <v>3175001040 Desp Seguro-Riscos Diversos (Realizado)</v>
          </cell>
          <cell r="B726">
            <v>1036.24</v>
          </cell>
        </row>
        <row r="727">
          <cell r="A727" t="str">
            <v>3175001050 Desp Seguro-Ambiental (Realizado)</v>
          </cell>
          <cell r="B727">
            <v>24666.67</v>
          </cell>
        </row>
        <row r="728">
          <cell r="A728" t="str">
            <v>3176001010 Desp Real Even-Semi Fora da Cia Gestao (Realizado)</v>
          </cell>
          <cell r="B728">
            <v>5860</v>
          </cell>
        </row>
        <row r="729">
          <cell r="A729" t="str">
            <v>3176002010 Desp Eventos Marketing (Realizado)</v>
          </cell>
          <cell r="B729">
            <v>300</v>
          </cell>
        </row>
        <row r="730">
          <cell r="A730" t="str">
            <v>3176002020 Desp c/Marketing-Relaçoes Publicas (Realizado)</v>
          </cell>
          <cell r="B730">
            <v>23654.26</v>
          </cell>
        </row>
        <row r="731">
          <cell r="A731" t="str">
            <v>3176002030 Desp c/Marketing-Patrocinios (Realizado)</v>
          </cell>
          <cell r="B731">
            <v>5520</v>
          </cell>
        </row>
        <row r="732">
          <cell r="A732" t="str">
            <v>3176002040 Desp c/Marketing-Programa Fabrica Aberta (Realiz)</v>
          </cell>
          <cell r="B732">
            <v>520</v>
          </cell>
        </row>
        <row r="733">
          <cell r="A733" t="str">
            <v>3178001990 DPC Ind-Outras Contrib/Doaçoes Indeduts (Realiz)</v>
          </cell>
          <cell r="B733">
            <v>8690.69</v>
          </cell>
        </row>
        <row r="734">
          <cell r="A734" t="str">
            <v>3178002050 DPC Ded-Contrib a Entidades de Classes (Realizado)</v>
          </cell>
          <cell r="B734">
            <v>216530.13</v>
          </cell>
        </row>
        <row r="735">
          <cell r="A735" t="str">
            <v>3178002990 DPC Ded-Outras Contrib e Doaçoes Dedutivs (Realiz)</v>
          </cell>
          <cell r="B735">
            <v>35000</v>
          </cell>
        </row>
        <row r="736">
          <cell r="A736" t="str">
            <v>3179905040 Desp Alug/Loc.Oper-Equip Impressao/Copias(Realiz)</v>
          </cell>
          <cell r="B736">
            <v>45443.08</v>
          </cell>
        </row>
        <row r="737">
          <cell r="A737" t="str">
            <v>3179905050 Desp Alug/Loc.Oper-Loc de Equip Telefonia(Realiz)</v>
          </cell>
          <cell r="B737">
            <v>10938.81</v>
          </cell>
        </row>
        <row r="738">
          <cell r="A738" t="str">
            <v>3179905100 Desp Alug/Loc.Oper-Aluguel de Imovel (Realizado)</v>
          </cell>
          <cell r="B738">
            <v>207638.9</v>
          </cell>
        </row>
        <row r="739">
          <cell r="A739" t="str">
            <v>3179910010 Assin L.IT.J.R-Ass de Jornais e Revistas (Realiz)</v>
          </cell>
          <cell r="B739">
            <v>1539.1</v>
          </cell>
        </row>
        <row r="740">
          <cell r="A740" t="str">
            <v>3179910030 Assin L.IT.J.R-Ass Livros/Inform Tecnicos (Realiz)</v>
          </cell>
          <cell r="B740">
            <v>16107.84</v>
          </cell>
        </row>
        <row r="741">
          <cell r="A741" t="str">
            <v>3179920010 Desp c/Veiculos-Abastecimento (Realizado)</v>
          </cell>
          <cell r="B741">
            <v>9384.01</v>
          </cell>
        </row>
        <row r="742">
          <cell r="A742" t="str">
            <v>3179920020 Desp c/Veiculos-Reparos e Manutençoes (Realizado)</v>
          </cell>
          <cell r="B742">
            <v>1725</v>
          </cell>
        </row>
        <row r="743">
          <cell r="A743" t="str">
            <v>3179920030 Desp c/Veiculos-Peças e Acessorios (Realizado)</v>
          </cell>
          <cell r="B743">
            <v>2340.2800000000002</v>
          </cell>
        </row>
        <row r="744">
          <cell r="A744" t="str">
            <v>3179920040 Desp c/Veiculos-Lavagem e Lubrificaçao (Realizado)</v>
          </cell>
          <cell r="B744">
            <v>429</v>
          </cell>
        </row>
        <row r="745">
          <cell r="A745" t="str">
            <v>3179920050 Desp c/Veiculos-Pedagio e Estacionam (Realizado)</v>
          </cell>
          <cell r="B745">
            <v>9875.1299999999992</v>
          </cell>
        </row>
        <row r="746">
          <cell r="A746" t="str">
            <v>3179920060 Desp c/Veiculos-Licenciamento (Realizado)</v>
          </cell>
          <cell r="B746">
            <v>41731.82</v>
          </cell>
        </row>
        <row r="747">
          <cell r="A747" t="str">
            <v>Outras despesas / receitas operacionais</v>
          </cell>
          <cell r="B747">
            <v>564623.1</v>
          </cell>
        </row>
        <row r="748">
          <cell r="A748" t="str">
            <v>Outras receitas operacionais</v>
          </cell>
          <cell r="B748">
            <v>93225.83</v>
          </cell>
        </row>
        <row r="749">
          <cell r="A749" t="str">
            <v>3310101010 Receita c/Dividendos Recebidos (Realizado)</v>
          </cell>
          <cell r="B749">
            <v>-651.05999999999995</v>
          </cell>
        </row>
        <row r="750">
          <cell r="A750" t="str">
            <v>3310105010 Res Liq Bx At Fixo-Rec Alienaç B/D At.Perman (R)</v>
          </cell>
          <cell r="B750">
            <v>-17813.330000000002</v>
          </cell>
        </row>
        <row r="751">
          <cell r="A751" t="str">
            <v>3310105020 (-)R Liq Bx At Fix-Vlr Contabil B/D Baixados (R)</v>
          </cell>
          <cell r="B751">
            <v>82191.820000000007</v>
          </cell>
        </row>
        <row r="752">
          <cell r="A752" t="str">
            <v>3310105021 (-)R Liq Bx A Fix-Vr Contab B/D Baixados MV(R)</v>
          </cell>
          <cell r="B752">
            <v>14749.2</v>
          </cell>
        </row>
        <row r="753">
          <cell r="A753" t="str">
            <v>3310105022 (-)R Liq Bx A Fix-Vr Contab B/D Baixados MVCN(R)</v>
          </cell>
          <cell r="B753">
            <v>14749.2</v>
          </cell>
        </row>
        <row r="754">
          <cell r="A754" t="str">
            <v>Outras despesas operacionais</v>
          </cell>
          <cell r="B754">
            <v>471397.27</v>
          </cell>
        </row>
        <row r="755">
          <cell r="A755" t="str">
            <v>3310110020 Desp c/Proc Trabalhista (Realizado)</v>
          </cell>
          <cell r="B755">
            <v>44.26</v>
          </cell>
        </row>
        <row r="756">
          <cell r="A756" t="str">
            <v>3310140010 Desp n Cor Multas Indedutiveis (Realizado)</v>
          </cell>
          <cell r="B756">
            <v>278133.8</v>
          </cell>
        </row>
        <row r="757">
          <cell r="A757" t="str">
            <v>3310190011 Provisao Perdas em Opercao Credito-PCLD</v>
          </cell>
          <cell r="B757">
            <v>193219.21</v>
          </cell>
        </row>
        <row r="758">
          <cell r="A758" t="str">
            <v>Resultado de equivalência patrimonial</v>
          </cell>
          <cell r="B758">
            <v>5975043.4199999999</v>
          </cell>
        </row>
        <row r="759">
          <cell r="A759" t="str">
            <v>3310201020 Result Negativo Paticipacoes Societarias (R)</v>
          </cell>
          <cell r="B759">
            <v>5975043.4199999999</v>
          </cell>
        </row>
        <row r="760">
          <cell r="A760" t="str">
            <v>Resultado financeiro</v>
          </cell>
          <cell r="B760">
            <v>8890037.2200000007</v>
          </cell>
        </row>
        <row r="761">
          <cell r="A761" t="str">
            <v>Receitas financeiras</v>
          </cell>
          <cell r="B761">
            <v>-5133262.32</v>
          </cell>
        </row>
        <row r="762">
          <cell r="A762" t="str">
            <v>Receita de equivalentes de caixa e TVM</v>
          </cell>
          <cell r="B762">
            <v>-4349282.08</v>
          </cell>
        </row>
        <row r="763">
          <cell r="A763" t="str">
            <v>3510101010 Rec Financ-Juros s/Aplic Financeiras (Realizado)</v>
          </cell>
          <cell r="B763">
            <v>-4349282.08</v>
          </cell>
        </row>
        <row r="764">
          <cell r="A764" t="str">
            <v>Outras receitas financeiras</v>
          </cell>
          <cell r="B764">
            <v>-783980.24</v>
          </cell>
        </row>
        <row r="765">
          <cell r="A765" t="str">
            <v>3510101090 Rec Financ-Juros s/Capital Proprio (Realizado)</v>
          </cell>
          <cell r="B765">
            <v>-23207.9</v>
          </cell>
        </row>
        <row r="766">
          <cell r="A766" t="str">
            <v>3510101990 Rec Financ-Juros s/Outros Ativos (Realizado)</v>
          </cell>
          <cell r="B766">
            <v>-1934.19</v>
          </cell>
        </row>
        <row r="767">
          <cell r="A767" t="str">
            <v>3510102011 Rec Financ-Prov Var Monet s/ Depositos Judiciais</v>
          </cell>
          <cell r="B767">
            <v>-517783.43</v>
          </cell>
        </row>
        <row r="768">
          <cell r="A768" t="str">
            <v>3510102020 Rec Financ-Var Monet s/Impostos a Recup. (Realiza)</v>
          </cell>
          <cell r="B768">
            <v>-50630.45</v>
          </cell>
        </row>
        <row r="769">
          <cell r="A769" t="str">
            <v>3510102990 Rec Finan-Var Monetaria s/Outros Ativos(Realizado)</v>
          </cell>
          <cell r="B769">
            <v>-61555.54</v>
          </cell>
        </row>
        <row r="770">
          <cell r="A770" t="str">
            <v>3510103010 Rec Financ-Encargos s/Cobrança Duplic(Realizado)</v>
          </cell>
          <cell r="B770">
            <v>-38480.629999999997</v>
          </cell>
        </row>
        <row r="771">
          <cell r="A771" t="str">
            <v>3510103030 Rec Financ-Descontos Obtidos (Realizado)</v>
          </cell>
          <cell r="B771">
            <v>-14239.07</v>
          </cell>
        </row>
        <row r="772">
          <cell r="A772" t="str">
            <v>3510105010 Rec Financ-Bonificaçoes s/Adm Apolice (Realizado)</v>
          </cell>
          <cell r="B772">
            <v>-343.92</v>
          </cell>
        </row>
        <row r="773">
          <cell r="A773" t="str">
            <v>3510106014 Rec Financ-Cont.AVP/ICMS Recup s/Aquis de At.Fixo</v>
          </cell>
          <cell r="B773">
            <v>-70311.100000000006</v>
          </cell>
        </row>
        <row r="774">
          <cell r="A774" t="str">
            <v>3510199990 Rec Financ-Demais Receitas Financeiras (Realizado)</v>
          </cell>
          <cell r="B774">
            <v>-5494.01</v>
          </cell>
        </row>
        <row r="775">
          <cell r="A775" t="str">
            <v>Despesas financeiras</v>
          </cell>
          <cell r="B775">
            <v>14023299.539999999</v>
          </cell>
        </row>
        <row r="776">
          <cell r="A776" t="str">
            <v>Juros de empréstimos e financiamentos</v>
          </cell>
          <cell r="B776">
            <v>12830529.49</v>
          </cell>
        </row>
        <row r="777">
          <cell r="A777" t="str">
            <v>3510201010 (-)Desp Financ-Juros s/Emprestimos (Realizado)</v>
          </cell>
          <cell r="B777">
            <v>12830529.49</v>
          </cell>
        </row>
        <row r="778">
          <cell r="A778" t="str">
            <v>Variações cambiais passivas sobre empréstimos</v>
          </cell>
          <cell r="B778">
            <v>589108.43000000005</v>
          </cell>
        </row>
        <row r="779">
          <cell r="A779" t="str">
            <v>3530102040 Var C Liq Pas-Perda Va rCamb s/Empres Exterior(R)</v>
          </cell>
          <cell r="B779">
            <v>589108.43000000005</v>
          </cell>
        </row>
        <row r="780">
          <cell r="A780" t="str">
            <v>Variações cambiais passivas s/ exig. exterior</v>
          </cell>
          <cell r="B780">
            <v>117456.64</v>
          </cell>
        </row>
        <row r="781">
          <cell r="A781" t="str">
            <v>3530102010 Var C Liq Pas-Ganho Var Camb s/Exigiv Exterior(R)</v>
          </cell>
          <cell r="B781">
            <v>-256.31</v>
          </cell>
        </row>
        <row r="782">
          <cell r="A782" t="str">
            <v>3530102020 Var C Liq Pas-Perda Var Camb s/Exigiv Exterior(R)</v>
          </cell>
          <cell r="B782">
            <v>117712.95</v>
          </cell>
        </row>
        <row r="783">
          <cell r="A783" t="str">
            <v>Outras despesas financeiras</v>
          </cell>
          <cell r="B783">
            <v>486204.98</v>
          </cell>
        </row>
        <row r="784">
          <cell r="A784" t="str">
            <v>3510201020 (-)Desp Financ-Juros s/Pgtos em Atraso (Realizado)</v>
          </cell>
          <cell r="B784">
            <v>23884.32</v>
          </cell>
        </row>
        <row r="785">
          <cell r="A785" t="str">
            <v>3510201990 (-)Desp Financ-Juros s/Outros Passivos (Realizado)</v>
          </cell>
          <cell r="B785">
            <v>1299.83</v>
          </cell>
        </row>
        <row r="786">
          <cell r="A786" t="str">
            <v>3510202990 Desp Financ-Var Monet s/Outros Passivos(Realizado)</v>
          </cell>
          <cell r="B786">
            <v>119.31</v>
          </cell>
        </row>
        <row r="787">
          <cell r="A787" t="str">
            <v>3510202991 Desp Financ-Prov Var Monetaria s/Contingencias</v>
          </cell>
          <cell r="B787">
            <v>34247.949999999997</v>
          </cell>
        </row>
        <row r="788">
          <cell r="A788" t="str">
            <v>3510203500 Desp Financ-Encarg/Outros-I.O.C / I.O.F(Realizado)</v>
          </cell>
          <cell r="B788">
            <v>8.2899999999999991</v>
          </cell>
        </row>
        <row r="789">
          <cell r="A789" t="str">
            <v>3510204010 Desp Financ-EFE-Comissoes s/Aquis Empres Amort(R)</v>
          </cell>
          <cell r="B789">
            <v>338061.74</v>
          </cell>
        </row>
        <row r="790">
          <cell r="A790" t="str">
            <v>3510205020 Desp Financ-Bancarias-Corretagens (Realiz)</v>
          </cell>
          <cell r="B790">
            <v>1069.8399999999999</v>
          </cell>
        </row>
        <row r="791">
          <cell r="A791" t="str">
            <v>3510205030 Desp Financ-Bancarias-Comissoes Fiança (Realiz)</v>
          </cell>
          <cell r="B791">
            <v>77851.520000000004</v>
          </cell>
        </row>
        <row r="792">
          <cell r="A792" t="str">
            <v>3510205040 Desp Financ-Bancaria-Txa Expediente (Realiz)</v>
          </cell>
          <cell r="B792">
            <v>9662.4599999999991</v>
          </cell>
        </row>
        <row r="793">
          <cell r="A793" t="str">
            <v>3510299990 Demais Despesas Financeiras (Realizado)</v>
          </cell>
          <cell r="B793">
            <v>-0.28000000000000003</v>
          </cell>
        </row>
        <row r="794">
          <cell r="A794" t="str">
            <v>Imposto de renda e constribuição social</v>
          </cell>
          <cell r="B794">
            <v>9028122.5700000003</v>
          </cell>
        </row>
        <row r="795">
          <cell r="A795" t="str">
            <v>Corrente</v>
          </cell>
          <cell r="B795">
            <v>9793793.9100000001</v>
          </cell>
        </row>
        <row r="796">
          <cell r="A796" t="str">
            <v>3910101011 (-)Prov CSLL/Exerc.Corrente-CSLL Ajustado (Realiz)</v>
          </cell>
          <cell r="B796">
            <v>2537028.2599999998</v>
          </cell>
        </row>
        <row r="797">
          <cell r="A797" t="str">
            <v>3920101011 (-)Prov IRPJ/Exerc.Correne-IRPJ s/Lucro Real</v>
          </cell>
          <cell r="B797">
            <v>7256765.6500000004</v>
          </cell>
        </row>
        <row r="798">
          <cell r="A798" t="str">
            <v>Diferido</v>
          </cell>
          <cell r="B798">
            <v>-765671.34</v>
          </cell>
        </row>
        <row r="799">
          <cell r="A799" t="str">
            <v>3910101021 (-)Prov CSLL/Exerc.Corrente-CSLL Diferido Ativos</v>
          </cell>
          <cell r="B799">
            <v>-202675.75</v>
          </cell>
        </row>
        <row r="800">
          <cell r="A800" t="str">
            <v>3920101021 (-)Prov IRPJ/Exerc.Corrente-IRPJ Diferido Ativos</v>
          </cell>
          <cell r="B800">
            <v>-562995.59</v>
          </cell>
        </row>
      </sheetData>
      <sheetData sheetId="2" refreshError="1">
        <row r="1">
          <cell r="A1" t="str">
            <v>MARÇO - 2 0 1 5</v>
          </cell>
          <cell r="B1" t="str">
            <v xml:space="preserve">       TotPerRel.</v>
          </cell>
        </row>
        <row r="2">
          <cell r="A2" t="str">
            <v>ATIVO</v>
          </cell>
          <cell r="B2">
            <v>1738084871.29</v>
          </cell>
        </row>
        <row r="3">
          <cell r="A3" t="str">
            <v>CIRCULANTE</v>
          </cell>
          <cell r="B3">
            <v>396991269.87</v>
          </cell>
        </row>
        <row r="4">
          <cell r="A4" t="str">
            <v>CAIXA E EQUIVALENTE DE CAIXA</v>
          </cell>
          <cell r="B4">
            <v>171080885.55000001</v>
          </cell>
        </row>
        <row r="5">
          <cell r="A5" t="str">
            <v>Recursos em caixa e contas correntes bancária</v>
          </cell>
          <cell r="B5">
            <v>2208696.37</v>
          </cell>
        </row>
        <row r="6">
          <cell r="A6" t="str">
            <v>1110102030 Banco Itau (Realizado)</v>
          </cell>
          <cell r="B6">
            <v>589415.6</v>
          </cell>
        </row>
        <row r="7">
          <cell r="A7" t="str">
            <v>1110102031 Banco Itau (Transitorias - Entradas)</v>
          </cell>
          <cell r="B7">
            <v>-3270.63</v>
          </cell>
        </row>
        <row r="8">
          <cell r="A8" t="str">
            <v>1110102040 Banco Santander (Realizado)</v>
          </cell>
          <cell r="B8">
            <v>144825.82999999999</v>
          </cell>
        </row>
        <row r="9">
          <cell r="A9" t="str">
            <v>1110102080 Banco Votorantin (Realizado)</v>
          </cell>
          <cell r="B9">
            <v>1175.52</v>
          </cell>
        </row>
        <row r="10">
          <cell r="A10" t="str">
            <v>1110102100 Banco Pactual S.A.(Realizado)</v>
          </cell>
          <cell r="B10">
            <v>1759.2</v>
          </cell>
        </row>
        <row r="11">
          <cell r="A11" t="str">
            <v>1110102120 Banco Alfa de Investimentos S.A. (Realizado)</v>
          </cell>
          <cell r="B11">
            <v>5772.25</v>
          </cell>
        </row>
        <row r="12">
          <cell r="A12" t="str">
            <v>1110102210 Banco do Brasil  (Realizado)</v>
          </cell>
          <cell r="B12">
            <v>135490.92000000001</v>
          </cell>
        </row>
        <row r="13">
          <cell r="A13" t="str">
            <v>1110102220 Banco Bradesco (Realizado)</v>
          </cell>
          <cell r="B13">
            <v>724.08</v>
          </cell>
        </row>
        <row r="14">
          <cell r="A14" t="str">
            <v>1110102240 Banco Santander (Realizado)</v>
          </cell>
          <cell r="B14">
            <v>445.63</v>
          </cell>
        </row>
        <row r="15">
          <cell r="A15" t="str">
            <v>1110102250 Caixa Economica Federal (Realizado)</v>
          </cell>
          <cell r="B15">
            <v>599.67999999999995</v>
          </cell>
        </row>
        <row r="16">
          <cell r="A16" t="str">
            <v>1110102270 Banco Safra (Realizado)</v>
          </cell>
          <cell r="B16">
            <v>971.05</v>
          </cell>
        </row>
        <row r="17">
          <cell r="A17" t="str">
            <v>1110102290 Banco Paulista (Realizado)</v>
          </cell>
          <cell r="B17">
            <v>624.41</v>
          </cell>
        </row>
        <row r="18">
          <cell r="A18" t="str">
            <v>1110102320 Banco Bradesco (Realizado)</v>
          </cell>
          <cell r="B18">
            <v>1329351.94</v>
          </cell>
        </row>
        <row r="19">
          <cell r="A19" t="str">
            <v>1110102350 Caixa Economica Federal (Realizado)</v>
          </cell>
          <cell r="B19">
            <v>810.89</v>
          </cell>
        </row>
        <row r="20">
          <cell r="A20" t="str">
            <v>Aplicações Financeiras (CDBs)</v>
          </cell>
          <cell r="B20">
            <v>168872189.18000001</v>
          </cell>
        </row>
        <row r="21">
          <cell r="A21" t="str">
            <v>1110105010 Aplicaçoes Financeiras (Realizado)</v>
          </cell>
          <cell r="B21">
            <v>168872189.18000001</v>
          </cell>
        </row>
        <row r="22">
          <cell r="A22" t="str">
            <v>APLICAÇÕES FINANCEIRAS</v>
          </cell>
          <cell r="B22">
            <v>95463770.939999998</v>
          </cell>
        </row>
        <row r="23">
          <cell r="A23" t="str">
            <v>Mantidos para negociação</v>
          </cell>
          <cell r="B23">
            <v>95463770.939999998</v>
          </cell>
        </row>
        <row r="24">
          <cell r="A24" t="str">
            <v>1110201010 Tits do Merc de Cap Inter Mant p/ Neg (Realizado)</v>
          </cell>
          <cell r="B24">
            <v>95463770.939999998</v>
          </cell>
        </row>
        <row r="25">
          <cell r="A25" t="str">
            <v>Mantidos até o vencimento</v>
          </cell>
          <cell r="B25">
            <v>0</v>
          </cell>
        </row>
        <row r="26">
          <cell r="A26" t="str">
            <v>1110201020 Tits do Merc de Cap Inter Mant ate Ven (Realizado)</v>
          </cell>
          <cell r="B26">
            <v>0</v>
          </cell>
        </row>
        <row r="27">
          <cell r="A27" t="str">
            <v>DUPLICATAS A RECEBER DE CLIENTES</v>
          </cell>
          <cell r="B27">
            <v>85399162.159999996</v>
          </cell>
        </row>
        <row r="28">
          <cell r="A28" t="str">
            <v>Clientes nacionais</v>
          </cell>
          <cell r="B28">
            <v>99216455.459999993</v>
          </cell>
        </row>
        <row r="29">
          <cell r="A29" t="str">
            <v>1110501010 Duplicatas a Receber no MI  (Realizado)</v>
          </cell>
          <cell r="B29">
            <v>100478988.78</v>
          </cell>
        </row>
        <row r="30">
          <cell r="A30" t="str">
            <v>1110501011 Duplicatas a Receber no MI (Parcela de CP / LP)</v>
          </cell>
          <cell r="B30">
            <v>-1162635.1599999999</v>
          </cell>
        </row>
        <row r="31">
          <cell r="A31" t="str">
            <v>1110501014 (-)Rec Financeira a apropriar s/Dups a Rec no MI</v>
          </cell>
          <cell r="B31">
            <v>-99898.16</v>
          </cell>
        </row>
        <row r="32">
          <cell r="A32" t="str">
            <v>PCLD</v>
          </cell>
          <cell r="B32">
            <v>-13817293.300000001</v>
          </cell>
        </row>
        <row r="33">
          <cell r="A33" t="str">
            <v>1110501900 (-) Provisões para Créditos de Liquidação Duvidosa</v>
          </cell>
          <cell r="B33">
            <v>-13817293.300000001</v>
          </cell>
        </row>
        <row r="34">
          <cell r="A34" t="str">
            <v>IMPOSTOS A RECUPERAR</v>
          </cell>
          <cell r="B34">
            <v>12768219.140000001</v>
          </cell>
        </row>
        <row r="35">
          <cell r="A35" t="str">
            <v>Impostos de renda e CSLL</v>
          </cell>
          <cell r="B35">
            <v>479501.02</v>
          </cell>
        </row>
        <row r="36">
          <cell r="A36" t="str">
            <v>1111506020 IRRF sobre Aplicaçoes Financeiras (Realizado)</v>
          </cell>
          <cell r="B36">
            <v>440088.49</v>
          </cell>
        </row>
        <row r="37">
          <cell r="A37" t="str">
            <v>1111506990 Cred Fisc IRPJ Sdo Negativo Per Anterior (Realiz)</v>
          </cell>
          <cell r="B37">
            <v>39412.53</v>
          </cell>
        </row>
        <row r="38">
          <cell r="A38" t="str">
            <v>ICMS a recuperar</v>
          </cell>
          <cell r="B38">
            <v>2024193.8</v>
          </cell>
        </row>
        <row r="39">
          <cell r="A39" t="str">
            <v>1111507010 ICMS a Recup sobre Ativo Permanente (Realizado)</v>
          </cell>
          <cell r="B39">
            <v>2345904.2799999998</v>
          </cell>
        </row>
        <row r="40">
          <cell r="A40" t="str">
            <v>1111507014 (-)AVP sobre ICMS a Recup sobre Ativo Permanente</v>
          </cell>
          <cell r="B40">
            <v>-321710.48</v>
          </cell>
        </row>
        <row r="41">
          <cell r="A41" t="str">
            <v>INSS a compensar</v>
          </cell>
          <cell r="B41">
            <v>5440982.8600000003</v>
          </cell>
        </row>
        <row r="42">
          <cell r="A42" t="str">
            <v>1111599070 INSS a Compensar  - Decisão Judicial (Realizado)</v>
          </cell>
          <cell r="B42">
            <v>5440982.8600000003</v>
          </cell>
        </row>
        <row r="43">
          <cell r="A43" t="str">
            <v>PIS a compensar Lei nº 9.715</v>
          </cell>
          <cell r="B43">
            <v>3129683.03</v>
          </cell>
        </row>
        <row r="44">
          <cell r="A44" t="str">
            <v>1111599000 PIS a Compensar Lei 9715 (Realizado)</v>
          </cell>
          <cell r="B44">
            <v>3129683.03</v>
          </cell>
        </row>
        <row r="45">
          <cell r="A45" t="str">
            <v>Outros</v>
          </cell>
          <cell r="B45">
            <v>1693858.43</v>
          </cell>
        </row>
        <row r="46">
          <cell r="A46" t="str">
            <v>1111599010 Imp Import a Rec-Recolhimento em Dupl (Realiz)</v>
          </cell>
          <cell r="B46">
            <v>232231.19</v>
          </cell>
        </row>
        <row r="47">
          <cell r="A47" t="str">
            <v>1111599020 INSS a Rec-Recolhimento em Duplicidade (Realizado)</v>
          </cell>
          <cell r="B47">
            <v>137299.53</v>
          </cell>
        </row>
        <row r="48">
          <cell r="A48" t="str">
            <v>1111599030 Adic Estadual doImposto de Renda a Rec (Realizado)</v>
          </cell>
          <cell r="B48">
            <v>1251533.5</v>
          </cell>
        </row>
        <row r="49">
          <cell r="A49" t="str">
            <v>1111599040 FINSOCIAL 1982/83 (Realizado)</v>
          </cell>
          <cell r="B49">
            <v>67054.64</v>
          </cell>
        </row>
        <row r="50">
          <cell r="A50" t="str">
            <v>1111599050 IRRF Tercs Ret a Maior (Realizado)</v>
          </cell>
          <cell r="B50">
            <v>0</v>
          </cell>
        </row>
        <row r="51">
          <cell r="A51" t="str">
            <v>1111599060 PIS/COF/COF Ret a maior (Realizado)</v>
          </cell>
          <cell r="B51">
            <v>0</v>
          </cell>
        </row>
        <row r="52">
          <cell r="A52" t="str">
            <v>1111599080 ISS a restituir</v>
          </cell>
          <cell r="B52">
            <v>5739.52</v>
          </cell>
        </row>
        <row r="53">
          <cell r="A53" t="str">
            <v>1111599100 Recuperação de Impostos Federais - Reintegra</v>
          </cell>
          <cell r="B53">
            <v>0.05</v>
          </cell>
        </row>
        <row r="54">
          <cell r="A54" t="str">
            <v>ESTOQUES</v>
          </cell>
          <cell r="B54">
            <v>21768439.399999999</v>
          </cell>
        </row>
        <row r="55">
          <cell r="A55" t="str">
            <v>Matérias-primas</v>
          </cell>
          <cell r="B55">
            <v>48672.09</v>
          </cell>
        </row>
        <row r="56">
          <cell r="A56" t="str">
            <v>1112001010 Estoques de Materias Primas (Realizado)</v>
          </cell>
          <cell r="B56">
            <v>0</v>
          </cell>
        </row>
        <row r="57">
          <cell r="A57" t="str">
            <v>1112090010 Importaçoes em And de Materias Primas (Realizado)</v>
          </cell>
          <cell r="B57">
            <v>48672.09</v>
          </cell>
        </row>
        <row r="58">
          <cell r="A58" t="str">
            <v>Produtos em processo</v>
          </cell>
          <cell r="B58">
            <v>11352015.73</v>
          </cell>
        </row>
        <row r="59">
          <cell r="A59" t="str">
            <v>1112003010 Estoques de Produtos em Elaboraçao (Realizado)</v>
          </cell>
          <cell r="B59">
            <v>11352015.73</v>
          </cell>
        </row>
        <row r="60">
          <cell r="A60" t="str">
            <v>Produtos Acabados</v>
          </cell>
          <cell r="B60">
            <v>4553313.46</v>
          </cell>
        </row>
        <row r="61">
          <cell r="A61" t="str">
            <v>1112010010 Estoques de Produtos Acabados (Realizado)</v>
          </cell>
          <cell r="B61">
            <v>4520219.92</v>
          </cell>
        </row>
        <row r="62">
          <cell r="A62" t="str">
            <v>1112050010 Estoques de Mercadorias Rev Nacionais (Realizado)</v>
          </cell>
          <cell r="B62">
            <v>32723.71</v>
          </cell>
        </row>
        <row r="63">
          <cell r="A63" t="str">
            <v>1112050020 Estoques de Mercadorias Rev Importadas (Realizado)</v>
          </cell>
          <cell r="B63">
            <v>369.83</v>
          </cell>
        </row>
        <row r="64">
          <cell r="A64" t="str">
            <v>Provisão para desvalorização</v>
          </cell>
          <cell r="B64">
            <v>-1971697.21</v>
          </cell>
        </row>
        <row r="65">
          <cell r="A65" t="str">
            <v>1112010014 (-)Prov p/ Aj. do Est ao Vlr de Merc - Prods Acab</v>
          </cell>
          <cell r="B65">
            <v>-1971697.21</v>
          </cell>
        </row>
        <row r="66">
          <cell r="A66" t="str">
            <v>Materiais auxiliares e embalagens</v>
          </cell>
          <cell r="B66">
            <v>1973351.52</v>
          </cell>
        </row>
        <row r="67">
          <cell r="A67" t="str">
            <v>1112005010 Estoques de Insumos (Mat-Aux) (Realiz)</v>
          </cell>
          <cell r="B67">
            <v>1825140.57</v>
          </cell>
        </row>
        <row r="68">
          <cell r="A68" t="str">
            <v>1112008010 Estoques de Materiais de Embalagens (Realizado)</v>
          </cell>
          <cell r="B68">
            <v>148210.95000000001</v>
          </cell>
        </row>
        <row r="69">
          <cell r="A69" t="str">
            <v>Materiais de manutenção e outros</v>
          </cell>
          <cell r="B69">
            <v>5812783.8099999996</v>
          </cell>
        </row>
        <row r="70">
          <cell r="A70" t="str">
            <v>1112020020 Estoque Almoxarif CP-Manutençao Eletrica (Realiz)</v>
          </cell>
          <cell r="B70">
            <v>1821834.68</v>
          </cell>
        </row>
        <row r="71">
          <cell r="A71" t="str">
            <v>1112020030 Estoque Almoxarif CP-Manutençao Mecanica (Realiz)</v>
          </cell>
          <cell r="B71">
            <v>5634018.8600000003</v>
          </cell>
        </row>
        <row r="72">
          <cell r="A72" t="str">
            <v>1112020050 Estoq Alm CP-Manut Calderaria e Tubulaçao (Realiz)</v>
          </cell>
          <cell r="B72">
            <v>4520457.34</v>
          </cell>
        </row>
        <row r="73">
          <cell r="A73" t="str">
            <v>1112020060 Estoque Alm CP-Manutençao Instrumentaçao (Realiz)</v>
          </cell>
          <cell r="B73">
            <v>4553618.99</v>
          </cell>
        </row>
        <row r="74">
          <cell r="A74" t="str">
            <v>1112020070 Estoque Alm CP-Manutençao Celula HG (Realizado)</v>
          </cell>
          <cell r="B74">
            <v>540600.06999999995</v>
          </cell>
        </row>
        <row r="75">
          <cell r="A75" t="str">
            <v>1112020080 Estoque Almo CP-Manut Celula Diafragma (Realizado)</v>
          </cell>
          <cell r="B75">
            <v>923161.13</v>
          </cell>
        </row>
        <row r="76">
          <cell r="A76" t="str">
            <v>1112020090 Estoque Alm CP-Manutençao Celula Membrana (Realiz)</v>
          </cell>
          <cell r="B76">
            <v>12609.25</v>
          </cell>
        </row>
        <row r="77">
          <cell r="A77" t="str">
            <v>1112020100 Estoque Alm CP-Manut.de Cilindros e Carretas R</v>
          </cell>
          <cell r="B77">
            <v>160862.94</v>
          </cell>
        </row>
        <row r="78">
          <cell r="A78" t="str">
            <v>1112020490 Estoque Almo CP-Manutençao em Geral (Realizado)</v>
          </cell>
          <cell r="B78">
            <v>814.06</v>
          </cell>
        </row>
        <row r="79">
          <cell r="A79" t="str">
            <v>1112020500 Estoque Alm CP-Almoxarifado de Uso Geral (Realiz)</v>
          </cell>
          <cell r="B79">
            <v>298121.59000000003</v>
          </cell>
        </row>
        <row r="80">
          <cell r="A80" t="str">
            <v>1112020991 Estoque Almoxarifado Transf. Parcela Realizada L.P</v>
          </cell>
          <cell r="B80">
            <v>-12756655.439999999</v>
          </cell>
        </row>
        <row r="81">
          <cell r="A81" t="str">
            <v>1112080200 Etq de Outros Mats-Almox em Poder de Ters (Realiz)</v>
          </cell>
          <cell r="B81">
            <v>103340.34</v>
          </cell>
        </row>
        <row r="82">
          <cell r="A82" t="str">
            <v>DESPESAS DE EXERCICIO SEGUINTE</v>
          </cell>
          <cell r="B82">
            <v>3227244.42</v>
          </cell>
        </row>
        <row r="83">
          <cell r="A83" t="str">
            <v>Pagamentos Antecipados</v>
          </cell>
          <cell r="B83">
            <v>3227244.42</v>
          </cell>
        </row>
        <row r="84">
          <cell r="A84" t="str">
            <v>1119001010 Pagamentos Antecipados-Seguros (Realizado)</v>
          </cell>
          <cell r="B84">
            <v>1262592.3899999999</v>
          </cell>
        </row>
        <row r="85">
          <cell r="A85" t="str">
            <v>1119001030 Pagamentos Antecip-Serv Tecnicos Prof (Realizado)</v>
          </cell>
          <cell r="B85">
            <v>143910.10999999999</v>
          </cell>
        </row>
        <row r="86">
          <cell r="A86" t="str">
            <v>1119001040 Pagamentos Antecipados-Impostos (Realizado)</v>
          </cell>
          <cell r="B86">
            <v>1713085.92</v>
          </cell>
        </row>
        <row r="87">
          <cell r="A87" t="str">
            <v>1119001900 Pagtos Antecip-Outras Desps/Custos(Realizado)</v>
          </cell>
          <cell r="B87">
            <v>107656</v>
          </cell>
        </row>
        <row r="88">
          <cell r="A88" t="str">
            <v>OUTROS ATIVOS CIRCULANTE</v>
          </cell>
          <cell r="B88">
            <v>7283548.2599999998</v>
          </cell>
        </row>
        <row r="89">
          <cell r="A89" t="str">
            <v>Adiantamento a Fornecedores</v>
          </cell>
          <cell r="B89">
            <v>1473149.72</v>
          </cell>
        </row>
        <row r="90">
          <cell r="A90" t="str">
            <v>1118001010 Adiantamentos a Fornec de Serviços (Realizado)</v>
          </cell>
          <cell r="B90">
            <v>141778.60999999999</v>
          </cell>
        </row>
        <row r="91">
          <cell r="A91" t="str">
            <v>1118001020 Adiantamentos a Fornecedores de MP (Realizado)</v>
          </cell>
          <cell r="B91">
            <v>934759.18</v>
          </cell>
        </row>
        <row r="92">
          <cell r="A92" t="str">
            <v>1118001040 Adiant  Fornecs de Materias de Consumo (Realizado)</v>
          </cell>
          <cell r="B92">
            <v>139388.67000000001</v>
          </cell>
        </row>
        <row r="93">
          <cell r="A93" t="str">
            <v>1118001050 Adiant Fornecs de Funcionarios (Realizado)</v>
          </cell>
          <cell r="B93">
            <v>28958</v>
          </cell>
        </row>
        <row r="94">
          <cell r="A94" t="str">
            <v>1118001060 Adiantamentos a Fornecedores de Fretes</v>
          </cell>
          <cell r="B94">
            <v>3470.03</v>
          </cell>
        </row>
        <row r="95">
          <cell r="A95" t="str">
            <v>1118001070 Adiantamentos a Fornecedores do Exterior</v>
          </cell>
          <cell r="B95">
            <v>224795.23</v>
          </cell>
        </row>
        <row r="96">
          <cell r="A96" t="str">
            <v>Créditos a receber na venda de ativos</v>
          </cell>
          <cell r="B96">
            <v>5243388.9400000004</v>
          </cell>
        </row>
        <row r="97">
          <cell r="A97" t="str">
            <v>1118099060 Outros Créditos- Contratos a Receber (Realizado)</v>
          </cell>
          <cell r="B97">
            <v>5243388.9400000004</v>
          </cell>
        </row>
        <row r="98">
          <cell r="A98" t="str">
            <v>Outros Créditos</v>
          </cell>
          <cell r="B98">
            <v>567009.6</v>
          </cell>
        </row>
        <row r="99">
          <cell r="A99" t="str">
            <v>1118002010 Adiantamentos a Empregados Salarios (Realizado)</v>
          </cell>
          <cell r="B99">
            <v>3688.23</v>
          </cell>
        </row>
        <row r="100">
          <cell r="A100" t="str">
            <v>1118002020 Adiantamentos a Empregados 13º Salario (Realizado)</v>
          </cell>
          <cell r="B100">
            <v>237760.58</v>
          </cell>
        </row>
        <row r="101">
          <cell r="A101" t="str">
            <v>1118002030 Adiantamentos a Empregados Ferias (Realizado)</v>
          </cell>
          <cell r="B101">
            <v>130193.14</v>
          </cell>
        </row>
        <row r="102">
          <cell r="A102" t="str">
            <v>1118002050 Adiant a Empregados Plano Auxilio Doen (Realizado)</v>
          </cell>
          <cell r="B102">
            <v>6950</v>
          </cell>
        </row>
        <row r="103">
          <cell r="A103" t="str">
            <v>1118002060 Adto a Empregados Cobertura de Sdo Devedor (R)</v>
          </cell>
          <cell r="B103">
            <v>14739.99</v>
          </cell>
        </row>
        <row r="104">
          <cell r="A104" t="str">
            <v>1118002090 Adto a Empregados Desp de Resp de Funcionario (R)</v>
          </cell>
          <cell r="B104">
            <v>6163.24</v>
          </cell>
        </row>
        <row r="105">
          <cell r="A105" t="str">
            <v>1118099020 Outros Creditos-Depositos e Cauçoes (Realizado)</v>
          </cell>
          <cell r="B105">
            <v>167514.42000000001</v>
          </cell>
        </row>
        <row r="106">
          <cell r="A106" t="str">
            <v>NÃO CIRCULANTE</v>
          </cell>
          <cell r="B106">
            <v>111327605.95</v>
          </cell>
        </row>
        <row r="107">
          <cell r="A107" t="str">
            <v>APLICAÇÕES FINANCEIRAS</v>
          </cell>
          <cell r="B107">
            <v>46435582</v>
          </cell>
        </row>
        <row r="108">
          <cell r="A108" t="str">
            <v>Mantidos para negociação</v>
          </cell>
          <cell r="B108">
            <v>46435582</v>
          </cell>
        </row>
        <row r="109">
          <cell r="A109" t="str">
            <v>1710201010 Tits do Merc de Cap Inter Mant p/ Neg  LP(R)</v>
          </cell>
          <cell r="B109">
            <v>46435582</v>
          </cell>
        </row>
        <row r="110">
          <cell r="A110" t="str">
            <v>DUPLICATAS A RECEBER DE CLIENTES</v>
          </cell>
          <cell r="B110">
            <v>1150456.76</v>
          </cell>
        </row>
        <row r="111">
          <cell r="A111" t="str">
            <v>Clientes nacionais</v>
          </cell>
          <cell r="B111">
            <v>1150456.76</v>
          </cell>
        </row>
        <row r="112">
          <cell r="A112" t="str">
            <v>1710501011 Duplicatas a Receber no MI LP (Parcela de CP / LP)</v>
          </cell>
          <cell r="B112">
            <v>1162635.1599999999</v>
          </cell>
        </row>
        <row r="113">
          <cell r="A113" t="str">
            <v>1710501014 (-)Rec Fin a apr s/ Dups a Rec no MI LP (P CP/LP)</v>
          </cell>
          <cell r="B113">
            <v>-12178.4</v>
          </cell>
        </row>
        <row r="114">
          <cell r="A114" t="str">
            <v>IMPOSTOS A RECUPERAR</v>
          </cell>
          <cell r="B114">
            <v>3059341.27</v>
          </cell>
        </row>
        <row r="115">
          <cell r="A115" t="str">
            <v>ICMS a Recuperar</v>
          </cell>
          <cell r="B115">
            <v>2791122.71</v>
          </cell>
        </row>
        <row r="116">
          <cell r="A116" t="str">
            <v>1711507010 ICMS a Recuperar s/e Ativo Permanet LP (Realizado)</v>
          </cell>
          <cell r="B116">
            <v>2919582.55</v>
          </cell>
        </row>
        <row r="117">
          <cell r="A117" t="str">
            <v>1711507014 (-)AVP s/ ICMS a Recuperar s/ Ativo Permanente LP</v>
          </cell>
          <cell r="B117">
            <v>-128459.84</v>
          </cell>
        </row>
        <row r="118">
          <cell r="A118" t="str">
            <v>Outros</v>
          </cell>
          <cell r="B118">
            <v>268218.56</v>
          </cell>
        </row>
        <row r="119">
          <cell r="A119" t="str">
            <v>1711599040 FINSOCIAL 1982/83 (Realizado)</v>
          </cell>
          <cell r="B119">
            <v>268218.56</v>
          </cell>
        </row>
        <row r="120">
          <cell r="A120" t="str">
            <v>ESTOQUES</v>
          </cell>
          <cell r="B120">
            <v>12756655.439999999</v>
          </cell>
        </row>
        <row r="121">
          <cell r="A121" t="str">
            <v>Materiais de Almoxarifado de Giro Baixo</v>
          </cell>
          <cell r="B121">
            <v>12756655.439999999</v>
          </cell>
        </row>
        <row r="122">
          <cell r="A122" t="str">
            <v>1712020991 Estoque Almoxarifado Parcela Realizada LP</v>
          </cell>
          <cell r="B122">
            <v>12756655.439999999</v>
          </cell>
        </row>
        <row r="123">
          <cell r="A123" t="str">
            <v>DEPÓSITOS JUDICIAIS</v>
          </cell>
          <cell r="B123">
            <v>47925570.479999997</v>
          </cell>
        </row>
        <row r="124">
          <cell r="A124" t="str">
            <v>Tributários</v>
          </cell>
          <cell r="B124">
            <v>8973765.4800000004</v>
          </cell>
        </row>
        <row r="125">
          <cell r="A125" t="str">
            <v>1719001010 Dep Jud s/Res Trib Fed R</v>
          </cell>
          <cell r="B125">
            <v>7912149.4699999997</v>
          </cell>
        </row>
        <row r="126">
          <cell r="A126" t="str">
            <v>1719001011 ATM Dep Jud s/Res Trib Fed R</v>
          </cell>
          <cell r="B126">
            <v>708272.24</v>
          </cell>
        </row>
        <row r="127">
          <cell r="A127" t="str">
            <v>1719001030 Depos Jud s/Reserva-Imp, Taxas e Contrib Munic (R)</v>
          </cell>
          <cell r="B127">
            <v>353343.77</v>
          </cell>
        </row>
        <row r="128">
          <cell r="A128" t="str">
            <v>Trabalhistas</v>
          </cell>
          <cell r="B128">
            <v>6074564.7999999998</v>
          </cell>
        </row>
        <row r="129">
          <cell r="A129" t="str">
            <v>1719002010 Depos Jud s/Reserva-Reclamaçoes Trab (Realizado)</v>
          </cell>
          <cell r="B129">
            <v>4319203.67</v>
          </cell>
        </row>
        <row r="130">
          <cell r="A130" t="str">
            <v>1719002030 Dep Judiciais s/Res -Previdenciarios (Realizado)</v>
          </cell>
          <cell r="B130">
            <v>1755361.13</v>
          </cell>
        </row>
        <row r="131">
          <cell r="A131" t="str">
            <v>Outros depósitos judiciais</v>
          </cell>
          <cell r="B131">
            <v>32877240.199999999</v>
          </cell>
        </row>
        <row r="132">
          <cell r="A132" t="str">
            <v>1719003990 Outros Dep Judic s/Reserva de Nat Oper (Realizado)</v>
          </cell>
          <cell r="B132">
            <v>28312269.120000001</v>
          </cell>
        </row>
        <row r="133">
          <cell r="A133" t="str">
            <v>1719003991 ATM Outros Dep Judic s/Reserva Nat Oper (Realiz)</v>
          </cell>
          <cell r="B133">
            <v>4564971.08</v>
          </cell>
        </row>
        <row r="134">
          <cell r="A134" t="str">
            <v>INVESTIMENTOS</v>
          </cell>
          <cell r="B134">
            <v>41692532.770000003</v>
          </cell>
        </row>
        <row r="135">
          <cell r="A135" t="str">
            <v>PARTICIPAÇÃO EM COLIGADA</v>
          </cell>
          <cell r="B135">
            <v>41692532.770000003</v>
          </cell>
        </row>
        <row r="136">
          <cell r="A136" t="str">
            <v>Tecsis tecnologia e sistemas avançados</v>
          </cell>
          <cell r="B136">
            <v>41692532.770000003</v>
          </cell>
        </row>
        <row r="137">
          <cell r="A137" t="str">
            <v>1720201010 Cto Part Per em Coligada ou ControladaTecsis</v>
          </cell>
          <cell r="B137">
            <v>-6951946.1399999997</v>
          </cell>
        </row>
        <row r="138">
          <cell r="A138" t="str">
            <v>1720201012 Agios em Partic Per Colig ou Control - Tecsis</v>
          </cell>
          <cell r="B138">
            <v>26896601.149999999</v>
          </cell>
        </row>
        <row r="139">
          <cell r="A139" t="str">
            <v>1720201014 Vlr Justo Ativos em Part Per Col Cont Tecsis</v>
          </cell>
          <cell r="B139">
            <v>58505815.5</v>
          </cell>
        </row>
        <row r="140">
          <cell r="A140" t="str">
            <v>1720201015 Realização Vlr Justo em Part Per Col Cont -Tecsis</v>
          </cell>
          <cell r="B140">
            <v>-13015762.02</v>
          </cell>
        </row>
        <row r="141">
          <cell r="A141" t="str">
            <v>1720201018 Ajust Aval Patrimonial em Part Per Col Cont Tecsis</v>
          </cell>
          <cell r="B141">
            <v>-23742175.719999999</v>
          </cell>
        </row>
        <row r="142">
          <cell r="A142" t="str">
            <v>IMOBILIZADO</v>
          </cell>
          <cell r="B142">
            <v>900292198.26999998</v>
          </cell>
        </row>
        <row r="143">
          <cell r="A143" t="str">
            <v>CUSTO</v>
          </cell>
          <cell r="B143">
            <v>1492112999.5799999</v>
          </cell>
        </row>
        <row r="144">
          <cell r="A144" t="str">
            <v>Terrenos</v>
          </cell>
          <cell r="B144">
            <v>247550000.00999999</v>
          </cell>
        </row>
        <row r="145">
          <cell r="A145" t="str">
            <v>1740101010 Imobilizado-Custo dos Terrenos</v>
          </cell>
          <cell r="B145">
            <v>2292264.9900000002</v>
          </cell>
        </row>
        <row r="146">
          <cell r="A146" t="str">
            <v>1740101011 Imobilizado-Mais Valia dos Terrenos</v>
          </cell>
          <cell r="B146">
            <v>122628867.51000001</v>
          </cell>
        </row>
        <row r="147">
          <cell r="A147" t="str">
            <v>1740101012 Imobilizado-Mais Valia Comb Neg dos Terrenos</v>
          </cell>
          <cell r="B147">
            <v>122628867.51000001</v>
          </cell>
        </row>
        <row r="148">
          <cell r="A148" t="str">
            <v>Edificações e construções</v>
          </cell>
          <cell r="B148">
            <v>146003044.03</v>
          </cell>
        </row>
        <row r="149">
          <cell r="A149" t="str">
            <v>1740102010 Imobilizado-Custo dos Edificios</v>
          </cell>
          <cell r="B149">
            <v>125927797.73999999</v>
          </cell>
        </row>
        <row r="150">
          <cell r="A150" t="str">
            <v>1740102011 Imobilizado-Mais Valia dos Edificios</v>
          </cell>
          <cell r="B150">
            <v>2867318.76</v>
          </cell>
        </row>
        <row r="151">
          <cell r="A151" t="str">
            <v>1740102012 Imobilizado-Mais Valia Comb Negocios dos Edificios</v>
          </cell>
          <cell r="B151">
            <v>2867318.76</v>
          </cell>
        </row>
        <row r="152">
          <cell r="A152" t="str">
            <v>1740102014 Imobilizado-Contrapartida do AVP de Edificios</v>
          </cell>
          <cell r="B152">
            <v>246130.39</v>
          </cell>
        </row>
        <row r="153">
          <cell r="A153" t="str">
            <v>1740102020 Imobilizado-Custo das Benfeitorias</v>
          </cell>
          <cell r="B153">
            <v>9745640.0999999996</v>
          </cell>
        </row>
        <row r="154">
          <cell r="A154" t="str">
            <v>1740102021 Imobilizado-Mais Valia Benfeitorias</v>
          </cell>
          <cell r="B154">
            <v>2173636.4</v>
          </cell>
        </row>
        <row r="155">
          <cell r="A155" t="str">
            <v>1740102022 Imobilizado-Mais Valia Comb Neg Benfeitorias</v>
          </cell>
          <cell r="B155">
            <v>2173636.4</v>
          </cell>
        </row>
        <row r="156">
          <cell r="A156" t="str">
            <v>1740102024 Imobilizado-Contrapartida do AVP de Beneficios</v>
          </cell>
          <cell r="B156">
            <v>1565.48</v>
          </cell>
        </row>
        <row r="157">
          <cell r="A157" t="str">
            <v>Equipamentos e Instalações</v>
          </cell>
          <cell r="B157">
            <v>1040410805.4299999</v>
          </cell>
        </row>
        <row r="158">
          <cell r="A158" t="str">
            <v>1740103010 Imobilizado-Custo de Equipamentos</v>
          </cell>
          <cell r="B158">
            <v>815082988.38</v>
          </cell>
        </row>
        <row r="159">
          <cell r="A159" t="str">
            <v>1740103011 Imobilizado-Mais Valia Equipamentos</v>
          </cell>
          <cell r="B159">
            <v>97197939.200000003</v>
          </cell>
        </row>
        <row r="160">
          <cell r="A160" t="str">
            <v>1740103012 Imobilizado-Mais Valia Comb Neg Equipamentos</v>
          </cell>
          <cell r="B160">
            <v>97197939.200000003</v>
          </cell>
        </row>
        <row r="161">
          <cell r="A161" t="str">
            <v>1740103014 Imobilizado-AVP Equipamentos</v>
          </cell>
          <cell r="B161">
            <v>8868373.8499999996</v>
          </cell>
        </row>
        <row r="162">
          <cell r="A162" t="str">
            <v>1740103020 Imobilizado-Custo dos Sobressalentes</v>
          </cell>
          <cell r="B162">
            <v>17518458.449999999</v>
          </cell>
        </row>
        <row r="163">
          <cell r="A163" t="str">
            <v>1740103021 Imobilizado-Mais Valia dos Sobressalentes</v>
          </cell>
          <cell r="B163">
            <v>2255648.7999999998</v>
          </cell>
        </row>
        <row r="164">
          <cell r="A164" t="str">
            <v>1740103022 Imobilizado-Custo dos Sobressalentes</v>
          </cell>
          <cell r="B164">
            <v>2255648.7999999998</v>
          </cell>
        </row>
        <row r="165">
          <cell r="A165" t="str">
            <v>1740105020 Imobilizado-Custo de Veiculos Fora de Estrada</v>
          </cell>
          <cell r="B165">
            <v>33808.75</v>
          </cell>
        </row>
        <row r="166">
          <cell r="A166" t="str">
            <v>Veículos</v>
          </cell>
          <cell r="B166">
            <v>1228207.99</v>
          </cell>
        </row>
        <row r="167">
          <cell r="A167" t="str">
            <v>1740105010 Imob-Custo de Veiculos de Passageiros e Carga</v>
          </cell>
          <cell r="B167">
            <v>1224371.3700000001</v>
          </cell>
        </row>
        <row r="168">
          <cell r="A168" t="str">
            <v>1740105011 Imob-Mais Valia de Veiculos de Passageiros e Carga</v>
          </cell>
          <cell r="B168">
            <v>1777.67</v>
          </cell>
        </row>
        <row r="169">
          <cell r="A169" t="str">
            <v>1740105012 Imob-Mais Valia de Veiculos de Passageiros e Carga</v>
          </cell>
          <cell r="B169">
            <v>1777.67</v>
          </cell>
        </row>
        <row r="170">
          <cell r="A170" t="str">
            <v>1740105014 Imob-AVP de Veiculos de Passageiros e Carga</v>
          </cell>
          <cell r="B170">
            <v>281.27999999999997</v>
          </cell>
        </row>
        <row r="171">
          <cell r="A171" t="str">
            <v>Móveis e utensílios</v>
          </cell>
          <cell r="B171">
            <v>12144779.390000001</v>
          </cell>
        </row>
        <row r="172">
          <cell r="A172" t="str">
            <v>1740104010 Imob-Custo de Moveis, Utensilios e Inst Comerciais</v>
          </cell>
          <cell r="B172">
            <v>12099956.550000001</v>
          </cell>
        </row>
        <row r="173">
          <cell r="A173" t="str">
            <v>1740104014 Imob-AVP de Moveis, Utensilios e Inst Comerciais</v>
          </cell>
          <cell r="B173">
            <v>44822.84</v>
          </cell>
        </row>
        <row r="174">
          <cell r="A174" t="str">
            <v>Demais bens</v>
          </cell>
          <cell r="B174">
            <v>11110958.92</v>
          </cell>
        </row>
        <row r="175">
          <cell r="A175" t="str">
            <v>1740199010 Imobilizado-Custo de Material Auxiliar Permanente</v>
          </cell>
          <cell r="B175">
            <v>2511016.21</v>
          </cell>
        </row>
        <row r="176">
          <cell r="A176" t="str">
            <v>1740199070 Imobilizado-Custo de Computadores e Perifericos</v>
          </cell>
          <cell r="B176">
            <v>8563621.0899999999</v>
          </cell>
        </row>
        <row r="177">
          <cell r="A177" t="str">
            <v>1740199074 Imobilizado- AVP de Computadores e Perifericos</v>
          </cell>
          <cell r="B177">
            <v>36321.620000000003</v>
          </cell>
        </row>
        <row r="178">
          <cell r="A178" t="str">
            <v>imobilizado em andamento</v>
          </cell>
          <cell r="B178">
            <v>33665203.810000002</v>
          </cell>
        </row>
        <row r="179">
          <cell r="A179" t="str">
            <v>1745001010 Imob Andament-Custo das Aquisiçoes p/Imob (Receb)</v>
          </cell>
          <cell r="B179">
            <v>27684632.609999999</v>
          </cell>
        </row>
        <row r="180">
          <cell r="A180" t="str">
            <v>1745001014 Contrapartida dos Aj a Vr Presente de IeA</v>
          </cell>
          <cell r="B180">
            <v>130394.33</v>
          </cell>
        </row>
        <row r="181">
          <cell r="A181" t="str">
            <v>1745001020 Imob And-Cto das Aquisiç de Sobres de Imob (Receb)</v>
          </cell>
          <cell r="B181">
            <v>64207.65</v>
          </cell>
        </row>
        <row r="182">
          <cell r="A182" t="str">
            <v>1745002030 Imob And-Cto dos Adiants p/Aquis de Imobiliz (T)</v>
          </cell>
          <cell r="B182">
            <v>1011260.54</v>
          </cell>
        </row>
        <row r="183">
          <cell r="A183" t="str">
            <v>1745099010 Imob And-Encar Fin s/ Aquis de Imob-Juros (Realiz)</v>
          </cell>
          <cell r="B183">
            <v>2754919.23</v>
          </cell>
        </row>
        <row r="184">
          <cell r="A184" t="str">
            <v>1745099030 Imob And-Encar Fin s/ Aquis de Imob-Var Cam (R)</v>
          </cell>
          <cell r="B184">
            <v>2019789.45</v>
          </cell>
        </row>
        <row r="185">
          <cell r="A185" t="str">
            <v>DEPRECIAÇÃO</v>
          </cell>
          <cell r="B185">
            <v>-591820801.30999994</v>
          </cell>
        </row>
        <row r="186">
          <cell r="A186" t="str">
            <v>Edificações e construções</v>
          </cell>
          <cell r="B186">
            <v>-45968925.210000001</v>
          </cell>
        </row>
        <row r="187">
          <cell r="A187" t="str">
            <v>1740502010 (-)Depreciaçao-Custo dos Edificios</v>
          </cell>
          <cell r="B187">
            <v>-39068952.609999999</v>
          </cell>
        </row>
        <row r="188">
          <cell r="A188" t="str">
            <v>1740502011 (-)Depreciaçao-Mais Valia Edificios</v>
          </cell>
          <cell r="B188">
            <v>-148123.84</v>
          </cell>
        </row>
        <row r="189">
          <cell r="A189" t="str">
            <v>1740502012 (-)Depreciaçao-Mais Valia Combin Neg Edificios</v>
          </cell>
          <cell r="B189">
            <v>-148123.84</v>
          </cell>
        </row>
        <row r="190">
          <cell r="A190" t="str">
            <v>1740502014 (-)Depr-Contrapartida do AVP de Edificios</v>
          </cell>
          <cell r="B190">
            <v>-31457.83</v>
          </cell>
        </row>
        <row r="191">
          <cell r="A191" t="str">
            <v>1740502020 (-)Depreciaçao-Custo das Benfeitorias</v>
          </cell>
          <cell r="B191">
            <v>-6139374.7699999996</v>
          </cell>
        </row>
        <row r="192">
          <cell r="A192" t="str">
            <v>1740502021 (-)Depreciaçao-Mais Valia Benfeitorias</v>
          </cell>
          <cell r="B192">
            <v>-216282.56</v>
          </cell>
        </row>
        <row r="193">
          <cell r="A193" t="str">
            <v>1740502022 (-)Depreciaçao-Mais Valia Combin Neg Benfeitorias</v>
          </cell>
          <cell r="B193">
            <v>-216282.56</v>
          </cell>
        </row>
        <row r="194">
          <cell r="A194" t="str">
            <v>1740502024 (-)Depr-Contrapartida do AVP de Benfeitorias</v>
          </cell>
          <cell r="B194">
            <v>-327.2</v>
          </cell>
        </row>
        <row r="195">
          <cell r="A195" t="str">
            <v>Equipamentos e Instalações</v>
          </cell>
          <cell r="B195">
            <v>-529527214.81</v>
          </cell>
        </row>
        <row r="196">
          <cell r="A196" t="str">
            <v>1740503010 (-)Depreciaçao-Custo de Equipamentos</v>
          </cell>
          <cell r="B196">
            <v>-498804137.23000002</v>
          </cell>
        </row>
        <row r="197">
          <cell r="A197" t="str">
            <v>1740503011 (-)Depreciaçao-Mais Valia Equipamentos</v>
          </cell>
          <cell r="B197">
            <v>-9099948.8599999994</v>
          </cell>
        </row>
        <row r="198">
          <cell r="A198" t="str">
            <v>1740503012 (-)Depreciaçao-Mais Valia Combin Neg Equipamentos</v>
          </cell>
          <cell r="B198">
            <v>-9099948.8599999994</v>
          </cell>
        </row>
        <row r="199">
          <cell r="A199" t="str">
            <v>1740503014 (-)Depr-Contrapartida do AVP de Equipamentos</v>
          </cell>
          <cell r="B199">
            <v>-2714470.12</v>
          </cell>
        </row>
        <row r="200">
          <cell r="A200" t="str">
            <v>1740503020 (-)Depreciaçao-Custo dos Sobressalentes</v>
          </cell>
          <cell r="B200">
            <v>-9368280.6400000006</v>
          </cell>
        </row>
        <row r="201">
          <cell r="A201" t="str">
            <v>1740503021 (-)Depreciaçao-Mais Valia Sobressalentes</v>
          </cell>
          <cell r="B201">
            <v>-211436.81</v>
          </cell>
        </row>
        <row r="202">
          <cell r="A202" t="str">
            <v>1740503022 (-)Depreciaçao-Mais Valia Combin Neg Sobressalente</v>
          </cell>
          <cell r="B202">
            <v>-211436.81</v>
          </cell>
        </row>
        <row r="203">
          <cell r="A203" t="str">
            <v>1740505020 (-)Depreciaçao-Custo de Veiculos Fora da Estrada</v>
          </cell>
          <cell r="B203">
            <v>-17555.48</v>
          </cell>
        </row>
        <row r="204">
          <cell r="A204" t="str">
            <v>Veículos</v>
          </cell>
          <cell r="B204">
            <v>-720269.93</v>
          </cell>
        </row>
        <row r="205">
          <cell r="A205" t="str">
            <v>1740505010 (-)Depr-Custo de Veiculos de Passageiros e Carga</v>
          </cell>
          <cell r="B205">
            <v>-718215.78</v>
          </cell>
        </row>
        <row r="206">
          <cell r="A206" t="str">
            <v>1740505011 (-)Depreciaçao-Mais Valia Veiculos</v>
          </cell>
          <cell r="B206">
            <v>-888.84</v>
          </cell>
        </row>
        <row r="207">
          <cell r="A207" t="str">
            <v>1740505012 (-)Depreciaçao-Mais Valia Combin Neg Veiculos</v>
          </cell>
          <cell r="B207">
            <v>-888.84</v>
          </cell>
        </row>
        <row r="208">
          <cell r="A208" t="str">
            <v>1740505014 (-)Depr-Contrapartida do AVP de Veículos</v>
          </cell>
          <cell r="B208">
            <v>-276.47000000000003</v>
          </cell>
        </row>
        <row r="209">
          <cell r="A209" t="str">
            <v>Móveis e utensílios</v>
          </cell>
          <cell r="B209">
            <v>-8540844.2400000002</v>
          </cell>
        </row>
        <row r="210">
          <cell r="A210" t="str">
            <v>1740504010 (-)Depreciaçao-Custo dos Móveis, Utens e Inst Com</v>
          </cell>
          <cell r="B210">
            <v>-8527346.8699999992</v>
          </cell>
        </row>
        <row r="211">
          <cell r="A211" t="str">
            <v>1740504014 (-)Depr-Contrapartida do AVP de Móveis, Utens</v>
          </cell>
          <cell r="B211">
            <v>-13497.37</v>
          </cell>
        </row>
        <row r="212">
          <cell r="A212" t="str">
            <v>Demais bens</v>
          </cell>
          <cell r="B212">
            <v>-7063547.1200000001</v>
          </cell>
        </row>
        <row r="213">
          <cell r="A213" t="str">
            <v>1740599070 (-)Depreciaçao-Custo de Computadores e Perifericos</v>
          </cell>
          <cell r="B213">
            <v>-7041072.3799999999</v>
          </cell>
        </row>
        <row r="214">
          <cell r="A214" t="str">
            <v>1740599074 (-)Depr-Contrap do AVP dos Computad Perifericos</v>
          </cell>
          <cell r="B214">
            <v>-22474.74</v>
          </cell>
        </row>
        <row r="215">
          <cell r="A215" t="str">
            <v>INTANGÍVEL</v>
          </cell>
          <cell r="B215">
            <v>287781264.43000001</v>
          </cell>
        </row>
        <row r="216">
          <cell r="A216" t="str">
            <v>INTANGÍVEL EM OPERAÇÃO</v>
          </cell>
          <cell r="B216">
            <v>287781264.43000001</v>
          </cell>
        </row>
        <row r="217">
          <cell r="A217" t="str">
            <v>Ágio - combinação de negócio em estágios</v>
          </cell>
          <cell r="B217">
            <v>195808784.34999999</v>
          </cell>
        </row>
        <row r="218">
          <cell r="A218" t="str">
            <v>1750190012 Intangivel Op-Mais Valia C N Ativ n Alocados</v>
          </cell>
          <cell r="B218">
            <v>195808784.34999999</v>
          </cell>
        </row>
        <row r="219">
          <cell r="A219" t="str">
            <v>Carteira de clientes</v>
          </cell>
          <cell r="B219">
            <v>172249.98</v>
          </cell>
        </row>
        <row r="220">
          <cell r="A220" t="str">
            <v>1750103011 Intangivel Op-Mais Valia de Carteira de Clientes</v>
          </cell>
          <cell r="B220">
            <v>106000</v>
          </cell>
        </row>
        <row r="221">
          <cell r="A221" t="str">
            <v>1750103012 Intangivel Op-Mais Valia de Carteira Clientes C N</v>
          </cell>
          <cell r="B221">
            <v>106000</v>
          </cell>
        </row>
        <row r="222">
          <cell r="A222" t="str">
            <v>1750603011 (-)Amort-Mais Valia Carteira de Clientes</v>
          </cell>
          <cell r="B222">
            <v>-19875.009999999998</v>
          </cell>
        </row>
        <row r="223">
          <cell r="A223" t="str">
            <v>1750603012 (-)Amort-Mais Valia C N Carteira de Clientes</v>
          </cell>
          <cell r="B223">
            <v>-19875.009999999998</v>
          </cell>
        </row>
        <row r="224">
          <cell r="A224" t="str">
            <v>Direito de uso de software e pesquisa e desen</v>
          </cell>
          <cell r="B224">
            <v>14626256.84</v>
          </cell>
        </row>
        <row r="225">
          <cell r="A225" t="str">
            <v>1750101010 Intangivel Op-Custo das Marcas e Patentes</v>
          </cell>
          <cell r="B225">
            <v>1385.16</v>
          </cell>
        </row>
        <row r="226">
          <cell r="A226" t="str">
            <v>1750102010 Intangivel Op-Cto das Software ou Prog de Comput</v>
          </cell>
          <cell r="B226">
            <v>19883267.920000002</v>
          </cell>
        </row>
        <row r="227">
          <cell r="A227" t="str">
            <v>1750102014 Intangivel Op-AV de Software ou Prog de Comput</v>
          </cell>
          <cell r="B227">
            <v>61858.13</v>
          </cell>
        </row>
        <row r="228">
          <cell r="A228" t="str">
            <v>1750602010 (-)Amort-Cto dos Software ou Programas de Comput</v>
          </cell>
          <cell r="B228">
            <v>-5311410.08</v>
          </cell>
        </row>
        <row r="229">
          <cell r="A229" t="str">
            <v>1750602014 (-)Amort-Contrapartida do AVP de Softwares</v>
          </cell>
          <cell r="B229">
            <v>-8844.2900000000009</v>
          </cell>
        </row>
        <row r="230">
          <cell r="A230" t="str">
            <v>Ágio Goodwill</v>
          </cell>
          <cell r="B230">
            <v>116930262.52</v>
          </cell>
        </row>
        <row r="231">
          <cell r="A231" t="str">
            <v>1750190011 Intangivel Op-Mais Valia Ativ n Alocados</v>
          </cell>
          <cell r="B231">
            <v>116930262.52</v>
          </cell>
        </row>
        <row r="232">
          <cell r="A232" t="str">
            <v>Tributos diferidos s/ágio não alocado</v>
          </cell>
          <cell r="B232">
            <v>-39756289.259999998</v>
          </cell>
        </row>
        <row r="233">
          <cell r="A233" t="str">
            <v>1750190021 Intangivel Op-Tribs Dif S/Mais Valia de Ativos (R)</v>
          </cell>
          <cell r="B233">
            <v>-39756289.259999998</v>
          </cell>
        </row>
        <row r="234">
          <cell r="A234" t="str">
            <v>1754901020 Trib Diferidos s/Mais Valia CN Ativos Imob (Realiz</v>
          </cell>
          <cell r="B234">
            <v>-73961780.579999998</v>
          </cell>
        </row>
        <row r="235">
          <cell r="A235" t="str">
            <v>1754901021 Trib Diferidos s/Mais Valia CN At Imob (Tr Passivo</v>
          </cell>
          <cell r="B235">
            <v>73961780.579999998</v>
          </cell>
        </row>
        <row r="236">
          <cell r="A236" t="str">
            <v>PASSIVO E PATRIMÔNIO LÍQUIDO</v>
          </cell>
          <cell r="B236">
            <v>-1738084871.29</v>
          </cell>
        </row>
        <row r="237">
          <cell r="A237" t="str">
            <v>CIRCULANTE</v>
          </cell>
          <cell r="B237">
            <v>-310734677.04000002</v>
          </cell>
        </row>
        <row r="238">
          <cell r="A238" t="str">
            <v>FORNECEDORES</v>
          </cell>
          <cell r="B238">
            <v>-24795808.25</v>
          </cell>
        </row>
        <row r="239">
          <cell r="A239" t="str">
            <v>Serviços</v>
          </cell>
          <cell r="B239">
            <v>-5568195.3099999996</v>
          </cell>
        </row>
        <row r="240">
          <cell r="A240" t="str">
            <v>2110101010 Fornecedores Nacionais de Serviços (Realizado)</v>
          </cell>
          <cell r="B240">
            <v>-5568195.3099999996</v>
          </cell>
        </row>
        <row r="241">
          <cell r="A241" t="str">
            <v>Matérias Primas</v>
          </cell>
          <cell r="B241">
            <v>-5471428.0599999996</v>
          </cell>
        </row>
        <row r="242">
          <cell r="A242" t="str">
            <v>2110101020 Fornecedores Nacionais de MP (Realizado)</v>
          </cell>
          <cell r="B242">
            <v>-5471428.0599999996</v>
          </cell>
        </row>
        <row r="243">
          <cell r="A243" t="str">
            <v>Fretes</v>
          </cell>
          <cell r="B243">
            <v>-4956682.82</v>
          </cell>
        </row>
        <row r="244">
          <cell r="A244" t="str">
            <v>2110101070 Fornecedores Nacionais de Fretes (Realizado)</v>
          </cell>
          <cell r="B244">
            <v>-4956682.82</v>
          </cell>
        </row>
        <row r="245">
          <cell r="A245" t="str">
            <v>Materiais de Consumo</v>
          </cell>
          <cell r="B245">
            <v>-1575597.24</v>
          </cell>
        </row>
        <row r="246">
          <cell r="A246" t="str">
            <v>2110101040 Fornecedores Nacionais de Mat de Cons(Realizado)</v>
          </cell>
          <cell r="B246">
            <v>-1460542.42</v>
          </cell>
        </row>
        <row r="247">
          <cell r="A247" t="str">
            <v>2110102040 Fornecedores do Ext de Mat de Cons (Realizado)</v>
          </cell>
          <cell r="B247">
            <v>-115054.82</v>
          </cell>
        </row>
        <row r="248">
          <cell r="A248" t="str">
            <v>Demais tipos de fornecedores</v>
          </cell>
          <cell r="B248">
            <v>-7223904.8200000003</v>
          </cell>
        </row>
        <row r="249">
          <cell r="A249" t="str">
            <v>2110101030 Fornecedores Nacionais de Energia (Realizado)</v>
          </cell>
          <cell r="B249">
            <v>-3700838.7</v>
          </cell>
        </row>
        <row r="250">
          <cell r="A250" t="str">
            <v>2110101050 Fornecedores Nacionais Funcionarios (Realizado)</v>
          </cell>
          <cell r="B250">
            <v>-24626.04</v>
          </cell>
        </row>
        <row r="251">
          <cell r="A251" t="str">
            <v>2110101060 Fornecedores Nacionais Imps e Contrib (Realizado)</v>
          </cell>
          <cell r="B251">
            <v>-1826858.25</v>
          </cell>
        </row>
        <row r="252">
          <cell r="A252" t="str">
            <v>2110199011 Provisao de Entrada de Mercad e de Fatura (EM/EF)</v>
          </cell>
          <cell r="B252">
            <v>-1671581.83</v>
          </cell>
        </row>
        <row r="253">
          <cell r="A253" t="str">
            <v>EMPRÉSTIMOS</v>
          </cell>
          <cell r="B253">
            <v>-193635918.88999999</v>
          </cell>
        </row>
        <row r="254">
          <cell r="A254" t="str">
            <v>Moeda nacional</v>
          </cell>
          <cell r="B254">
            <v>-191269020.78999999</v>
          </cell>
        </row>
        <row r="255">
          <cell r="A255" t="str">
            <v>2110502010 Emprest e Financs em Moeda Nacional CP (Realizado)</v>
          </cell>
          <cell r="B255">
            <v>-153572841.99000001</v>
          </cell>
        </row>
        <row r="256">
          <cell r="A256" t="str">
            <v>2110502020 Juros s/Empr Fin em Moeda Nacional CP (Realizado)</v>
          </cell>
          <cell r="B256">
            <v>-32198105.620000001</v>
          </cell>
        </row>
        <row r="257">
          <cell r="A257" t="str">
            <v>2110502500 Custo de Emprest e Finan Amort em MN CP (Realiz)</v>
          </cell>
          <cell r="B257">
            <v>-5498073.1799999997</v>
          </cell>
        </row>
        <row r="258">
          <cell r="A258" t="str">
            <v>Moeda estrangeira</v>
          </cell>
          <cell r="B258">
            <v>-2366898.1</v>
          </cell>
        </row>
        <row r="259">
          <cell r="A259" t="str">
            <v>2110502600 Emprestimos e Finan em Moeda Estrang CP (Realiz)</v>
          </cell>
          <cell r="B259">
            <v>-2343648.86</v>
          </cell>
        </row>
        <row r="260">
          <cell r="A260" t="str">
            <v>2110502610 Jur s/Emprest e Finan Moeda Estrang CP (Realizado)</v>
          </cell>
          <cell r="B260">
            <v>-23249.24</v>
          </cell>
        </row>
        <row r="261">
          <cell r="A261" t="str">
            <v>SALÁRIOS E ENCARGOS SOCIAIS</v>
          </cell>
          <cell r="B261">
            <v>-26140616.239999998</v>
          </cell>
        </row>
        <row r="262">
          <cell r="A262" t="str">
            <v>Salários, Férias e Gratificações</v>
          </cell>
          <cell r="B262">
            <v>-21702640.93</v>
          </cell>
        </row>
        <row r="263">
          <cell r="A263" t="str">
            <v>2111001010 Salarios a Pagar (Realizado)</v>
          </cell>
          <cell r="B263">
            <v>446.74</v>
          </cell>
        </row>
        <row r="264">
          <cell r="A264" t="str">
            <v>2111001050 Provisao de 13º Salario (Realizado)</v>
          </cell>
          <cell r="B264">
            <v>-911122.94</v>
          </cell>
        </row>
        <row r="265">
          <cell r="A265" t="str">
            <v>2111001060 Provisao de Ferias (Realizado)</v>
          </cell>
          <cell r="B265">
            <v>-5149712.96</v>
          </cell>
        </row>
        <row r="266">
          <cell r="A266" t="str">
            <v>2111001080 Provisao de Gratificaçoes Ferias (Realizado)</v>
          </cell>
          <cell r="B266">
            <v>-3137472.77</v>
          </cell>
        </row>
        <row r="267">
          <cell r="A267" t="str">
            <v>2111001090 Provisao de Gratificaçoes Diretores Estatutários</v>
          </cell>
          <cell r="B267">
            <v>-4759879</v>
          </cell>
        </row>
        <row r="268">
          <cell r="A268" t="str">
            <v>2111001100 Provisão de Gratificações  - CLT</v>
          </cell>
          <cell r="B268">
            <v>-3446972</v>
          </cell>
        </row>
        <row r="269">
          <cell r="A269" t="str">
            <v>2111001900 Provisoes Partic nos Lucros de Funcion (Realizado)</v>
          </cell>
          <cell r="B269">
            <v>-4297928</v>
          </cell>
        </row>
        <row r="270">
          <cell r="A270" t="str">
            <v>INSS</v>
          </cell>
          <cell r="B270">
            <v>-3646783.49</v>
          </cell>
        </row>
        <row r="271">
          <cell r="A271" t="str">
            <v>2111005010 Contrib Prev a Recolher-INSS s/Folha (Realizado)</v>
          </cell>
          <cell r="B271">
            <v>-1910655.35</v>
          </cell>
        </row>
        <row r="272">
          <cell r="A272" t="str">
            <v>2111005020 Contrib Prev a Recolher-INSS s/Autonomos (Realiz)</v>
          </cell>
          <cell r="B272">
            <v>-28794.76</v>
          </cell>
        </row>
        <row r="273">
          <cell r="A273" t="str">
            <v>2111005030 Contrib Prev a Recolher-INSS s/Cooperativas (Real)</v>
          </cell>
          <cell r="B273">
            <v>-1179.47</v>
          </cell>
        </row>
        <row r="274">
          <cell r="A274" t="str">
            <v>2111005040 Contrib Prev a Recolher-INSS Termo Coop SENAI (R)</v>
          </cell>
          <cell r="B274">
            <v>-4573.62</v>
          </cell>
        </row>
        <row r="275">
          <cell r="A275" t="str">
            <v>2111005050 Prov de Contrib Prev-INSS sobre 13º Salario (R)</v>
          </cell>
          <cell r="B275">
            <v>-255798.54</v>
          </cell>
        </row>
        <row r="276">
          <cell r="A276" t="str">
            <v>2111005060 Prov de Contrib Prev-INSS sobre Ferias (Realizado)</v>
          </cell>
          <cell r="B276">
            <v>-1445781.75</v>
          </cell>
        </row>
        <row r="277">
          <cell r="A277" t="str">
            <v>FGTS</v>
          </cell>
          <cell r="B277">
            <v>-791191.82</v>
          </cell>
        </row>
        <row r="278">
          <cell r="A278" t="str">
            <v>2111006010 Contrib Prev a Recolher-FGTS s/Folha (Realizado)</v>
          </cell>
          <cell r="B278">
            <v>-306636.42</v>
          </cell>
        </row>
        <row r="279">
          <cell r="A279" t="str">
            <v>2111006050 Prov Contrib Prev-FGTS s/ 13º Salario (Realizado)</v>
          </cell>
          <cell r="B279">
            <v>-72756.73</v>
          </cell>
        </row>
        <row r="280">
          <cell r="A280" t="str">
            <v>2111006060 Prov Contrib Prev-FGTS sobre Ferias (Realizado)</v>
          </cell>
          <cell r="B280">
            <v>-411798.67</v>
          </cell>
        </row>
        <row r="281">
          <cell r="A281" t="str">
            <v>IMPOSTOS DE RENDA E CONTRIBUIÇÃO SOCIAL</v>
          </cell>
          <cell r="B281">
            <v>-2797286.92</v>
          </cell>
        </row>
        <row r="282">
          <cell r="A282" t="str">
            <v>IRPJ e CSLL</v>
          </cell>
          <cell r="B282">
            <v>-2797286.92</v>
          </cell>
        </row>
        <row r="283">
          <cell r="A283" t="str">
            <v>1111001010 Antecipaçoes de CSLL (Realizado)</v>
          </cell>
          <cell r="B283">
            <v>1324554.67</v>
          </cell>
        </row>
        <row r="284">
          <cell r="A284" t="str">
            <v>1111001020 Antecipaçoes de IRPJ (Realizado)</v>
          </cell>
          <cell r="B284">
            <v>3355251.89</v>
          </cell>
        </row>
        <row r="285">
          <cell r="A285" t="str">
            <v>2112001010 Prov p/ CSLL s/Resultado Operacional (Realizado)</v>
          </cell>
          <cell r="B285">
            <v>-3797131.94</v>
          </cell>
        </row>
        <row r="286">
          <cell r="A286" t="str">
            <v>2112001020 Provisao p/ CSLL Diferida (Realizado)</v>
          </cell>
          <cell r="B286">
            <v>-187676.24</v>
          </cell>
        </row>
        <row r="287">
          <cell r="A287" t="str">
            <v>2112001030 Provisao p/ CSLL Diferida s/Depreciaçao Fiscal (R)</v>
          </cell>
          <cell r="B287">
            <v>1150764.46</v>
          </cell>
        </row>
        <row r="288">
          <cell r="A288" t="str">
            <v>2112001040 Contribuição Social s/Compensação Base Negativa (R</v>
          </cell>
          <cell r="B288">
            <v>850212.61</v>
          </cell>
        </row>
        <row r="289">
          <cell r="A289" t="str">
            <v>2112002010 Prov p/  IR s/Resultando Operacional (Realizado)</v>
          </cell>
          <cell r="B289">
            <v>-10797319.539999999</v>
          </cell>
        </row>
        <row r="290">
          <cell r="A290" t="str">
            <v>2112002020 Provisao para IR Diferida (Realizado)</v>
          </cell>
          <cell r="B290">
            <v>-276412.21999999997</v>
          </cell>
        </row>
        <row r="291">
          <cell r="A291" t="str">
            <v>2112002030 Provisao p/ IR Diferida s/Depreciaçao Fiscal (R)</v>
          </cell>
          <cell r="B291">
            <v>3196571.75</v>
          </cell>
        </row>
        <row r="292">
          <cell r="A292" t="str">
            <v>2112002040 Imposto de Renda s/ Compensação Prejuízo Fiscal (R</v>
          </cell>
          <cell r="B292">
            <v>2383897.64</v>
          </cell>
        </row>
        <row r="293">
          <cell r="A293" t="str">
            <v>OUTROS IMPOSTOS E CONTRIBUIÇÕES A PAGAR</v>
          </cell>
          <cell r="B293">
            <v>-14831322.74</v>
          </cell>
        </row>
        <row r="294">
          <cell r="A294" t="str">
            <v>ICMS a recolher</v>
          </cell>
          <cell r="B294">
            <v>-9479330.3900000006</v>
          </cell>
        </row>
        <row r="295">
          <cell r="A295" t="str">
            <v>2113005300 ICMS a Recolher (Realizado)</v>
          </cell>
          <cell r="B295">
            <v>-9479330.3900000006</v>
          </cell>
        </row>
        <row r="296">
          <cell r="A296" t="str">
            <v>PIS a recolher</v>
          </cell>
          <cell r="B296">
            <v>-690284.44</v>
          </cell>
        </row>
        <row r="297">
          <cell r="A297" t="str">
            <v>2113005010 PIS a Recolher (Realizado)</v>
          </cell>
          <cell r="B297">
            <v>-690284.44</v>
          </cell>
        </row>
        <row r="298">
          <cell r="A298" t="str">
            <v>Cofins a recolher</v>
          </cell>
          <cell r="B298">
            <v>-3179488.42</v>
          </cell>
        </row>
        <row r="299">
          <cell r="A299" t="str">
            <v>2113005020 COFINS a Recolher (Realizado)</v>
          </cell>
          <cell r="B299">
            <v>-3179488.42</v>
          </cell>
        </row>
        <row r="300">
          <cell r="A300" t="str">
            <v>Obrigações tributárias s/ servs.de terceiros</v>
          </cell>
          <cell r="B300">
            <v>-1482219.49</v>
          </cell>
        </row>
        <row r="301">
          <cell r="A301" t="str">
            <v>2113001010 IR de Funcionarios (Realizado)</v>
          </cell>
          <cell r="B301">
            <v>-1059578.6100000001</v>
          </cell>
        </row>
        <row r="302">
          <cell r="A302" t="str">
            <v>2113001200 Imposto Sindical de Funcionarios (Realizado)</v>
          </cell>
          <cell r="B302">
            <v>-113441.67</v>
          </cell>
        </row>
        <row r="303">
          <cell r="A303" t="str">
            <v>2113001300 Imposto de Renda s/Servs de Terceiros (Realizado)</v>
          </cell>
          <cell r="B303">
            <v>-35261.4</v>
          </cell>
        </row>
        <row r="304">
          <cell r="A304" t="str">
            <v>2113001310 INSS s/Serviços de Terceiros PF</v>
          </cell>
          <cell r="B304">
            <v>-4603.43</v>
          </cell>
        </row>
        <row r="305">
          <cell r="A305" t="str">
            <v>2113001320 INSS s/Serviços de Terceiros PJ</v>
          </cell>
          <cell r="B305">
            <v>-118426.68</v>
          </cell>
        </row>
        <row r="306">
          <cell r="A306" t="str">
            <v>2113001350 CSLL s/Serviços de Terceiros (Realizado)</v>
          </cell>
          <cell r="B306">
            <v>-11462.8</v>
          </cell>
        </row>
        <row r="307">
          <cell r="A307" t="str">
            <v>2113001360 PIS s/Serviços de Terceiros (Realizado)</v>
          </cell>
          <cell r="B307">
            <v>-7634.96</v>
          </cell>
        </row>
        <row r="308">
          <cell r="A308" t="str">
            <v>2113001370 COFINS s/Serviços de Terceiros (Realizado)</v>
          </cell>
          <cell r="B308">
            <v>-35238.53</v>
          </cell>
        </row>
        <row r="309">
          <cell r="A309" t="str">
            <v>2113001400 ISS s/Serviços de Terceiros (Realizado)</v>
          </cell>
          <cell r="B309">
            <v>-96571.41</v>
          </cell>
        </row>
        <row r="310">
          <cell r="A310" t="str">
            <v>DIVIDENDOS E JUROS S/ CAPITAL PROPRIO A PAGAR</v>
          </cell>
          <cell r="B310">
            <v>-20490626.23</v>
          </cell>
        </row>
        <row r="311">
          <cell r="A311" t="str">
            <v>Dividendos a pagar</v>
          </cell>
          <cell r="B311">
            <v>-618442.67000000004</v>
          </cell>
        </row>
        <row r="312">
          <cell r="A312" t="str">
            <v>2114001010 Dividendos a Pagar (Realizado)</v>
          </cell>
          <cell r="B312">
            <v>-618442.67000000004</v>
          </cell>
        </row>
        <row r="313">
          <cell r="A313" t="str">
            <v>Dividendos propostos</v>
          </cell>
          <cell r="B313">
            <v>-19872183.559999999</v>
          </cell>
        </row>
        <row r="314">
          <cell r="A314" t="str">
            <v>2114001020 Dividendos Propostos (Realizado)</v>
          </cell>
          <cell r="B314">
            <v>-19872183.559999999</v>
          </cell>
        </row>
        <row r="315">
          <cell r="A315" t="str">
            <v>DEMANDAS JUDICIAIS</v>
          </cell>
          <cell r="B315">
            <v>-3257695.18</v>
          </cell>
        </row>
        <row r="316">
          <cell r="A316" t="str">
            <v>Fiscais</v>
          </cell>
          <cell r="B316">
            <v>-3257695.18</v>
          </cell>
        </row>
        <row r="317">
          <cell r="A317" t="str">
            <v>2119001010 Prov Nat Trib s/Dep Gar CP-Imp,Taxas Contr Fed (R)</v>
          </cell>
          <cell r="B317">
            <v>-3257695.18</v>
          </cell>
        </row>
        <row r="318">
          <cell r="A318" t="str">
            <v>ENERGIA ELÉTRICA</v>
          </cell>
          <cell r="B318">
            <v>-14800422.1</v>
          </cell>
        </row>
        <row r="319">
          <cell r="A319" t="str">
            <v>Energia elétrica provisionada</v>
          </cell>
          <cell r="B319">
            <v>-14800422.1</v>
          </cell>
        </row>
        <row r="320">
          <cell r="A320" t="str">
            <v>2118005010 Fornec e nao Faturado-Energia Eletrica (Realizado)</v>
          </cell>
          <cell r="B320">
            <v>-14800422.1</v>
          </cell>
        </row>
        <row r="321">
          <cell r="A321" t="str">
            <v>OUTROS PASSIVOS CIRCULANTES</v>
          </cell>
          <cell r="B321">
            <v>-9984980.4900000002</v>
          </cell>
        </row>
        <row r="322">
          <cell r="A322" t="str">
            <v>Serviços Técnicos profissionais</v>
          </cell>
          <cell r="B322">
            <v>-135371.44</v>
          </cell>
        </row>
        <row r="323">
          <cell r="A323" t="str">
            <v>2119003020 Prov Nat Op Desp c/ Servs Tecn e Prof CP (Realiz)</v>
          </cell>
          <cell r="B323">
            <v>-135371.44</v>
          </cell>
        </row>
        <row r="324">
          <cell r="A324" t="str">
            <v>Fretes sobre vendas</v>
          </cell>
          <cell r="B324">
            <v>-3535770.84</v>
          </cell>
        </row>
        <row r="325">
          <cell r="A325" t="str">
            <v>2119003010 Prov Nat Op Desp c/ Fretes s/Vendas CP (Realizado)</v>
          </cell>
          <cell r="B325">
            <v>-3535770.84</v>
          </cell>
        </row>
        <row r="326">
          <cell r="A326" t="str">
            <v>Desembaraço alfandegário</v>
          </cell>
          <cell r="B326">
            <v>-2879065.94</v>
          </cell>
        </row>
        <row r="327">
          <cell r="A327" t="str">
            <v>2118005040 Fornec e nao Faturado-Materiais de Cons (Realiz)</v>
          </cell>
          <cell r="B327">
            <v>-2879065.94</v>
          </cell>
        </row>
        <row r="328">
          <cell r="A328" t="str">
            <v>Obrigações de natureza fiscais</v>
          </cell>
          <cell r="B328">
            <v>-1922305</v>
          </cell>
        </row>
        <row r="329">
          <cell r="A329" t="str">
            <v>2119001030 Prov Nat Trib s/Dep Gar CP-Imp,Taxas Cont Mun (R)</v>
          </cell>
          <cell r="B329">
            <v>-1922305</v>
          </cell>
        </row>
        <row r="330">
          <cell r="A330" t="str">
            <v>Trabalhistas e previdênciárias</v>
          </cell>
          <cell r="B330">
            <v>0</v>
          </cell>
        </row>
        <row r="331">
          <cell r="A331" t="str">
            <v>2119002020 Prov Ind Trab p/Desligamen Compulsório CP (Realiz)</v>
          </cell>
          <cell r="B331">
            <v>0</v>
          </cell>
        </row>
        <row r="332">
          <cell r="A332" t="str">
            <v>Outras obrigações e compromissos</v>
          </cell>
          <cell r="B332">
            <v>-1512467.27</v>
          </cell>
        </row>
        <row r="333">
          <cell r="A333" t="str">
            <v>2118005020 Fornec e nao Faturado-Agua (Realizado)</v>
          </cell>
          <cell r="B333">
            <v>-41000</v>
          </cell>
        </row>
        <row r="334">
          <cell r="A334" t="str">
            <v>2118005090 Fornec e nao Faturado-Servs Prestados (Realizado)</v>
          </cell>
          <cell r="B334">
            <v>-362404.15</v>
          </cell>
        </row>
        <row r="335">
          <cell r="A335" t="str">
            <v>2118010010 Retençoes s/Contratos de Compras (Realizado)</v>
          </cell>
          <cell r="B335">
            <v>-16416.61</v>
          </cell>
        </row>
        <row r="336">
          <cell r="A336" t="str">
            <v>2118050010 Adiantamentos de Clientes (Realizado)</v>
          </cell>
          <cell r="B336">
            <v>-781904.1</v>
          </cell>
        </row>
        <row r="337">
          <cell r="A337" t="str">
            <v>2119003030 Prov Nat Op Desp c/Servs de Auditoria CP (Realiz)</v>
          </cell>
          <cell r="B337">
            <v>-250742.41</v>
          </cell>
        </row>
        <row r="338">
          <cell r="A338" t="str">
            <v>2119003040 Prov Nat Op Desp c/Seguros Gerais CP (Realizado)</v>
          </cell>
          <cell r="B338">
            <v>-60000</v>
          </cell>
        </row>
        <row r="339">
          <cell r="A339" t="str">
            <v>NÃO CIRCULANTE</v>
          </cell>
          <cell r="B339">
            <v>-648913049.75</v>
          </cell>
        </row>
        <row r="340">
          <cell r="A340" t="str">
            <v>EMPRÉSTIMOS</v>
          </cell>
          <cell r="B340">
            <v>-547136531.30999994</v>
          </cell>
        </row>
        <row r="341">
          <cell r="A341" t="str">
            <v>Moeda nacional</v>
          </cell>
          <cell r="B341">
            <v>-541082104.98000002</v>
          </cell>
        </row>
        <row r="342">
          <cell r="A342" t="str">
            <v>2310502010 Emprest Finan Bancarios Moeda Nacional LP (R)</v>
          </cell>
          <cell r="B342">
            <v>-541082104.98000002</v>
          </cell>
        </row>
        <row r="343">
          <cell r="A343" t="str">
            <v>Moeda estrangeira</v>
          </cell>
          <cell r="B343">
            <v>-6054426.3300000001</v>
          </cell>
        </row>
        <row r="344">
          <cell r="A344" t="str">
            <v>2310502600 Empr Financiamentos Moeda Estrangeira LP (Realiz)</v>
          </cell>
          <cell r="B344">
            <v>-6054426.3300000001</v>
          </cell>
        </row>
        <row r="345">
          <cell r="A345" t="str">
            <v>IR E CONTRIBUIÇÃO SOCIAL DIFERIDOS</v>
          </cell>
          <cell r="B345">
            <v>-46543073.07</v>
          </cell>
        </row>
        <row r="346">
          <cell r="A346" t="str">
            <v>Ativo de imposto diferido</v>
          </cell>
          <cell r="B346">
            <v>91309866.430000007</v>
          </cell>
        </row>
        <row r="347">
          <cell r="A347" t="str">
            <v>1711505000 Cred Fisc CSLL-Bas de Cal Negativa LP (Real)</v>
          </cell>
          <cell r="B347">
            <v>7286873.29</v>
          </cell>
        </row>
        <row r="348">
          <cell r="A348" t="str">
            <v>1711505010 Cred Fisc CSLL-Dif Temp (Real)</v>
          </cell>
          <cell r="B348">
            <v>17367305.239999998</v>
          </cell>
        </row>
        <row r="349">
          <cell r="A349" t="str">
            <v>1711506000 Cred Fisc IRPJL-Prejuizo Fiscal LP (Real)</v>
          </cell>
          <cell r="B349">
            <v>19603141.68</v>
          </cell>
        </row>
        <row r="350">
          <cell r="A350" t="str">
            <v>1711506010 Cred Fisc IRPJ-Dif Temp (Realizado)</v>
          </cell>
          <cell r="B350">
            <v>47052546.219999999</v>
          </cell>
        </row>
        <row r="351">
          <cell r="A351" t="str">
            <v>Passivo de imposto diferido</v>
          </cell>
          <cell r="B351">
            <v>-137852939.5</v>
          </cell>
        </row>
        <row r="352">
          <cell r="A352" t="str">
            <v>2312001030 Prov p/CSLL Diferida s/Depr Fiscal LP (Realiz)</v>
          </cell>
          <cell r="B352">
            <v>-36490484.380000003</v>
          </cell>
        </row>
        <row r="353">
          <cell r="A353" t="str">
            <v>2312002030 Prov p/IR Diferida s/Depr Fiscal LP (Realiz)</v>
          </cell>
          <cell r="B353">
            <v>-101362455.12</v>
          </cell>
        </row>
        <row r="354">
          <cell r="A354" t="str">
            <v>OBRIGAÇÕES COM BENEFICIOS AOS EMPREGADOS</v>
          </cell>
          <cell r="B354">
            <v>-21910921.350000001</v>
          </cell>
        </row>
        <row r="355">
          <cell r="A355" t="str">
            <v>Provisão para previdência privada</v>
          </cell>
          <cell r="B355">
            <v>-9594.0300000000007</v>
          </cell>
        </row>
        <row r="356">
          <cell r="A356" t="str">
            <v>2318001010 Previdencia Privada-CVM 371 LP (Realizado)</v>
          </cell>
          <cell r="B356">
            <v>-9594.0300000000007</v>
          </cell>
        </row>
        <row r="357">
          <cell r="A357" t="str">
            <v>Provisão para assistência médica</v>
          </cell>
          <cell r="B357">
            <v>-2291767.25</v>
          </cell>
        </row>
        <row r="358">
          <cell r="A358" t="str">
            <v>2319002150 Prov Nat Trab Assist Medica Aposent LP (Realizado)</v>
          </cell>
          <cell r="B358">
            <v>-2291767.25</v>
          </cell>
        </row>
        <row r="359">
          <cell r="A359" t="str">
            <v>Provisão para aposentadoria compulsória</v>
          </cell>
          <cell r="B359">
            <v>-17320997.75</v>
          </cell>
        </row>
        <row r="360">
          <cell r="A360" t="str">
            <v>2319002100 Prov Nat Trab FGTS Aviso Prev s/Aposen Comp LP (R)</v>
          </cell>
          <cell r="B360">
            <v>-17320997.75</v>
          </cell>
        </row>
        <row r="361">
          <cell r="A361" t="str">
            <v>Provisão para gratificação tempo de casa</v>
          </cell>
          <cell r="B361">
            <v>-2288562.3199999998</v>
          </cell>
        </row>
        <row r="362">
          <cell r="A362" t="str">
            <v>2319002200 Prov Nat Trab Gratif Tempo Serv LP-Quinq (Realiz)</v>
          </cell>
          <cell r="B362">
            <v>-2288562.3199999998</v>
          </cell>
        </row>
        <row r="363">
          <cell r="A363" t="str">
            <v>DEMANDAS JUDICIAIS</v>
          </cell>
          <cell r="B363">
            <v>-33322524.02</v>
          </cell>
        </row>
        <row r="364">
          <cell r="A364" t="str">
            <v>Fiscais</v>
          </cell>
          <cell r="B364">
            <v>-14503152.210000001</v>
          </cell>
        </row>
        <row r="365">
          <cell r="A365" t="str">
            <v>2319001010 Prov Nat Trib s/Dep Gar LP-Imp,Taxs Cont Fed (R)</v>
          </cell>
          <cell r="B365">
            <v>-660296.86</v>
          </cell>
        </row>
        <row r="366">
          <cell r="A366" t="str">
            <v>2319001020 Prov Nat Trib s/Dep Gar LP-Imp,Taxs Cont Est (R)</v>
          </cell>
          <cell r="B366">
            <v>-698528.05</v>
          </cell>
        </row>
        <row r="367">
          <cell r="A367" t="str">
            <v>2319101010 Prov Nat Trib c/Dep Gar LP-Imp,Taxas Cont Fed (R)</v>
          </cell>
          <cell r="B367">
            <v>-11418224.300000001</v>
          </cell>
        </row>
        <row r="368">
          <cell r="A368" t="str">
            <v>2319101030 Prov Nat Trib c/Dep em Gar LP-Imps Taxs Ctrb M (R)</v>
          </cell>
          <cell r="B368">
            <v>-1726103</v>
          </cell>
        </row>
        <row r="369">
          <cell r="A369" t="str">
            <v>Trabalhistas</v>
          </cell>
          <cell r="B369">
            <v>-9483482.0700000003</v>
          </cell>
        </row>
        <row r="370">
          <cell r="A370" t="str">
            <v>2319002010 Prov Nat Trab s/Dep em Gar LP-Recl Trabalh (Real)</v>
          </cell>
          <cell r="B370">
            <v>-8586411.7200000007</v>
          </cell>
        </row>
        <row r="371">
          <cell r="A371" t="str">
            <v>2319102030 Prov Nat Trab c/Dep em Gar LP - Previd (Realizado)</v>
          </cell>
          <cell r="B371">
            <v>-897070.35</v>
          </cell>
        </row>
        <row r="372">
          <cell r="A372" t="str">
            <v>Cíveis</v>
          </cell>
          <cell r="B372">
            <v>-23377287.390000001</v>
          </cell>
        </row>
        <row r="373">
          <cell r="A373" t="str">
            <v>2319000010 Prov Nat Cível s/Dep Gar LP (R)</v>
          </cell>
          <cell r="B373">
            <v>-23377287.390000001</v>
          </cell>
        </row>
        <row r="374">
          <cell r="A374" t="str">
            <v>Depósitos judiciais</v>
          </cell>
          <cell r="B374">
            <v>14041397.65</v>
          </cell>
        </row>
        <row r="375">
          <cell r="A375" t="str">
            <v>1719101010 Dep Jud c/ Reserv-Imp,Taxas e Contrib Fed (Realiz)</v>
          </cell>
          <cell r="B375">
            <v>11418224.300000001</v>
          </cell>
        </row>
        <row r="376">
          <cell r="A376" t="str">
            <v>1719101030 Dep Jud c/Res-Imp, Taxas e Contrib Munic (Realiz)</v>
          </cell>
          <cell r="B376">
            <v>1726103</v>
          </cell>
        </row>
        <row r="377">
          <cell r="A377" t="str">
            <v>1719102030 Dep Judiciais c/Res -Previdenciarios (Realizado)</v>
          </cell>
          <cell r="B377">
            <v>897070.35</v>
          </cell>
        </row>
        <row r="378">
          <cell r="A378" t="str">
            <v>PATRIMÔNIO LÍQUIDO</v>
          </cell>
          <cell r="B378">
            <v>-778437144.5</v>
          </cell>
        </row>
        <row r="379">
          <cell r="A379" t="str">
            <v>CAPITAL SOCIAL</v>
          </cell>
          <cell r="B379">
            <v>-384330953.12</v>
          </cell>
        </row>
        <row r="380">
          <cell r="A380" t="str">
            <v>Capital Subscrito</v>
          </cell>
          <cell r="B380">
            <v>-384330953.12</v>
          </cell>
        </row>
        <row r="381">
          <cell r="A381" t="str">
            <v>2710101010 Capital  Subs Domic e Resids no Pais (Realizado)</v>
          </cell>
          <cell r="B381">
            <v>-384330953.12</v>
          </cell>
        </row>
        <row r="382">
          <cell r="A382" t="str">
            <v>AÇÕES EM TESOURARIA</v>
          </cell>
          <cell r="B382">
            <v>14879117.300000001</v>
          </cell>
        </row>
        <row r="383">
          <cell r="A383" t="str">
            <v>Preferenciais</v>
          </cell>
          <cell r="B383">
            <v>14397516.449999999</v>
          </cell>
        </row>
        <row r="384">
          <cell r="A384" t="str">
            <v>2760101010 Acoes Preferenciais em Tesouraria</v>
          </cell>
          <cell r="B384">
            <v>14397516.449999999</v>
          </cell>
        </row>
        <row r="385">
          <cell r="A385" t="str">
            <v>Ordinárias</v>
          </cell>
          <cell r="B385">
            <v>481600.85</v>
          </cell>
        </row>
        <row r="386">
          <cell r="A386" t="str">
            <v>2760101020 Acoes Ordinarias em Tesouraria</v>
          </cell>
          <cell r="B386">
            <v>481600.85</v>
          </cell>
        </row>
        <row r="387">
          <cell r="A387" t="str">
            <v>RESERVA DE CAPITAL</v>
          </cell>
          <cell r="B387">
            <v>-79.84</v>
          </cell>
        </row>
        <row r="388">
          <cell r="A388" t="str">
            <v>Reserva de capital</v>
          </cell>
          <cell r="B388">
            <v>-79.84</v>
          </cell>
        </row>
        <row r="389">
          <cell r="A389" t="str">
            <v>2740101010 Reservas de Capital (Realizado)</v>
          </cell>
          <cell r="B389">
            <v>-79.84</v>
          </cell>
        </row>
        <row r="390">
          <cell r="A390" t="str">
            <v>RESERVAS DE LUCROS</v>
          </cell>
          <cell r="B390">
            <v>-418127013.91000003</v>
          </cell>
        </row>
        <row r="391">
          <cell r="A391" t="str">
            <v>Reserva legal</v>
          </cell>
          <cell r="B391">
            <v>-23131218.949999999</v>
          </cell>
        </row>
        <row r="392">
          <cell r="A392" t="str">
            <v>2740201010 Reserva Legal (Realizado)</v>
          </cell>
          <cell r="B392">
            <v>-23131218.949999999</v>
          </cell>
        </row>
        <row r="393">
          <cell r="A393" t="str">
            <v>Reserva especial para dividendos</v>
          </cell>
          <cell r="B393">
            <v>-23131218.949999999</v>
          </cell>
        </row>
        <row r="394">
          <cell r="A394" t="str">
            <v>2740203010 Reserva Especial p/Dividendos (Realizado)</v>
          </cell>
          <cell r="B394">
            <v>-23131218.949999999</v>
          </cell>
        </row>
        <row r="395">
          <cell r="A395" t="str">
            <v>Reserva de retenção de lucros</v>
          </cell>
          <cell r="B395">
            <v>-108955206.18000001</v>
          </cell>
        </row>
        <row r="396">
          <cell r="A396" t="str">
            <v>2740202100 Reserva Est-Ret de Lucros Exer de 2.014 (Realiz)</v>
          </cell>
          <cell r="B396">
            <v>-43454068.93</v>
          </cell>
        </row>
        <row r="397">
          <cell r="A397" t="str">
            <v>2740205010 Reserva de Lucros para Investimentos</v>
          </cell>
          <cell r="B397">
            <v>-65501137.25</v>
          </cell>
        </row>
        <row r="398">
          <cell r="A398" t="str">
            <v>Reserva de lucros a realizar</v>
          </cell>
          <cell r="B398">
            <v>-262909369.83000001</v>
          </cell>
        </row>
        <row r="399">
          <cell r="A399" t="str">
            <v>2740204010 Reserva de Lucros a Realizar (Realizado)</v>
          </cell>
          <cell r="B399">
            <v>-262909369.83000001</v>
          </cell>
        </row>
        <row r="400">
          <cell r="A400" t="str">
            <v>OUTROS RESULTADOS ABRANGENTES DO PERIODO</v>
          </cell>
          <cell r="B400">
            <v>25695078.719999999</v>
          </cell>
        </row>
        <row r="401">
          <cell r="A401" t="str">
            <v>Ajuste às normas internacionais de contab.</v>
          </cell>
          <cell r="B401">
            <v>25695078.719999999</v>
          </cell>
        </row>
        <row r="402">
          <cell r="A402" t="str">
            <v>2750101010 Ajs as Normas Internac de Contab (Realizado)</v>
          </cell>
          <cell r="B402">
            <v>-2025016</v>
          </cell>
        </row>
        <row r="403">
          <cell r="A403" t="str">
            <v>2750102010 (-)Ajs as Normas Internac de Contab (Realizado)</v>
          </cell>
          <cell r="B403">
            <v>27720094.719999999</v>
          </cell>
        </row>
        <row r="404">
          <cell r="A404" t="str">
            <v>LUCROS ACUMULADOS</v>
          </cell>
          <cell r="B404">
            <v>-16553293.65</v>
          </cell>
        </row>
        <row r="405">
          <cell r="A405" t="str">
            <v>Resultado líquido do periodo</v>
          </cell>
          <cell r="B405">
            <v>-16553293.65</v>
          </cell>
        </row>
        <row r="406">
          <cell r="A406" t="str">
            <v>Resultado antes dos tributos sobre o lucro</v>
          </cell>
          <cell r="B406">
            <v>-30102529.379999999</v>
          </cell>
        </row>
        <row r="407">
          <cell r="A407" t="str">
            <v>Resultado antes do resultado financeiro</v>
          </cell>
          <cell r="B407">
            <v>-43864592.609999999</v>
          </cell>
        </row>
        <row r="408">
          <cell r="A408" t="str">
            <v>Lucro bruto</v>
          </cell>
          <cell r="B408">
            <v>-97698120.75</v>
          </cell>
        </row>
        <row r="409">
          <cell r="A409" t="str">
            <v>Receita líquida de vendas</v>
          </cell>
          <cell r="B409">
            <v>-204969559.03999999</v>
          </cell>
        </row>
        <row r="410">
          <cell r="A410" t="str">
            <v>Receita bruta de vendas</v>
          </cell>
          <cell r="B410">
            <v>-267510200.38999999</v>
          </cell>
        </row>
        <row r="411">
          <cell r="A411" t="str">
            <v>Mercado interno</v>
          </cell>
          <cell r="B411">
            <v>-267510200.38999999</v>
          </cell>
        </row>
        <row r="412">
          <cell r="A412" t="str">
            <v>3110101030 Rec Brt-Vendas de Produtos no MI (Realizado)</v>
          </cell>
          <cell r="B412">
            <v>-261435932.06</v>
          </cell>
        </row>
        <row r="413">
          <cell r="A413" t="str">
            <v>3110105030 Rec Brt-Rev de Mercs Nacionais no MI (Realizado)</v>
          </cell>
          <cell r="B413">
            <v>-6323909.0999999996</v>
          </cell>
        </row>
        <row r="414">
          <cell r="A414" t="str">
            <v>3110108030 Rec Brt-Rev de Mercs Diversas no MI (Realizado)</v>
          </cell>
          <cell r="B414">
            <v>-27714.37</v>
          </cell>
        </row>
        <row r="415">
          <cell r="A415" t="str">
            <v>3110301030 (-)Vendas Canc e Dev de Prod no MI (Realizado)</v>
          </cell>
          <cell r="B415">
            <v>277355.14</v>
          </cell>
        </row>
        <row r="416">
          <cell r="A416" t="str">
            <v>Impostos incidentes s/ vendas e abatimentos</v>
          </cell>
          <cell r="B416">
            <v>62540641.350000001</v>
          </cell>
        </row>
        <row r="417">
          <cell r="A417" t="str">
            <v>3110401030 (-)Desc Incond s/Vend de Prod FP no MI (Realizado)</v>
          </cell>
          <cell r="B417">
            <v>218697.98</v>
          </cell>
        </row>
        <row r="418">
          <cell r="A418" t="str">
            <v>3110408030 (-)Desc Incond s/Rev Merc Diversas no MI (Realiz)</v>
          </cell>
          <cell r="B418">
            <v>50.4</v>
          </cell>
        </row>
        <row r="419">
          <cell r="A419" t="str">
            <v>3110501030 (-)ICMS s/Vendas de Produtos FP no MI (Realiz)</v>
          </cell>
          <cell r="B419">
            <v>38778358.079999998</v>
          </cell>
        </row>
        <row r="420">
          <cell r="A420" t="str">
            <v>3110505030 (-)ICMS s/Rev de Mercs Nacionais no MI (Realiz)</v>
          </cell>
          <cell r="B420">
            <v>1048696.43</v>
          </cell>
        </row>
        <row r="421">
          <cell r="A421" t="str">
            <v>3110508030 (-)ICMS s/Rev Mercadorias Divs no MI (Realizado)</v>
          </cell>
          <cell r="B421">
            <v>4896.3599999999997</v>
          </cell>
        </row>
        <row r="422">
          <cell r="A422" t="str">
            <v>3110590900 (-)ICMS s/Remessas Mercadorias Div no MI (Realiz)</v>
          </cell>
          <cell r="B422">
            <v>1379.86</v>
          </cell>
        </row>
        <row r="423">
          <cell r="A423" t="str">
            <v>3110601030 (-)Cofins s/Venda Produtos FP no MI (R)</v>
          </cell>
          <cell r="B423">
            <v>18017309.850000001</v>
          </cell>
        </row>
        <row r="424">
          <cell r="A424" t="str">
            <v>3110605030 (-)Cofins s/Revenda Merc Nacionais no MI (Realiz)</v>
          </cell>
          <cell r="B424">
            <v>457672.71</v>
          </cell>
        </row>
        <row r="425">
          <cell r="A425" t="str">
            <v>3110608030 (-)Cofins s/Revenda Mercad Divs no MI (Realiz)</v>
          </cell>
          <cell r="B425">
            <v>2106.27</v>
          </cell>
        </row>
        <row r="426">
          <cell r="A426" t="str">
            <v>3110701030 (-)PIS/Pasep s/Vendas Produtos FP no MI (Realiz)</v>
          </cell>
          <cell r="B426">
            <v>3911653</v>
          </cell>
        </row>
        <row r="427">
          <cell r="A427" t="str">
            <v>3110705030 (-)PIS/Pasep s/Rev Merc Nacionais no MI (Realiz)</v>
          </cell>
          <cell r="B427">
            <v>99363.12</v>
          </cell>
        </row>
        <row r="428">
          <cell r="A428" t="str">
            <v>3110708030 (-)PIS/Pasep s/Revenda Merc Divs no MI (Realiz)</v>
          </cell>
          <cell r="B428">
            <v>457.29</v>
          </cell>
        </row>
        <row r="429">
          <cell r="A429" t="str">
            <v>Custo dos bens e serviços vendidos</v>
          </cell>
          <cell r="B429">
            <v>107271438.29000001</v>
          </cell>
        </row>
        <row r="430">
          <cell r="A430" t="str">
            <v>Variações nos estoques de Materiais</v>
          </cell>
          <cell r="B430">
            <v>38083976.270000003</v>
          </cell>
        </row>
        <row r="431">
          <cell r="A431" t="str">
            <v>3130101012 Rev Prov p/ Desv de Exportaçao Direta de Produtos</v>
          </cell>
          <cell r="B431">
            <v>-4550370.01</v>
          </cell>
        </row>
        <row r="432">
          <cell r="A432" t="str">
            <v>3130101015 Prov p/Desv de Exportaçao Direta de Produtos</v>
          </cell>
          <cell r="B432">
            <v>5653197.25</v>
          </cell>
        </row>
        <row r="433">
          <cell r="A433" t="str">
            <v>3130101030 Custo das Vendas de Produtos MI (Realizado)</v>
          </cell>
          <cell r="B433">
            <v>104008752</v>
          </cell>
        </row>
        <row r="434">
          <cell r="A434" t="str">
            <v>3130101031 Custo Vendas de Produtos MI - AJ</v>
          </cell>
          <cell r="B434">
            <v>-10.02</v>
          </cell>
        </row>
        <row r="435">
          <cell r="A435" t="str">
            <v>3130101039 Custo das Vendas de Produtos MI Serv (Realizado)</v>
          </cell>
          <cell r="B435">
            <v>2305.61</v>
          </cell>
        </row>
        <row r="436">
          <cell r="A436" t="str">
            <v>3130105030 Custo das Revendas de Mercadorias no MI (Realiz)</v>
          </cell>
          <cell r="B436">
            <v>2157841.12</v>
          </cell>
        </row>
        <row r="437">
          <cell r="A437" t="str">
            <v>3130105031 Custo Revendas de Produtos MI - AJ</v>
          </cell>
          <cell r="B437">
            <v>-13998.06</v>
          </cell>
        </row>
        <row r="438">
          <cell r="A438" t="str">
            <v>3130130030 Custo das Vendas de Serviços no MI (Realizado)</v>
          </cell>
          <cell r="B438">
            <v>13720.4</v>
          </cell>
        </row>
        <row r="439">
          <cell r="A439" t="str">
            <v>5110101010 Estoq Consumido Prod-Materia Prima SAL (Realizado)</v>
          </cell>
          <cell r="B439">
            <v>13965135.949999999</v>
          </cell>
        </row>
        <row r="440">
          <cell r="A440" t="str">
            <v>5110101011 Estoq Consumido Prod-Materia Prima SAL (Aj Real)</v>
          </cell>
          <cell r="B440">
            <v>1264230.05</v>
          </cell>
        </row>
        <row r="441">
          <cell r="A441" t="str">
            <v>5110101020 Estoq Consumido Prod-MP-Etileno (Realizado)</v>
          </cell>
          <cell r="B441">
            <v>6162639.6699999999</v>
          </cell>
        </row>
        <row r="442">
          <cell r="A442" t="str">
            <v>5110101021 Estoq Consumido Prod-MP-Etileno (Aj Real)</v>
          </cell>
          <cell r="B442">
            <v>-1091503.3700000001</v>
          </cell>
        </row>
        <row r="443">
          <cell r="A443" t="str">
            <v>5110101300 Estoq Consumido Prod-Mat Aux Gas Natural (Realiz)</v>
          </cell>
          <cell r="B443">
            <v>8238868.25</v>
          </cell>
        </row>
        <row r="444">
          <cell r="A444" t="str">
            <v>5110101301 Estoq Consumido Prod-Mat Aux Gas Natural (Aj Real)</v>
          </cell>
          <cell r="B444">
            <v>-923231.12</v>
          </cell>
        </row>
        <row r="445">
          <cell r="A445" t="str">
            <v>5110101310 Estoq Consumido Prod-M Aux Vapor Petroc (Realiz)</v>
          </cell>
          <cell r="B445">
            <v>3120340.73</v>
          </cell>
        </row>
        <row r="446">
          <cell r="A446" t="str">
            <v>5110101311 Estoq Consumido Prod-M Aux Vapor Petroc (Aj Real)</v>
          </cell>
          <cell r="B446">
            <v>-228811.76</v>
          </cell>
        </row>
        <row r="447">
          <cell r="A447" t="str">
            <v>5110101490 Estoq Consumido Prod-M Aux Demais (Realizado)</v>
          </cell>
          <cell r="B447">
            <v>2446056.4900000002</v>
          </cell>
        </row>
        <row r="448">
          <cell r="A448" t="str">
            <v>5110101491 Estoq Consumido Prod-M Aux Demais (Aj Real)</v>
          </cell>
          <cell r="B448">
            <v>-33224.35</v>
          </cell>
        </row>
        <row r="449">
          <cell r="A449" t="str">
            <v>5110101500 Estoq Consumido Prod-Embalagens (Realizado)</v>
          </cell>
          <cell r="B449">
            <v>935143.71</v>
          </cell>
        </row>
        <row r="450">
          <cell r="A450" t="str">
            <v>5110101501 Estoq Consumido Prod-Embalagens (Aj Real)</v>
          </cell>
          <cell r="B450">
            <v>-43984.4</v>
          </cell>
        </row>
        <row r="451">
          <cell r="A451" t="str">
            <v>5110102010 Cons.Insumo-Revestimentos de Anodos (Realizado)</v>
          </cell>
          <cell r="B451">
            <v>279615.86</v>
          </cell>
        </row>
        <row r="452">
          <cell r="A452" t="str">
            <v>5110504070 Aj Preço-Var Preço Dif C Mud Nivel-Semi Acab (KDV)</v>
          </cell>
          <cell r="B452">
            <v>-1.64</v>
          </cell>
        </row>
        <row r="453">
          <cell r="A453" t="str">
            <v>5110504080 Aj Preço-Var Preço Dif C Mud Nivel-Acabados (KDV)</v>
          </cell>
          <cell r="B453">
            <v>-0.03</v>
          </cell>
        </row>
        <row r="454">
          <cell r="A454" t="str">
            <v>5110505010 Aj Preço-Dif Preço Nivel Único-Sal (PRD)</v>
          </cell>
          <cell r="B454">
            <v>684394.33</v>
          </cell>
        </row>
        <row r="455">
          <cell r="A455" t="str">
            <v>5110505020 Aj Preço-Dif Preço Nivel Único-Etileno (PRD)</v>
          </cell>
          <cell r="B455">
            <v>-1091503.3700000001</v>
          </cell>
        </row>
        <row r="456">
          <cell r="A456" t="str">
            <v>5110505030 Aj Preço-Dif Preço Nivel Único-Gás Natural (PRD)</v>
          </cell>
          <cell r="B456">
            <v>-923231.12</v>
          </cell>
        </row>
        <row r="457">
          <cell r="A457" t="str">
            <v>5110505040 Aj Preço-Dif Preço Nivel Único-Vapor (PRD)</v>
          </cell>
          <cell r="B457">
            <v>-228811.76</v>
          </cell>
        </row>
        <row r="458">
          <cell r="A458" t="str">
            <v>5110505050 Aj Preço-Dif Preço Nivel Único-Mat Auxiliares(PRD)</v>
          </cell>
          <cell r="B458">
            <v>-30208.1</v>
          </cell>
        </row>
        <row r="459">
          <cell r="A459" t="str">
            <v>5110505060 Aj Preço-Dif Preço Nivel Único-Embalagens (PRD)</v>
          </cell>
          <cell r="B459">
            <v>-37589.71</v>
          </cell>
        </row>
        <row r="460">
          <cell r="A460" t="str">
            <v>5110505070 Aj Preço-Dif Preço Nivel Único-Semi Acabados (PRD)</v>
          </cell>
          <cell r="B460">
            <v>9964533.3300000001</v>
          </cell>
        </row>
        <row r="461">
          <cell r="A461" t="str">
            <v>5110505080 Aj Preço-Dif Preço Nivel Único-Acabados (PRD)</v>
          </cell>
          <cell r="B461">
            <v>352436.47</v>
          </cell>
        </row>
        <row r="462">
          <cell r="A462" t="str">
            <v>5110505090 Aj Preço-Dif Preço Nivel Único-Revenda (PRD)</v>
          </cell>
          <cell r="B462">
            <v>64986.03</v>
          </cell>
        </row>
        <row r="463">
          <cell r="A463" t="str">
            <v>5110506070 Aj Preço-Dif Preço Multinivel-Semi Acabado (PRV)</v>
          </cell>
          <cell r="B463">
            <v>0.51</v>
          </cell>
        </row>
        <row r="464">
          <cell r="A464" t="str">
            <v>5110506080 Aj Preço-Dif Preço Multinivel-Acabado (PRV)</v>
          </cell>
          <cell r="B464">
            <v>-0.01</v>
          </cell>
        </row>
        <row r="465">
          <cell r="A465" t="str">
            <v>5110507010 Aj Preço-Dif Preço Fechamento ML-Sal (PRY)</v>
          </cell>
          <cell r="B465">
            <v>-684394.33</v>
          </cell>
        </row>
        <row r="466">
          <cell r="A466" t="str">
            <v>5110507020 Aj Preço-Dif Preço Fechamento ML-Etileno (PRY)</v>
          </cell>
          <cell r="B466">
            <v>1091503.3700000001</v>
          </cell>
        </row>
        <row r="467">
          <cell r="A467" t="str">
            <v>5110507030 Aj Preço-Dif Preço Fechamento ML-Gas Natural (PRY)</v>
          </cell>
          <cell r="B467">
            <v>923231.12</v>
          </cell>
        </row>
        <row r="468">
          <cell r="A468" t="str">
            <v>5110507040 Aj Preço-Dif Preço Fechamento ML-Vapor (PRY)</v>
          </cell>
          <cell r="B468">
            <v>228811.76</v>
          </cell>
        </row>
        <row r="469">
          <cell r="A469" t="str">
            <v>5110507050 Aj Preço-Dif Preço Fechamento ML-Mat Auxiliar(PRY)</v>
          </cell>
          <cell r="B469">
            <v>30208.13</v>
          </cell>
        </row>
        <row r="470">
          <cell r="A470" t="str">
            <v>5110507060 Aj Preço-Dif Preço Fechamento ML-Embalagens (PRY)</v>
          </cell>
          <cell r="B470">
            <v>37589.71</v>
          </cell>
        </row>
        <row r="471">
          <cell r="A471" t="str">
            <v>5110507070 Aj Preço-Dif Preço Fechamento ML-Semi Acabad (PRY)</v>
          </cell>
          <cell r="B471">
            <v>-9964533.3499999996</v>
          </cell>
        </row>
        <row r="472">
          <cell r="A472" t="str">
            <v>5110507080 Aj Preço-Dif Preço Fechamento ML-Acabados (PRY)</v>
          </cell>
          <cell r="B472">
            <v>-352436.47</v>
          </cell>
        </row>
        <row r="473">
          <cell r="A473" t="str">
            <v>5110507090 Aj Preço-Dif Preço Fechamento ML-Revenda (PRY)</v>
          </cell>
          <cell r="B473">
            <v>-64986.03</v>
          </cell>
        </row>
        <row r="474">
          <cell r="A474" t="str">
            <v>5110508080 Aj Preço-Var Preço Revaloriz Estoq-Acabados (UMB)</v>
          </cell>
          <cell r="B474">
            <v>-28.38</v>
          </cell>
        </row>
        <row r="475">
          <cell r="A475" t="str">
            <v>5110599010 Ajustes do Grupo Material Ledger - Realizado</v>
          </cell>
          <cell r="B475">
            <v>29.54</v>
          </cell>
        </row>
        <row r="476">
          <cell r="A476" t="str">
            <v>5110608010 Proj Inv.Est.Pesq-Mat Cons-Imobilizado (Realizado)</v>
          </cell>
          <cell r="B476">
            <v>601575.49</v>
          </cell>
        </row>
        <row r="477">
          <cell r="A477" t="str">
            <v>5110620010 Proj Inv.Est.Pesq-S.Prest Terc-Imobiliz PJ(Realiz)</v>
          </cell>
          <cell r="B477">
            <v>1489863.19</v>
          </cell>
        </row>
        <row r="478">
          <cell r="A478" t="str">
            <v>5110620020 Proj Inv.Est.Pesq-S.Prest Terc-Estudo PJ (Realiz)</v>
          </cell>
          <cell r="B478">
            <v>6920</v>
          </cell>
        </row>
        <row r="479">
          <cell r="A479" t="str">
            <v>5110635010 Proj Inv.Est.Pesq-Encarg Financ-Imobiliz (Realiz)</v>
          </cell>
          <cell r="B479">
            <v>159104.57999999999</v>
          </cell>
        </row>
        <row r="480">
          <cell r="A480" t="str">
            <v>5110690050 (-)Proj Inv.Est.Pesq-Imp Aq-ICMS s/Aquis Imob (R)</v>
          </cell>
          <cell r="B480">
            <v>99424.41</v>
          </cell>
        </row>
        <row r="481">
          <cell r="A481" t="str">
            <v>5110690060 (-)Proj Inv.Est.Pesq-Imp Aq-COFINS Aquis Imob (R)</v>
          </cell>
          <cell r="B481">
            <v>179907.92</v>
          </cell>
        </row>
        <row r="482">
          <cell r="A482" t="str">
            <v>5110690070 (-)Proj Inv.Est.Pesq-Imp Aquis-PIS Aquis Imob (R)</v>
          </cell>
          <cell r="B482">
            <v>39059.01</v>
          </cell>
        </row>
        <row r="483">
          <cell r="A483" t="str">
            <v>5110699010 Proj Inv.Est.Pesq-Transf p/Imob em Andamento (R)</v>
          </cell>
          <cell r="B483">
            <v>-2568934.6</v>
          </cell>
        </row>
        <row r="484">
          <cell r="A484" t="str">
            <v>5110699020 Proj Inv.Est.Pesq-Transf p/Estudos/Pesq (Realiz)</v>
          </cell>
          <cell r="B484">
            <v>-6920</v>
          </cell>
        </row>
        <row r="485">
          <cell r="A485" t="str">
            <v>5120101010 Cst P.Fab Próp Transf p/S.Acabado(F.Fab)-(Aj.Real)</v>
          </cell>
          <cell r="B485">
            <v>-321782942.44999999</v>
          </cell>
        </row>
        <row r="486">
          <cell r="A486" t="str">
            <v>5120101011 Cst P.Fab Próp Transf p/S.Acab(AjOrdProd)-(Planej)</v>
          </cell>
          <cell r="B486">
            <v>-9964533.3300000001</v>
          </cell>
        </row>
        <row r="487">
          <cell r="A487" t="str">
            <v>5120101012 Cst P.Fab Próp Transf p/S.Acab(Zerar Centro Cst)</v>
          </cell>
          <cell r="B487">
            <v>5621532.7000000002</v>
          </cell>
        </row>
        <row r="488">
          <cell r="A488" t="str">
            <v>5120101013 Cst P.Fab Próp Consumo S.Acab (Realizado)</v>
          </cell>
          <cell r="B488">
            <v>324049837.82999998</v>
          </cell>
        </row>
        <row r="489">
          <cell r="A489" t="str">
            <v>5120101020 Cst P.Fab Próp Transf p/P.Acabado(F.Fab)-(Aj.Real)</v>
          </cell>
          <cell r="B489">
            <v>-99505066.959999993</v>
          </cell>
        </row>
        <row r="490">
          <cell r="A490" t="str">
            <v>5120101021 Cst P.Fab Próp Transf p/P.Acabado(F.Fab)-(Planej)</v>
          </cell>
          <cell r="B490">
            <v>-352436.47</v>
          </cell>
        </row>
        <row r="491">
          <cell r="A491" t="str">
            <v>5120101022 Cst P.Fab Próp Transf p/P.Acabado(Zerar CentroCst)</v>
          </cell>
          <cell r="B491">
            <v>-2401634.48</v>
          </cell>
        </row>
        <row r="492">
          <cell r="A492" t="str">
            <v>5120101030 Cst P.Fab Próp Transf p/P.Acabado(Aj Cons Real)</v>
          </cell>
          <cell r="B492">
            <v>1056505.43</v>
          </cell>
        </row>
        <row r="493">
          <cell r="A493" t="str">
            <v>Energia Elétrica</v>
          </cell>
          <cell r="B493">
            <v>30643568.210000001</v>
          </cell>
        </row>
        <row r="494">
          <cell r="A494" t="str">
            <v>5110105010 Cons Insumo E Eletrica Cons Energia Eletrica (R)</v>
          </cell>
          <cell r="B494">
            <v>30643568.210000001</v>
          </cell>
        </row>
        <row r="495">
          <cell r="A495" t="str">
            <v>Despesas com salários e benefícios a empregad</v>
          </cell>
          <cell r="B495">
            <v>17820439.449999999</v>
          </cell>
        </row>
        <row r="496">
          <cell r="A496" t="str">
            <v>5111001030 FLPG-Ordena.Sal.Outras Remune Empreg(R)</v>
          </cell>
          <cell r="B496">
            <v>8350597.7400000002</v>
          </cell>
        </row>
        <row r="497">
          <cell r="A497" t="str">
            <v>5111001040 FLPG-13º Salario (Realizado)</v>
          </cell>
          <cell r="B497">
            <v>44760.41</v>
          </cell>
        </row>
        <row r="498">
          <cell r="A498" t="str">
            <v>5111001041 FLPG-Provisao de 13º Salario</v>
          </cell>
          <cell r="B498">
            <v>631907.12</v>
          </cell>
        </row>
        <row r="499">
          <cell r="A499" t="str">
            <v>5111001042 FLPG-Reversao da Provisao de 13º Salario</v>
          </cell>
          <cell r="B499">
            <v>-19518.189999999999</v>
          </cell>
        </row>
        <row r="500">
          <cell r="A500" t="str">
            <v>5111001050 FLPG-Ferias (Realizado)</v>
          </cell>
          <cell r="B500">
            <v>1639338.47</v>
          </cell>
        </row>
        <row r="501">
          <cell r="A501" t="str">
            <v>5111001051 FLPG-Provisao de Ferias</v>
          </cell>
          <cell r="B501">
            <v>784472.04</v>
          </cell>
        </row>
        <row r="502">
          <cell r="A502" t="str">
            <v>5111001052 FLPG-Reversao da Provisao de Ferias</v>
          </cell>
          <cell r="B502">
            <v>-1005191.98</v>
          </cell>
        </row>
        <row r="503">
          <cell r="A503" t="str">
            <v>5111001080 FLPG-Gratificaçoes de Ferias(Realizado)</v>
          </cell>
          <cell r="B503">
            <v>647869.04</v>
          </cell>
        </row>
        <row r="504">
          <cell r="A504" t="str">
            <v>5111001081 FLPG-Provisao de Gratificaçoes de Ferias</v>
          </cell>
          <cell r="B504">
            <v>500722.29</v>
          </cell>
        </row>
        <row r="505">
          <cell r="A505" t="str">
            <v>5111001082 FLPG-Rever Provi Gratificaçoes de Ferias</v>
          </cell>
          <cell r="B505">
            <v>-647869.04</v>
          </cell>
        </row>
        <row r="506">
          <cell r="A506" t="str">
            <v>5111001090 FLPG-Gratificaçoes (Realizado)</v>
          </cell>
          <cell r="B506">
            <v>177327.69</v>
          </cell>
        </row>
        <row r="507">
          <cell r="A507" t="str">
            <v>5111001091 FLPG-Provisao de Gratificaçoes</v>
          </cell>
          <cell r="B507">
            <v>1290648</v>
          </cell>
        </row>
        <row r="508">
          <cell r="A508" t="str">
            <v>5111001100 FLPG-Gratificaçoes Quinquenios (Realizado)</v>
          </cell>
          <cell r="B508">
            <v>1302161.52</v>
          </cell>
        </row>
        <row r="509">
          <cell r="A509" t="str">
            <v>5111001101 FLPG-Prov Gratificaçoes Quinquenios</v>
          </cell>
          <cell r="B509">
            <v>537015.75</v>
          </cell>
        </row>
        <row r="510">
          <cell r="A510" t="str">
            <v>5111001102 FLPG-Rever Prov Gratificaçoes Quinquenios</v>
          </cell>
          <cell r="B510">
            <v>-1302161.52</v>
          </cell>
        </row>
        <row r="511">
          <cell r="A511" t="str">
            <v>5111001120 FLPG-Aviso Previo (Realizado)</v>
          </cell>
          <cell r="B511">
            <v>408531.11</v>
          </cell>
        </row>
        <row r="512">
          <cell r="A512" t="str">
            <v>5111001122 FLPG-Reversao da Provisao de Aviso Previo</v>
          </cell>
          <cell r="B512">
            <v>-408531.11</v>
          </cell>
        </row>
        <row r="513">
          <cell r="A513" t="str">
            <v>5111001240 FLPG-Auxilio Doença (Realizado)</v>
          </cell>
          <cell r="B513">
            <v>33382.449999999997</v>
          </cell>
        </row>
        <row r="514">
          <cell r="A514" t="str">
            <v>5111001250 FLPG-Auxilio Ensino (Realizado)</v>
          </cell>
          <cell r="B514">
            <v>121843.39</v>
          </cell>
        </row>
        <row r="515">
          <cell r="A515" t="str">
            <v>5111001300 FLPG-Bolsa Estudos de Estagiarios (Realizado)</v>
          </cell>
          <cell r="B515">
            <v>64318.02</v>
          </cell>
        </row>
        <row r="516">
          <cell r="A516" t="str">
            <v>5111001990 Rateio da Mão de Obra da Manutenção</v>
          </cell>
          <cell r="B516">
            <v>-4409.7299999999996</v>
          </cell>
        </row>
        <row r="517">
          <cell r="A517" t="str">
            <v>5111002010 FGTS-Folha de Pagamento (Realizado)</v>
          </cell>
          <cell r="B517">
            <v>704833.7</v>
          </cell>
        </row>
        <row r="518">
          <cell r="A518" t="str">
            <v>5111002020 FGTS-Ferias (Realizado)</v>
          </cell>
          <cell r="B518">
            <v>59395.6</v>
          </cell>
        </row>
        <row r="519">
          <cell r="A519" t="str">
            <v>5111002021 FGTS-Provisao de FGTS s/Ferias</v>
          </cell>
          <cell r="B519">
            <v>56474.49</v>
          </cell>
        </row>
        <row r="520">
          <cell r="A520" t="str">
            <v>5111002022 FGTS-Reversao da Provisao de FGTS s/Ferias</v>
          </cell>
          <cell r="B520">
            <v>-73612.02</v>
          </cell>
        </row>
        <row r="521">
          <cell r="A521" t="str">
            <v>5111002030 FGTS-13º Salario (Realizado)</v>
          </cell>
          <cell r="B521">
            <v>17622.54</v>
          </cell>
        </row>
        <row r="522">
          <cell r="A522" t="str">
            <v>5111002031 FGTS-Provisao de FGTS S/13º Salario</v>
          </cell>
          <cell r="B522">
            <v>67957.37</v>
          </cell>
        </row>
        <row r="523">
          <cell r="A523" t="str">
            <v>5111002032 FGTS-Reversao da Provisao FGTS S/13º Salario</v>
          </cell>
          <cell r="B523">
            <v>-19093.13</v>
          </cell>
        </row>
        <row r="524">
          <cell r="A524" t="str">
            <v>5111002040 FGTS-Desligamento de Funcionarios (Realizado)</v>
          </cell>
          <cell r="B524">
            <v>1344338.64</v>
          </cell>
        </row>
        <row r="525">
          <cell r="A525" t="str">
            <v>5111002041 FGTS-Provisao FGTS s/Desligamento Funcionario</v>
          </cell>
          <cell r="B525">
            <v>503895</v>
          </cell>
        </row>
        <row r="526">
          <cell r="A526" t="str">
            <v>5111002042 FGTS-Rever Prov FGTS s/Desligamento Funcionario</v>
          </cell>
          <cell r="B526">
            <v>-1344338.64</v>
          </cell>
        </row>
        <row r="527">
          <cell r="A527" t="str">
            <v>5111003010 INSS-Folha de Pagamento (Realizado)</v>
          </cell>
          <cell r="B527">
            <v>2924586.86</v>
          </cell>
        </row>
        <row r="528">
          <cell r="A528" t="str">
            <v>5111003021 INSS-Provisao de INSS s/Ferias</v>
          </cell>
          <cell r="B528">
            <v>48792.75</v>
          </cell>
        </row>
        <row r="529">
          <cell r="A529" t="str">
            <v>5111003022 INSS-Reversao da Provisao de INSS s/Ferias</v>
          </cell>
          <cell r="B529">
            <v>-110760.05</v>
          </cell>
        </row>
        <row r="530">
          <cell r="A530" t="str">
            <v>5111003031 INSS-Provisao de INSS s/13º Salario</v>
          </cell>
          <cell r="B530">
            <v>177269.84</v>
          </cell>
        </row>
        <row r="531">
          <cell r="A531" t="str">
            <v>5111003032 INSS-Reversao Provisao de INSS s/13º Salario</v>
          </cell>
          <cell r="B531">
            <v>-5340.97</v>
          </cell>
        </row>
        <row r="532">
          <cell r="A532" t="str">
            <v>5111503040 Desp Medicas Hospitalares (Realizado)</v>
          </cell>
          <cell r="B532">
            <v>68449.320000000007</v>
          </cell>
        </row>
        <row r="533">
          <cell r="A533" t="str">
            <v>5111504020 Desenv Prof-Material de Consumo em Cursos (Realiz)</v>
          </cell>
          <cell r="B533">
            <v>38.9</v>
          </cell>
        </row>
        <row r="534">
          <cell r="A534" t="str">
            <v>5111504060 Desenv Prof-Refeiçoes em Cursos (Realizado)</v>
          </cell>
          <cell r="B534">
            <v>38.42</v>
          </cell>
        </row>
        <row r="535">
          <cell r="A535" t="str">
            <v>5111504070 Desenv Prof-Aprendiz de Menores em Cursos (Realiz)</v>
          </cell>
          <cell r="B535">
            <v>37088.54</v>
          </cell>
        </row>
        <row r="536">
          <cell r="A536" t="str">
            <v>5111505010 Desp Soc-Contrib Associaçao Desportiva (Realizado)</v>
          </cell>
          <cell r="B536">
            <v>105240</v>
          </cell>
        </row>
        <row r="537">
          <cell r="A537" t="str">
            <v>5111505020 Desp Soc-Comemoraçoes e Eventos (Realizado)</v>
          </cell>
          <cell r="B537">
            <v>9661.65</v>
          </cell>
        </row>
        <row r="538">
          <cell r="A538" t="str">
            <v>5111506030 Despesa Taxi e Conduçoes (Realizado)</v>
          </cell>
          <cell r="B538">
            <v>79140.58</v>
          </cell>
        </row>
        <row r="539">
          <cell r="A539" t="str">
            <v>5111506040 Despesa Aluguel de Veiculos (Realizado)</v>
          </cell>
          <cell r="B539">
            <v>252</v>
          </cell>
        </row>
        <row r="540">
          <cell r="A540" t="str">
            <v>5111507010 Despesa Refeiçoes Prontas (Realizado)</v>
          </cell>
          <cell r="B540">
            <v>681.69</v>
          </cell>
        </row>
        <row r="541">
          <cell r="A541" t="str">
            <v>5111507030 Despesa Refeiçoes-Visita e Outras (Realizado)</v>
          </cell>
          <cell r="B541">
            <v>14558.28</v>
          </cell>
        </row>
        <row r="542">
          <cell r="A542" t="str">
            <v>5111507040 Despesa Refeiçoes-Lanches Externos (Realizado)</v>
          </cell>
          <cell r="B542">
            <v>6054.62</v>
          </cell>
        </row>
        <row r="543">
          <cell r="A543" t="str">
            <v>Encargos de depreciação e amortização</v>
          </cell>
          <cell r="B543">
            <v>9835678.8900000006</v>
          </cell>
        </row>
        <row r="544">
          <cell r="A544" t="str">
            <v>5119001010 Encarg de Deprec e Amort-Depreciaçao (Realizado)</v>
          </cell>
          <cell r="B544">
            <v>6488758.29</v>
          </cell>
        </row>
        <row r="545">
          <cell r="A545" t="str">
            <v>5119001011 Encarg de Depreciaçao Mais Valia (Realizado)</v>
          </cell>
          <cell r="B545">
            <v>1610280.62</v>
          </cell>
        </row>
        <row r="546">
          <cell r="A546" t="str">
            <v>5119001012 Encarg de Depreciaçao Mais Valia CN (Realizado)</v>
          </cell>
          <cell r="B546">
            <v>1610280.62</v>
          </cell>
        </row>
        <row r="547">
          <cell r="A547" t="str">
            <v>5119001014 Encarg de Depreciaçao AVP (Realizado)</v>
          </cell>
          <cell r="B547">
            <v>116565.53</v>
          </cell>
        </row>
        <row r="548">
          <cell r="A548" t="str">
            <v>5119001050 Encarg de Deprec e Amort-Amortizaçao (Realizado)</v>
          </cell>
          <cell r="B548">
            <v>9742.52</v>
          </cell>
        </row>
        <row r="549">
          <cell r="A549" t="str">
            <v>5119001054 Amortizaçao AVP (Realizado)</v>
          </cell>
          <cell r="B549">
            <v>51.31</v>
          </cell>
        </row>
        <row r="550">
          <cell r="A550" t="str">
            <v>Serviços de terceiros</v>
          </cell>
          <cell r="B550">
            <v>6410151.75</v>
          </cell>
        </row>
        <row r="551">
          <cell r="A551" t="str">
            <v>5112002010 Serviços Prestados Auditoria  p/PJ (Realizado)</v>
          </cell>
          <cell r="B551">
            <v>40142.379999999997</v>
          </cell>
        </row>
        <row r="552">
          <cell r="A552" t="str">
            <v>5112003010 Serviços Prestados Consultoria p/PJ (Realizado)</v>
          </cell>
          <cell r="B552">
            <v>359353.17</v>
          </cell>
        </row>
        <row r="553">
          <cell r="A553" t="str">
            <v>5112003040 Serv Prest Consultoria p/PF s/Vinc Empr (Realiz)</v>
          </cell>
          <cell r="B553">
            <v>15693.68</v>
          </cell>
        </row>
        <row r="554">
          <cell r="A554" t="str">
            <v>5112010010 Serviços Prestados Temporario p/PJ (Realizado)</v>
          </cell>
          <cell r="B554">
            <v>7568.13</v>
          </cell>
        </row>
        <row r="555">
          <cell r="A555" t="str">
            <v>5112011010 Serviços Prestados Limpeza p/ PJ (Realizado)</v>
          </cell>
          <cell r="B555">
            <v>245990.49</v>
          </cell>
        </row>
        <row r="556">
          <cell r="A556" t="str">
            <v>5112012010 Serviços Prestados Vigilancia PJ (Realiz)</v>
          </cell>
          <cell r="B556">
            <v>412643.14</v>
          </cell>
        </row>
        <row r="557">
          <cell r="A557" t="str">
            <v>5112013010 Serviços Prestados Jardinagem p/PJ (Realizado)</v>
          </cell>
          <cell r="B557">
            <v>112007.83</v>
          </cell>
        </row>
        <row r="558">
          <cell r="A558" t="str">
            <v>5112014010 Serv Prest Estacionamento de Caminhoes PJ (Realiz)</v>
          </cell>
          <cell r="B558">
            <v>245025</v>
          </cell>
        </row>
        <row r="559">
          <cell r="A559" t="str">
            <v>5112015010 Serv Prest Fretes Carretos s/Compras p/PJ (Realiz)</v>
          </cell>
          <cell r="B559">
            <v>2019298.71</v>
          </cell>
        </row>
        <row r="560">
          <cell r="A560" t="str">
            <v>5112018010 Serv Prest Reparos Assist Tecnica p/PJ (Realiz)</v>
          </cell>
          <cell r="B560">
            <v>379419.56</v>
          </cell>
        </row>
        <row r="561">
          <cell r="A561" t="str">
            <v>5112019010 Serv Prest Tratamento de Residuos p/PJ (Realiz)</v>
          </cell>
          <cell r="B561">
            <v>37054.230000000003</v>
          </cell>
        </row>
        <row r="562">
          <cell r="A562" t="str">
            <v>5112099010 Prest Serv Tecnicos Profissionais p/PJ (Realiz)</v>
          </cell>
          <cell r="B562">
            <v>219425.98</v>
          </cell>
        </row>
        <row r="563">
          <cell r="A563" t="str">
            <v>5112099040 Serv Prest Tec Profissionais p/PF s/Vin Empr (R)</v>
          </cell>
          <cell r="B563">
            <v>4620</v>
          </cell>
        </row>
        <row r="564">
          <cell r="A564" t="str">
            <v>5112150010 Serv Prest Manutençao Civil p/PJ (Realizado)</v>
          </cell>
          <cell r="B564">
            <v>605007.56000000006</v>
          </cell>
        </row>
        <row r="565">
          <cell r="A565" t="str">
            <v>5112151010 Serv Prest Manutençao Eletricos p/PJ (Realiz)</v>
          </cell>
          <cell r="B565">
            <v>219621.22</v>
          </cell>
        </row>
        <row r="566">
          <cell r="A566" t="str">
            <v>5112152010 Serv Prest Manutençao Mecânicos p/PJ (Realizado)</v>
          </cell>
          <cell r="B566">
            <v>146569.28</v>
          </cell>
        </row>
        <row r="567">
          <cell r="A567" t="str">
            <v>5112153010 Serv Prest Manutençao Inspeçao PJ (Realizado)</v>
          </cell>
          <cell r="B567">
            <v>202922.73</v>
          </cell>
        </row>
        <row r="568">
          <cell r="A568" t="str">
            <v>5112154010 Serv Prest Manutençao Cald/Tubul PJ (Realzado)</v>
          </cell>
          <cell r="B568">
            <v>361285.14</v>
          </cell>
        </row>
        <row r="569">
          <cell r="A569" t="str">
            <v>5112155010 Serv Prest Manut Instrumentaçao PJ (Realizado)</v>
          </cell>
          <cell r="B569">
            <v>209198.78</v>
          </cell>
        </row>
        <row r="570">
          <cell r="A570" t="str">
            <v>5112170010 Serv Prest Manutenaçao Cel HG-PJ (Realizado)</v>
          </cell>
          <cell r="B570">
            <v>156291.35999999999</v>
          </cell>
        </row>
        <row r="571">
          <cell r="A571" t="str">
            <v>5112175010 Serv Prest Manutençao Cel Diafrag p/PJ (Realiz)</v>
          </cell>
          <cell r="B571">
            <v>68033.119999999995</v>
          </cell>
        </row>
        <row r="572">
          <cell r="A572" t="str">
            <v>5112199010 Serv Prest Manutençao Apoio-PJ (Realizado)</v>
          </cell>
          <cell r="B572">
            <v>106756.05</v>
          </cell>
        </row>
        <row r="573">
          <cell r="A573" t="str">
            <v>5112199410 Serv Prest Manutençao Pintura-PJ (Realizado)</v>
          </cell>
          <cell r="B573">
            <v>93468.11</v>
          </cell>
        </row>
        <row r="574">
          <cell r="A574" t="str">
            <v>5112199510 Serv Prest Manutençao Revestimentos-PJ (Realizado)</v>
          </cell>
          <cell r="B574">
            <v>81826.97</v>
          </cell>
        </row>
        <row r="575">
          <cell r="A575" t="str">
            <v>5112199610 Serv Prest Manutençao Isolamentos-PJ (Realizado)</v>
          </cell>
          <cell r="B575">
            <v>60929.13</v>
          </cell>
        </row>
        <row r="576">
          <cell r="A576" t="str">
            <v>Outras</v>
          </cell>
          <cell r="B576">
            <v>4477623.72</v>
          </cell>
        </row>
        <row r="577">
          <cell r="A577" t="str">
            <v>5110801020 Mat Cons-Oper-Mat Processo Produtivo (Realiz)</v>
          </cell>
          <cell r="B577">
            <v>30300.03</v>
          </cell>
        </row>
        <row r="578">
          <cell r="A578" t="str">
            <v>5110801030 Mat Cons-Oper-Mat Tratamento Residuos (Realiz)</v>
          </cell>
          <cell r="B578">
            <v>14091.03</v>
          </cell>
        </row>
        <row r="579">
          <cell r="A579" t="str">
            <v>5110801040 Mat Cons-Oper-Mat Análises Quimicas (Realizado)</v>
          </cell>
          <cell r="B579">
            <v>82087.7</v>
          </cell>
        </row>
        <row r="580">
          <cell r="A580" t="str">
            <v>5110801060 Mat Cons-Oper-Ferramentas (Realizado)</v>
          </cell>
          <cell r="B580">
            <v>101037.93</v>
          </cell>
        </row>
        <row r="581">
          <cell r="A581" t="str">
            <v>5110801070 Mat Cons-Oper-Mat Reparo e Manutençao (Realizado)</v>
          </cell>
          <cell r="B581">
            <v>2250.62</v>
          </cell>
        </row>
        <row r="582">
          <cell r="A582" t="str">
            <v>5110801080 Mat Cons-Oper-Mat Conserv Ecológica (Realizado)</v>
          </cell>
          <cell r="B582">
            <v>3353.08</v>
          </cell>
        </row>
        <row r="583">
          <cell r="A583" t="str">
            <v>5110801090 Mat Cons-Oper-Mat Limpeza (Realizado)</v>
          </cell>
          <cell r="B583">
            <v>4611.92</v>
          </cell>
        </row>
        <row r="584">
          <cell r="A584" t="str">
            <v>5110801100 Mat Cons-Oper-Mat Segurança (Realizado)</v>
          </cell>
          <cell r="B584">
            <v>240305</v>
          </cell>
        </row>
        <row r="585">
          <cell r="A585" t="str">
            <v>5110801110 Mat Cons-Oper-Consumo de Água (Realizado)</v>
          </cell>
          <cell r="B585">
            <v>184967.52</v>
          </cell>
        </row>
        <row r="586">
          <cell r="A586" t="str">
            <v>5110801130 Mat Cons-Oper-Mat Escritório (Realizado)</v>
          </cell>
          <cell r="B586">
            <v>10369.4</v>
          </cell>
        </row>
        <row r="587">
          <cell r="A587" t="str">
            <v>5110801140 Mat Cons-Oper-Mat Imobilizado (Realizado)</v>
          </cell>
          <cell r="B587">
            <v>2255.91</v>
          </cell>
        </row>
        <row r="588">
          <cell r="A588" t="str">
            <v>5110802020 Mat Cons-Manutençao-Eletrica (Realizado)</v>
          </cell>
          <cell r="B588">
            <v>164033.01999999999</v>
          </cell>
        </row>
        <row r="589">
          <cell r="A589" t="str">
            <v>5110802030 Mat Cons-Manutençao-Mecânica (Realizado)</v>
          </cell>
          <cell r="B589">
            <v>852335.51</v>
          </cell>
        </row>
        <row r="590">
          <cell r="A590" t="str">
            <v>5110802040 Mat Cons-Manutençao-Manut Inspeçao (Realizado)</v>
          </cell>
          <cell r="B590">
            <v>0.01</v>
          </cell>
        </row>
        <row r="591">
          <cell r="A591" t="str">
            <v>5110802050 Mat Cons-Manutençao-Calderaria/Tubul (Realizado)</v>
          </cell>
          <cell r="B591">
            <v>1079020.3799999999</v>
          </cell>
        </row>
        <row r="592">
          <cell r="A592" t="str">
            <v>5110802060 Mat Cons-Manutençao-Instrumentaçao (Realizado)</v>
          </cell>
          <cell r="B592">
            <v>607330.37</v>
          </cell>
        </row>
        <row r="593">
          <cell r="A593" t="str">
            <v>5110802070 Mat Cons-Manutençao-Celula HG (Realizado)</v>
          </cell>
          <cell r="B593">
            <v>233094.11</v>
          </cell>
        </row>
        <row r="594">
          <cell r="A594" t="str">
            <v>5110802080 Mat Cons-Manutençao-Celula Diafragma (Realizado)</v>
          </cell>
          <cell r="B594">
            <v>167650.06</v>
          </cell>
        </row>
        <row r="595">
          <cell r="A595" t="str">
            <v>5110802090 Mat Cons-Manutençao-Celula Membrana (Realizado)</v>
          </cell>
          <cell r="B595">
            <v>242.96</v>
          </cell>
        </row>
        <row r="596">
          <cell r="A596" t="str">
            <v>5110802990 Mat Cons-Manutençao-Geral (Realizado)</v>
          </cell>
          <cell r="B596">
            <v>387887.47</v>
          </cell>
        </row>
        <row r="597">
          <cell r="A597" t="str">
            <v>5110803220 Mat Cons-Proc Produtivo-Perda Estoq Almox (Realiz)</v>
          </cell>
          <cell r="B597">
            <v>36.659999999999997</v>
          </cell>
        </row>
        <row r="598">
          <cell r="A598" t="str">
            <v>5111902010 Despesa Viagens Nacionais (Realizado)</v>
          </cell>
          <cell r="B598">
            <v>8211.42</v>
          </cell>
        </row>
        <row r="599">
          <cell r="A599" t="str">
            <v>5111902020 Despesas Viagens Internacionais (Realizado)</v>
          </cell>
          <cell r="B599">
            <v>3736.22</v>
          </cell>
        </row>
        <row r="600">
          <cell r="A600" t="str">
            <v>5114001030 DLF-Desp Autenticidade Reconhecde Firmas (Realiz)</v>
          </cell>
          <cell r="B600">
            <v>14.25</v>
          </cell>
        </row>
        <row r="601">
          <cell r="A601" t="str">
            <v>5114002060 DITC-Txs Municipais,Estaduais,Federais (Realizado)</v>
          </cell>
          <cell r="B601">
            <v>3226.76</v>
          </cell>
        </row>
        <row r="602">
          <cell r="A602" t="str">
            <v>5114002105 Créditos de impostos recuperados - Reintegra</v>
          </cell>
          <cell r="B602">
            <v>-403211.71</v>
          </cell>
        </row>
        <row r="603">
          <cell r="A603" t="str">
            <v>5116001010 Desp Real Even-Semi Fora da Cia Gestao (Realizado)</v>
          </cell>
          <cell r="B603">
            <v>3100</v>
          </cell>
        </row>
        <row r="604">
          <cell r="A604" t="str">
            <v>5116002020 Desp c/Marketing-Relaçoes Publicas (Realizado)</v>
          </cell>
          <cell r="B604">
            <v>355</v>
          </cell>
        </row>
        <row r="605">
          <cell r="A605" t="str">
            <v>5118002050 DPC Ded-Contrib a Entidades de Classes (Realizado)</v>
          </cell>
          <cell r="B605">
            <v>5499.85</v>
          </cell>
        </row>
        <row r="606">
          <cell r="A606" t="str">
            <v>5119905010 Desp Alug/Loc.Oper-Locaçao Equip Operaçao (Realiz)</v>
          </cell>
          <cell r="B606">
            <v>427857.97</v>
          </cell>
        </row>
        <row r="607">
          <cell r="A607" t="str">
            <v>5119905050 Desp Alug/Loc.Oper-Loc de Equip Telefonia(Realiz)</v>
          </cell>
          <cell r="B607">
            <v>1497.38</v>
          </cell>
        </row>
        <row r="608">
          <cell r="A608" t="str">
            <v>5119906010 Desp Alug/Loc. Op-Equipamentos de Manut (Realiz)</v>
          </cell>
          <cell r="B608">
            <v>251932.1</v>
          </cell>
        </row>
        <row r="609">
          <cell r="A609" t="str">
            <v>5119920010 Desp c/Veiculos-Abastecimento (Realizado)</v>
          </cell>
          <cell r="B609">
            <v>1094.72</v>
          </cell>
        </row>
        <row r="610">
          <cell r="A610" t="str">
            <v>5119920050 Desp c/Veiculos-Pedagio e Estacionam (Realizado)</v>
          </cell>
          <cell r="B610">
            <v>2465.2199999999998</v>
          </cell>
        </row>
        <row r="611">
          <cell r="A611" t="str">
            <v>5119920060 Desp c/Veiculos-Licenciamento (Realizado)</v>
          </cell>
          <cell r="B611">
            <v>4583.8500000000004</v>
          </cell>
        </row>
        <row r="612">
          <cell r="A612" t="str">
            <v>Despesas / Receitas Operacionais</v>
          </cell>
          <cell r="B612">
            <v>53833528.140000001</v>
          </cell>
        </row>
        <row r="613">
          <cell r="A613" t="str">
            <v>Despesas com vendas</v>
          </cell>
          <cell r="B613">
            <v>19839163.41</v>
          </cell>
        </row>
        <row r="614">
          <cell r="A614" t="str">
            <v>Despesas com fretes sobre vendas</v>
          </cell>
          <cell r="B614">
            <v>19839163.219999999</v>
          </cell>
        </row>
        <row r="615">
          <cell r="A615" t="str">
            <v>3140101030 Fretes s/Vendas de Produtos no MI (Realizado)</v>
          </cell>
          <cell r="B615">
            <v>19275815.469999999</v>
          </cell>
        </row>
        <row r="616">
          <cell r="A616" t="str">
            <v>3140105030 Fretes s/Revendas de Mercadorias no MI (Realiz)</v>
          </cell>
          <cell r="B616">
            <v>563347.75</v>
          </cell>
        </row>
        <row r="617">
          <cell r="A617" t="str">
            <v>Outras despesas com vendas</v>
          </cell>
          <cell r="B617">
            <v>0.19</v>
          </cell>
        </row>
        <row r="618">
          <cell r="A618" t="str">
            <v>3140601030 Desp Remessas p/Testes Ensaios e Prod FP (Realiz)</v>
          </cell>
          <cell r="B618">
            <v>0.19</v>
          </cell>
        </row>
        <row r="619">
          <cell r="A619" t="str">
            <v>Despesas Gerais e Administrativas</v>
          </cell>
          <cell r="B619">
            <v>21920884.59</v>
          </cell>
        </row>
        <row r="620">
          <cell r="A620" t="str">
            <v>Energia Elétrica consumo administrativo</v>
          </cell>
          <cell r="B620">
            <v>17448.330000000002</v>
          </cell>
        </row>
        <row r="621">
          <cell r="A621" t="str">
            <v>3170801120 Mat Cons Oper-Luz (Realizado)</v>
          </cell>
          <cell r="B621">
            <v>17448.330000000002</v>
          </cell>
        </row>
        <row r="622">
          <cell r="A622" t="str">
            <v>Despesas com salários e benefícios a empreg</v>
          </cell>
          <cell r="B622">
            <v>12860425.09</v>
          </cell>
        </row>
        <row r="623">
          <cell r="A623" t="str">
            <v>3171001010 FLPG-Remuneraçao a Dirigentes Conselho Adm (Pgto)</v>
          </cell>
          <cell r="B623">
            <v>1605777</v>
          </cell>
        </row>
        <row r="624">
          <cell r="A624" t="str">
            <v>3171001021 FLPG-Prov Gratificaçao a Dirigentes Conselho Adm</v>
          </cell>
          <cell r="B624">
            <v>816369</v>
          </cell>
        </row>
        <row r="625">
          <cell r="A625" t="str">
            <v>3171001030 FLPG-Ordenados, Salars e Outras Remun a Empreg (R)</v>
          </cell>
          <cell r="B625">
            <v>2963534.66</v>
          </cell>
        </row>
        <row r="626">
          <cell r="A626" t="str">
            <v>3171001040 FLPG-13º Salario (Realizado)</v>
          </cell>
          <cell r="B626">
            <v>26605.88</v>
          </cell>
        </row>
        <row r="627">
          <cell r="A627" t="str">
            <v>3171001041 FLPG-Provisao de 13º Salario</v>
          </cell>
          <cell r="B627">
            <v>237595.48</v>
          </cell>
        </row>
        <row r="628">
          <cell r="A628" t="str">
            <v>3171001042 FLPG-Reversao Provisao de 13º Salario</v>
          </cell>
          <cell r="B628">
            <v>-12628.15</v>
          </cell>
        </row>
        <row r="629">
          <cell r="A629" t="str">
            <v>3171001050 FLPG-Ferias (Realizado)</v>
          </cell>
          <cell r="B629">
            <v>480428.12</v>
          </cell>
        </row>
        <row r="630">
          <cell r="A630" t="str">
            <v>3171001051 FLPG-Provisao de Ferias</v>
          </cell>
          <cell r="B630">
            <v>227217.12</v>
          </cell>
        </row>
        <row r="631">
          <cell r="A631" t="str">
            <v>3171001052 FLPG-Reversap da Provisao de Ferias</v>
          </cell>
          <cell r="B631">
            <v>-282928.18</v>
          </cell>
        </row>
        <row r="632">
          <cell r="A632" t="str">
            <v>3171001080 FLPG-Gratificaçao de Ferias (Realiz)</v>
          </cell>
          <cell r="B632">
            <v>162930.15</v>
          </cell>
        </row>
        <row r="633">
          <cell r="A633" t="str">
            <v>3171001081 FLPG-Provisao de Gratificaçao de Ferias</v>
          </cell>
          <cell r="B633">
            <v>126572.97</v>
          </cell>
        </row>
        <row r="634">
          <cell r="A634" t="str">
            <v>3171001082 FLPG-Reversao da Prov de Gratificaçao de Ferias</v>
          </cell>
          <cell r="B634">
            <v>-162930.15</v>
          </cell>
        </row>
        <row r="635">
          <cell r="A635" t="str">
            <v>3171001090 FLPG-Gratificaçoes (Realizado)</v>
          </cell>
          <cell r="B635">
            <v>1035.3800000000001</v>
          </cell>
        </row>
        <row r="636">
          <cell r="A636" t="str">
            <v>3171001091 FLPG-Provisao de Gratificaçoes</v>
          </cell>
          <cell r="B636">
            <v>681843</v>
          </cell>
        </row>
        <row r="637">
          <cell r="A637" t="str">
            <v>3171001100 FLPG-Gratificoes Quinquenios (Realizado)</v>
          </cell>
          <cell r="B637">
            <v>36435.089999999997</v>
          </cell>
        </row>
        <row r="638">
          <cell r="A638" t="str">
            <v>3171001101 FLPG-Provisao de Gratificaçoes Quinquenios</v>
          </cell>
          <cell r="B638">
            <v>181484.21</v>
          </cell>
        </row>
        <row r="639">
          <cell r="A639" t="str">
            <v>3171001102 FLPG-Reversao Provisao Gratificacoes Quinquenios</v>
          </cell>
          <cell r="B639">
            <v>-36435.089999999997</v>
          </cell>
        </row>
        <row r="640">
          <cell r="A640" t="str">
            <v>3171001120 FLPG-Aviso Previo (Realizado)</v>
          </cell>
          <cell r="B640">
            <v>189208.64</v>
          </cell>
        </row>
        <row r="641">
          <cell r="A641" t="str">
            <v>3171001122 FLPG-Reversao da Provisao de Aviso Previo</v>
          </cell>
          <cell r="B641">
            <v>-189208.64</v>
          </cell>
        </row>
        <row r="642">
          <cell r="A642" t="str">
            <v>3171001130 FLPG-Indenizacoes (Realizado)</v>
          </cell>
          <cell r="B642">
            <v>41810.300000000003</v>
          </cell>
        </row>
        <row r="643">
          <cell r="A643" t="str">
            <v>3171001240 FLPG-Auxilio Doença (Realizado)</v>
          </cell>
          <cell r="B643">
            <v>20947.939999999999</v>
          </cell>
        </row>
        <row r="644">
          <cell r="A644" t="str">
            <v>3171001250 FLPG-Auxilio Ensino (Realizado)</v>
          </cell>
          <cell r="B644">
            <v>61802.09</v>
          </cell>
        </row>
        <row r="645">
          <cell r="A645" t="str">
            <v>3171001300 FLPG-Bolsa Estudos de Estagiarios (Realizado)</v>
          </cell>
          <cell r="B645">
            <v>28088.28</v>
          </cell>
        </row>
        <row r="646">
          <cell r="A646" t="str">
            <v>3171001990 Rateio da Mão de Obra da Manutenção</v>
          </cell>
          <cell r="B646">
            <v>4409.7299999999996</v>
          </cell>
        </row>
        <row r="647">
          <cell r="A647" t="str">
            <v>3171002010 FGTS s/Folha de Pagamento (Realizado)</v>
          </cell>
          <cell r="B647">
            <v>236855.92</v>
          </cell>
        </row>
        <row r="648">
          <cell r="A648" t="str">
            <v>3171002020 FGTS s/Ferias (Realizado)</v>
          </cell>
          <cell r="B648">
            <v>16107.29</v>
          </cell>
        </row>
        <row r="649">
          <cell r="A649" t="str">
            <v>3171002021 Provisao de FGTS s/Ferias</v>
          </cell>
          <cell r="B649">
            <v>19998.53</v>
          </cell>
        </row>
        <row r="650">
          <cell r="A650" t="str">
            <v>3171002022 Reversao da Provisao de FGTS s/Ferias</v>
          </cell>
          <cell r="B650">
            <v>-24390.04</v>
          </cell>
        </row>
        <row r="651">
          <cell r="A651" t="str">
            <v>3171002030 FGTS s/13º Salario (Realizado)</v>
          </cell>
          <cell r="B651">
            <v>6272.14</v>
          </cell>
        </row>
        <row r="652">
          <cell r="A652" t="str">
            <v>3171002031 Provisao de FGTS s/13º Salario</v>
          </cell>
          <cell r="B652">
            <v>25177.82</v>
          </cell>
        </row>
        <row r="653">
          <cell r="A653" t="str">
            <v>3171002032 Reversao da Provisao de FGTS s/13º Salario</v>
          </cell>
          <cell r="B653">
            <v>-7186.51</v>
          </cell>
        </row>
        <row r="654">
          <cell r="A654" t="str">
            <v>3171002040 FGTS s/Desligamento de Funcionario (Realizado)</v>
          </cell>
          <cell r="B654">
            <v>541563.86</v>
          </cell>
        </row>
        <row r="655">
          <cell r="A655" t="str">
            <v>3171002041 Provisao de FGTS s/Desligamento de Funcionario</v>
          </cell>
          <cell r="B655">
            <v>274302</v>
          </cell>
        </row>
        <row r="656">
          <cell r="A656" t="str">
            <v>3171002042 Reversao Provisao de FGTS s/Desl Funcionario</v>
          </cell>
          <cell r="B656">
            <v>-541563.86</v>
          </cell>
        </row>
        <row r="657">
          <cell r="A657" t="str">
            <v>3171003010 INSS s/Folha de Pagamento (Realizado)</v>
          </cell>
          <cell r="B657">
            <v>1224820.53</v>
          </cell>
        </row>
        <row r="658">
          <cell r="A658" t="str">
            <v>3171003021 Provisao de INSS s/Ferias</v>
          </cell>
          <cell r="B658">
            <v>48313.51</v>
          </cell>
        </row>
        <row r="659">
          <cell r="A659" t="str">
            <v>3171003022 Reversao da Provisao de INSS s/Ferias</v>
          </cell>
          <cell r="B659">
            <v>-63954.33</v>
          </cell>
        </row>
        <row r="660">
          <cell r="A660" t="str">
            <v>3171003031 Provisao de INSS s/13º Salario</v>
          </cell>
          <cell r="B660">
            <v>66412.31</v>
          </cell>
        </row>
        <row r="661">
          <cell r="A661" t="str">
            <v>3171003032 Reversao da Provisao de INSS s/13º Salario</v>
          </cell>
          <cell r="B661">
            <v>-3252.6</v>
          </cell>
        </row>
        <row r="662">
          <cell r="A662" t="str">
            <v>3171003051 Provisao de INSS s/Gratificações</v>
          </cell>
          <cell r="B662">
            <v>163275</v>
          </cell>
        </row>
        <row r="663">
          <cell r="A663" t="str">
            <v>3171501010 Prev Priv CD-Contribuicoes da Empresa (Realizado)</v>
          </cell>
          <cell r="B663">
            <v>1457064.28</v>
          </cell>
        </row>
        <row r="664">
          <cell r="A664" t="str">
            <v>3171501015 Prev Priv CD-Participaçao dos Empregados</v>
          </cell>
          <cell r="B664">
            <v>-472726.8</v>
          </cell>
        </row>
        <row r="665">
          <cell r="A665" t="str">
            <v>3171502011 Provisao Seguro de Vida em Grupo</v>
          </cell>
          <cell r="B665">
            <v>181905.87</v>
          </cell>
        </row>
        <row r="666">
          <cell r="A666" t="str">
            <v>3171503010 Assistencia Medica e Hospitalar (Realizado)</v>
          </cell>
          <cell r="B666">
            <v>1050573.56</v>
          </cell>
        </row>
        <row r="667">
          <cell r="A667" t="str">
            <v>3171503015 Partic dos Empregados Assistenc Medica e Hospit</v>
          </cell>
          <cell r="B667">
            <v>-73425.570000000007</v>
          </cell>
        </row>
        <row r="668">
          <cell r="A668" t="str">
            <v>3171503020 Assistencia Medica e Hospitalar Aposent (Realiz)</v>
          </cell>
          <cell r="B668">
            <v>98914.75</v>
          </cell>
        </row>
        <row r="669">
          <cell r="A669" t="str">
            <v>3171503021 Provisao Assistencia Medica Hospitalar Aposentados</v>
          </cell>
          <cell r="B669">
            <v>82299</v>
          </cell>
        </row>
        <row r="670">
          <cell r="A670" t="str">
            <v>3171503022 Reversao Prov Assist Medica Hospitalar Aposentados</v>
          </cell>
          <cell r="B670">
            <v>-98914.75</v>
          </cell>
        </row>
        <row r="671">
          <cell r="A671" t="str">
            <v>3171503030 Assistencia Odontologica (Realizado)</v>
          </cell>
          <cell r="B671">
            <v>65296.98</v>
          </cell>
        </row>
        <row r="672">
          <cell r="A672" t="str">
            <v>3171503035 Participacao dos Empregados Assist Odontologica</v>
          </cell>
          <cell r="B672">
            <v>-5163.96</v>
          </cell>
        </row>
        <row r="673">
          <cell r="A673" t="str">
            <v>3171503040 Despesas Medicas e Hospitalares (Realizado)</v>
          </cell>
          <cell r="B673">
            <v>42261.24</v>
          </cell>
        </row>
        <row r="674">
          <cell r="A674" t="str">
            <v>3171504010 Desenv Prof-Cursos (Realizado)</v>
          </cell>
          <cell r="B674">
            <v>55229.82</v>
          </cell>
        </row>
        <row r="675">
          <cell r="A675" t="str">
            <v>3171504020 Desenv Prof-Material de Consumo em Cursos (Realiz)</v>
          </cell>
          <cell r="B675">
            <v>1564.9</v>
          </cell>
        </row>
        <row r="676">
          <cell r="A676" t="str">
            <v>3171504030 Desenv Prof-Serviços de Tercrs em Cursos (Realiz)</v>
          </cell>
          <cell r="B676">
            <v>1440</v>
          </cell>
        </row>
        <row r="677">
          <cell r="A677" t="str">
            <v>3171504040 Desenv Prof-Diarias em Cursos (Realizado)</v>
          </cell>
          <cell r="B677">
            <v>537.02</v>
          </cell>
        </row>
        <row r="678">
          <cell r="A678" t="str">
            <v>3171504050 Desenv Prof-Transportes em Cursos (Realizado)</v>
          </cell>
          <cell r="B678">
            <v>9733.16</v>
          </cell>
        </row>
        <row r="679">
          <cell r="A679" t="str">
            <v>3171504060 Desenv Prof-Refeiçoes em Cursos (Realizado)</v>
          </cell>
          <cell r="B679">
            <v>10362.36</v>
          </cell>
        </row>
        <row r="680">
          <cell r="A680" t="str">
            <v>3171504070 Desenv Prof-Aprendiz de Menores em Cursos (Realiz)</v>
          </cell>
          <cell r="B680">
            <v>3682.8</v>
          </cell>
        </row>
        <row r="681">
          <cell r="A681" t="str">
            <v>3171505020 Desp Soc-Comemoraçoes e Eventos (Realizado)</v>
          </cell>
          <cell r="B681">
            <v>2592.48</v>
          </cell>
        </row>
        <row r="682">
          <cell r="A682" t="str">
            <v>3171505030 Desp Soc-Assistencia Social Funcionarios (Realiz)</v>
          </cell>
          <cell r="B682">
            <v>18251.830000000002</v>
          </cell>
        </row>
        <row r="683">
          <cell r="A683" t="str">
            <v>3171505050 Desp Soc-Comunicaçao Interna (Realizado)</v>
          </cell>
          <cell r="B683">
            <v>3305</v>
          </cell>
        </row>
        <row r="684">
          <cell r="A684" t="str">
            <v>3171506010 Desp Transp-Conduçao Contratada (Realizado)</v>
          </cell>
          <cell r="B684">
            <v>697008.78</v>
          </cell>
        </row>
        <row r="685">
          <cell r="A685" t="str">
            <v>3171506015 Participaçao dos Empregados-Conduçao Contratada</v>
          </cell>
          <cell r="B685">
            <v>-9604.5300000000007</v>
          </cell>
        </row>
        <row r="686">
          <cell r="A686" t="str">
            <v>3171506020 Despesa Vale Transporte (Realizado)</v>
          </cell>
          <cell r="B686">
            <v>19837.97</v>
          </cell>
        </row>
        <row r="687">
          <cell r="A687" t="str">
            <v>3171506025 Participaçao dos Empregados-Vale Transporte</v>
          </cell>
          <cell r="B687">
            <v>-768.36</v>
          </cell>
        </row>
        <row r="688">
          <cell r="A688" t="str">
            <v>3171506030 Despesa Taxi e Conduçoes (Realizado)</v>
          </cell>
          <cell r="B688">
            <v>75618.06</v>
          </cell>
        </row>
        <row r="689">
          <cell r="A689" t="str">
            <v>3171506040 Despesa Aluguel de Veiculos (Realizado)</v>
          </cell>
          <cell r="B689">
            <v>11987.25</v>
          </cell>
        </row>
        <row r="690">
          <cell r="A690" t="str">
            <v>3171507010 Despesa Refeiçoes Prontas (Realizado)</v>
          </cell>
          <cell r="B690">
            <v>344717.81</v>
          </cell>
        </row>
        <row r="691">
          <cell r="A691" t="str">
            <v>3171507015 Participaçao dos Empregados-Refeiçoes Prontas</v>
          </cell>
          <cell r="B691">
            <v>-38145.360000000001</v>
          </cell>
        </row>
        <row r="692">
          <cell r="A692" t="str">
            <v>3171507020 Despesa Material de Consumo Refeitorio (Realiz)</v>
          </cell>
          <cell r="B692">
            <v>39687.25</v>
          </cell>
        </row>
        <row r="693">
          <cell r="A693" t="str">
            <v>3171507025 Desp Material Consumo Refeitorio Descont Func-R</v>
          </cell>
          <cell r="B693">
            <v>6586.47</v>
          </cell>
        </row>
        <row r="694">
          <cell r="A694" t="str">
            <v>3171507030 Despesa Refeiçoes-Visita e Outras (Realizado)</v>
          </cell>
          <cell r="B694">
            <v>49869.42</v>
          </cell>
        </row>
        <row r="695">
          <cell r="A695" t="str">
            <v>3171507040 Despesa Refeiçoes-Lanches Externos (Realizado)</v>
          </cell>
          <cell r="B695">
            <v>36129.96</v>
          </cell>
        </row>
        <row r="696">
          <cell r="A696" t="str">
            <v>Encargos de depreciação e amortização na DGA</v>
          </cell>
          <cell r="B696">
            <v>2908281.45</v>
          </cell>
        </row>
        <row r="697">
          <cell r="A697" t="str">
            <v>3179001010 Encarg de Deprec e Amort-Depreciaçao (Realizado)</v>
          </cell>
          <cell r="B697">
            <v>330567.53000000003</v>
          </cell>
        </row>
        <row r="698">
          <cell r="A698" t="str">
            <v>3179001011 Encarg de Depreciaçao Mais Valia (Realizado)</v>
          </cell>
          <cell r="B698">
            <v>5449.62</v>
          </cell>
        </row>
        <row r="699">
          <cell r="A699" t="str">
            <v>3179001012 Encs de Depreciaçao Mais Valia Comb Neg(Realizado)</v>
          </cell>
          <cell r="B699">
            <v>5449.62</v>
          </cell>
        </row>
        <row r="700">
          <cell r="A700" t="str">
            <v>3179001014 Encarg de Depreciaçao do AVP (Realizado)</v>
          </cell>
          <cell r="B700">
            <v>2470.44</v>
          </cell>
        </row>
        <row r="701">
          <cell r="A701" t="str">
            <v>3179001050 Encarg de Deprec e Amort-Amortizaçao (Realizado)</v>
          </cell>
          <cell r="B701">
            <v>821205.02</v>
          </cell>
        </row>
        <row r="702">
          <cell r="A702" t="str">
            <v>3179001054 Encargs de Amortizaçao AVP (Realizado)</v>
          </cell>
          <cell r="B702">
            <v>3064.1</v>
          </cell>
        </row>
        <row r="703">
          <cell r="A703" t="str">
            <v>3179001104 Encargs de Amortizaçao Investimentos (Realizado)</v>
          </cell>
          <cell r="B703">
            <v>1740075.12</v>
          </cell>
        </row>
        <row r="704">
          <cell r="A704" t="str">
            <v>Serviços de terceiros nas DGAs</v>
          </cell>
          <cell r="B704">
            <v>3422494.93</v>
          </cell>
        </row>
        <row r="705">
          <cell r="A705" t="str">
            <v>3172001010 Serviços Prestados Advocacia p/PJ (Realizado)</v>
          </cell>
          <cell r="B705">
            <v>1128695.67</v>
          </cell>
        </row>
        <row r="706">
          <cell r="A706" t="str">
            <v>3172001015 Rec Desps c/Honorarios Advocaticios (Realizado)</v>
          </cell>
          <cell r="B706">
            <v>-73206.73</v>
          </cell>
        </row>
        <row r="707">
          <cell r="A707" t="str">
            <v>3172002010 Serviços Prestados Auditoria  p/PJ (Realizado)</v>
          </cell>
          <cell r="B707">
            <v>80250</v>
          </cell>
        </row>
        <row r="708">
          <cell r="A708" t="str">
            <v>3172003010 Serviços Prestados Consultoria p/PJ (Realizado)</v>
          </cell>
          <cell r="B708">
            <v>1116807.8999999999</v>
          </cell>
        </row>
        <row r="709">
          <cell r="A709" t="str">
            <v>3172003040 Serv Prest Consultoria p/PF s/Vinc Empr (Realiz)</v>
          </cell>
          <cell r="B709">
            <v>61073.47</v>
          </cell>
        </row>
        <row r="710">
          <cell r="A710" t="str">
            <v>3172007010 Serv Prest Informaçoes Cadastrais p/PJ (Realiz)</v>
          </cell>
          <cell r="B710">
            <v>49994.239999999998</v>
          </cell>
        </row>
        <row r="711">
          <cell r="A711" t="str">
            <v>3172008010 Serv Prest Propaganda e Publicidade p/PJ (Realiz)</v>
          </cell>
          <cell r="B711">
            <v>27041</v>
          </cell>
        </row>
        <row r="712">
          <cell r="A712" t="str">
            <v>3172009010 Serv Prest Atualiz/Suporte Tecnico p/PJ (Realiz)</v>
          </cell>
          <cell r="B712">
            <v>221819.96</v>
          </cell>
        </row>
        <row r="713">
          <cell r="A713" t="str">
            <v>3172010010 Serviços Prestados Temporario p/PJ (Realizado)</v>
          </cell>
          <cell r="B713">
            <v>96877.81</v>
          </cell>
        </row>
        <row r="714">
          <cell r="A714" t="str">
            <v>3172011010 Serviços Prestados Limpeza p/ PJ (Realizado)</v>
          </cell>
          <cell r="B714">
            <v>46967.48</v>
          </cell>
        </row>
        <row r="715">
          <cell r="A715" t="str">
            <v>3172012010 Serviços Prestados Vigilancia PJ (Realiz)</v>
          </cell>
          <cell r="B715">
            <v>422076.82</v>
          </cell>
        </row>
        <row r="716">
          <cell r="A716" t="str">
            <v>3172018010 Serv Prest Reparos Assist Tecnica p/PJ (Realiz)</v>
          </cell>
          <cell r="B716">
            <v>45521.03</v>
          </cell>
        </row>
        <row r="717">
          <cell r="A717" t="str">
            <v>3172099010 Prest Serv Tecnicos Profissionais p/PJ (Realiz)</v>
          </cell>
          <cell r="B717">
            <v>189724.24</v>
          </cell>
        </row>
        <row r="718">
          <cell r="A718" t="str">
            <v>3172099040 Serv Prest Tec Profissionais p/PF s/Vin Empr (R)</v>
          </cell>
          <cell r="B718">
            <v>1000</v>
          </cell>
        </row>
        <row r="719">
          <cell r="A719" t="str">
            <v>3172150010 Serv Prest Manutençao Civil p/PJ (Realizado)</v>
          </cell>
          <cell r="B719">
            <v>3434.04</v>
          </cell>
        </row>
        <row r="720">
          <cell r="A720" t="str">
            <v>3172199010 Serv Prest Manutençao Geral p/PJ (Realizado)</v>
          </cell>
          <cell r="B720">
            <v>4418</v>
          </cell>
        </row>
        <row r="721">
          <cell r="A721" t="str">
            <v>Outras despesas gerais administrativas</v>
          </cell>
          <cell r="B721">
            <v>2712234.79</v>
          </cell>
        </row>
        <row r="722">
          <cell r="A722" t="str">
            <v>3170801070 Mat Cons Oper-Reparo e Manutençao (Realiz)</v>
          </cell>
          <cell r="B722">
            <v>337.44</v>
          </cell>
        </row>
        <row r="723">
          <cell r="A723" t="str">
            <v>3170801090 Mat Cons Oper-Limpeza (Realizado)</v>
          </cell>
          <cell r="B723">
            <v>14.79</v>
          </cell>
        </row>
        <row r="724">
          <cell r="A724" t="str">
            <v>3170801100 Mat Cons Oper-Segurança (Realizado)</v>
          </cell>
          <cell r="B724">
            <v>979.44</v>
          </cell>
        </row>
        <row r="725">
          <cell r="A725" t="str">
            <v>3170801130 Mat Cons Oper-Escritorio (Realizado)</v>
          </cell>
          <cell r="B725">
            <v>15472.1</v>
          </cell>
        </row>
        <row r="726">
          <cell r="A726" t="str">
            <v>3170801140 Mat Cons Oper-Imobilizado (Realizado)</v>
          </cell>
          <cell r="B726">
            <v>938.2</v>
          </cell>
        </row>
        <row r="727">
          <cell r="A727" t="str">
            <v>3170802990 Materias Consumo-Manutencao em Geral (Realiz)</v>
          </cell>
          <cell r="B727">
            <v>6784.93</v>
          </cell>
        </row>
        <row r="728">
          <cell r="A728" t="str">
            <v>3171901010 Sel Recrut-Servs de Tercrs p/Seleçao e Recrut (R)</v>
          </cell>
          <cell r="B728">
            <v>480</v>
          </cell>
        </row>
        <row r="729">
          <cell r="A729" t="str">
            <v>3171902010 Despesa Viagens Nacionais (Realizado)</v>
          </cell>
          <cell r="B729">
            <v>108649.65</v>
          </cell>
        </row>
        <row r="730">
          <cell r="A730" t="str">
            <v>3171902020 Despesas Viagens Internacionais (Realizado)</v>
          </cell>
          <cell r="B730">
            <v>-10482.98</v>
          </cell>
        </row>
        <row r="731">
          <cell r="A731" t="str">
            <v>3173501010 Desp Correspondencia-Malote (Realizado)</v>
          </cell>
          <cell r="B731">
            <v>9802.4</v>
          </cell>
        </row>
        <row r="732">
          <cell r="A732" t="str">
            <v>3173501020 Desp Correspondencia-Postais (Realizado)</v>
          </cell>
          <cell r="B732">
            <v>6181.31</v>
          </cell>
        </row>
        <row r="733">
          <cell r="A733" t="str">
            <v>3173505010 Desp Telec-Desp c/Telefonia Fixa (Realizado)</v>
          </cell>
          <cell r="B733">
            <v>-157.58000000000001</v>
          </cell>
        </row>
        <row r="734">
          <cell r="A734" t="str">
            <v>3173505020 Desp Telec-Desp c/Telefonia Movel (Realizado)</v>
          </cell>
          <cell r="B734">
            <v>44245.98</v>
          </cell>
        </row>
        <row r="735">
          <cell r="A735" t="str">
            <v>3173505030 Desp Telec-Desp Comun Dados EC/FC Internet(Realiz)</v>
          </cell>
          <cell r="B735">
            <v>42960.12</v>
          </cell>
        </row>
        <row r="736">
          <cell r="A736" t="str">
            <v>3173505040 Desp Telec-Desp Comum Dados Internet (Realizado)</v>
          </cell>
          <cell r="B736">
            <v>18072.330000000002</v>
          </cell>
        </row>
        <row r="737">
          <cell r="A737" t="str">
            <v>3173505060 Desp Telec-Desp Comum Dados Banda Larga(Realizado)</v>
          </cell>
          <cell r="B737">
            <v>1382.36</v>
          </cell>
        </row>
        <row r="738">
          <cell r="A738" t="str">
            <v>3173505070 Desp Telec-Desp Comum Dados Video Conferen(Realiz)</v>
          </cell>
          <cell r="B738">
            <v>1960.14</v>
          </cell>
        </row>
        <row r="739">
          <cell r="A739" t="str">
            <v>3174001010 DLF-Desp c/Publicidade Atas e Balanços (Realizado)</v>
          </cell>
          <cell r="B739">
            <v>26891.71</v>
          </cell>
        </row>
        <row r="740">
          <cell r="A740" t="str">
            <v>3174001020 DLF-Desp Escritur Procuraçoes e Contratos (Realiz)</v>
          </cell>
          <cell r="B740">
            <v>99660.2</v>
          </cell>
        </row>
        <row r="741">
          <cell r="A741" t="str">
            <v>3174001030 DLF-Desp Autenticidade Reconhecde Firmas (Realiz)</v>
          </cell>
          <cell r="B741">
            <v>8039.35</v>
          </cell>
        </row>
        <row r="742">
          <cell r="A742" t="str">
            <v>3174001040 DLF-Desp c/ Custas Judiciais (Realizado)</v>
          </cell>
          <cell r="B742">
            <v>25204.63</v>
          </cell>
        </row>
        <row r="743">
          <cell r="A743" t="str">
            <v>3174001990 DLF-Outras Despesas Legais (Realizado)</v>
          </cell>
          <cell r="B743">
            <v>54128.65</v>
          </cell>
        </row>
        <row r="744">
          <cell r="A744" t="str">
            <v>3174002010 DITC-Contribuiçao Sindical Patronal (Realizado)</v>
          </cell>
          <cell r="B744">
            <v>3338.82</v>
          </cell>
        </row>
        <row r="745">
          <cell r="A745" t="str">
            <v>3174002020 DITC-Predial e Territorial (Realizado)</v>
          </cell>
          <cell r="B745">
            <v>563019.81999999995</v>
          </cell>
        </row>
        <row r="746">
          <cell r="A746" t="str">
            <v>3174002021 DITC-Provisao Imposto Predial Territorial (Realiz)</v>
          </cell>
          <cell r="B746">
            <v>38202</v>
          </cell>
        </row>
        <row r="747">
          <cell r="A747" t="str">
            <v>3174002030 DITC-Licença e Funcionamento (Realizado)</v>
          </cell>
          <cell r="B747">
            <v>2669.6</v>
          </cell>
        </row>
        <row r="748">
          <cell r="A748" t="str">
            <v>3174002040 DITC-ICMS s/Aquisiçao de Imobilizado (Realizado)</v>
          </cell>
          <cell r="B748">
            <v>1696.48</v>
          </cell>
        </row>
        <row r="749">
          <cell r="A749" t="str">
            <v>3174002060 DITC-Txs Municipais,Estaduais,Federais (Realizado)</v>
          </cell>
          <cell r="B749">
            <v>4652.01</v>
          </cell>
        </row>
        <row r="750">
          <cell r="A750" t="str">
            <v>3175001010 Desp Seguro-Automoveis (Realizado)</v>
          </cell>
          <cell r="B750">
            <v>13134.91</v>
          </cell>
        </row>
        <row r="751">
          <cell r="A751" t="str">
            <v>3175001020 Desp Seguro-Responsabilidade Civil (Realizado)</v>
          </cell>
          <cell r="B751">
            <v>173632.53</v>
          </cell>
        </row>
        <row r="752">
          <cell r="A752" t="str">
            <v>3175001030 Desp Seguro-Risco Nomeado (Realizado)</v>
          </cell>
          <cell r="B752">
            <v>440031.75</v>
          </cell>
        </row>
        <row r="753">
          <cell r="A753" t="str">
            <v>3175001040 Desp Seguro-Riscos Diversos (Realizado)</v>
          </cell>
          <cell r="B753">
            <v>1554.36</v>
          </cell>
        </row>
        <row r="754">
          <cell r="A754" t="str">
            <v>3175001050 Desp Seguro-Ambiental (Realizado)</v>
          </cell>
          <cell r="B754">
            <v>44666.67</v>
          </cell>
        </row>
        <row r="755">
          <cell r="A755" t="str">
            <v>3176001010 Desp Real Even-Semi Fora da Cia Gestao (Realizado)</v>
          </cell>
          <cell r="B755">
            <v>8867.32</v>
          </cell>
        </row>
        <row r="756">
          <cell r="A756" t="str">
            <v>3176002010 Desp Eventos Marketing (Realizado)</v>
          </cell>
          <cell r="B756">
            <v>300</v>
          </cell>
        </row>
        <row r="757">
          <cell r="A757" t="str">
            <v>3176002020 Desp c/Marketing-Relaçoes Publicas (Realizado)</v>
          </cell>
          <cell r="B757">
            <v>25669.18</v>
          </cell>
        </row>
        <row r="758">
          <cell r="A758" t="str">
            <v>3176002030 Desp c/Marketing-Patrocinios (Realizado)</v>
          </cell>
          <cell r="B758">
            <v>8280</v>
          </cell>
        </row>
        <row r="759">
          <cell r="A759" t="str">
            <v>3176002040 Desp c/Marketing-Programa Fabrica Aberta (Realiz)</v>
          </cell>
          <cell r="B759">
            <v>1340</v>
          </cell>
        </row>
        <row r="760">
          <cell r="A760" t="str">
            <v>3177002020 EPCT-Estudos de Engenharia(Realizado)</v>
          </cell>
          <cell r="B760">
            <v>6920</v>
          </cell>
        </row>
        <row r="761">
          <cell r="A761" t="str">
            <v>3178001990 DPC Ind-Outras Contrib/Doaçoes Indeduts (Realiz)</v>
          </cell>
          <cell r="B761">
            <v>12630.69</v>
          </cell>
        </row>
        <row r="762">
          <cell r="A762" t="str">
            <v>3178002050 DPC Ded-Contrib a Entidades de Classes (Realizado)</v>
          </cell>
          <cell r="B762">
            <v>355059.33</v>
          </cell>
        </row>
        <row r="763">
          <cell r="A763" t="str">
            <v>3178002990 DPC Ded-Outras Contrib e Doaçoes Dedutivs (Realiz)</v>
          </cell>
          <cell r="B763">
            <v>35000</v>
          </cell>
        </row>
        <row r="764">
          <cell r="A764" t="str">
            <v>3179905040 Desp Alug/Loc.Oper-Equip Impressao/Copias(Realiz)</v>
          </cell>
          <cell r="B764">
            <v>62630.59</v>
          </cell>
        </row>
        <row r="765">
          <cell r="A765" t="str">
            <v>3179905050 Desp Alug/Loc.Oper-Loc de Equip Telefonia(Realiz)</v>
          </cell>
          <cell r="B765">
            <v>10938.81</v>
          </cell>
        </row>
        <row r="766">
          <cell r="A766" t="str">
            <v>3179905100 Desp Alug/Loc.Oper-Aluguel de Imovel (Realizado)</v>
          </cell>
          <cell r="B766">
            <v>309190.03999999998</v>
          </cell>
        </row>
        <row r="767">
          <cell r="A767" t="str">
            <v>3179910010 Assin L.IT.J.R-Ass de Jornais e Revistas (Realiz)</v>
          </cell>
          <cell r="B767">
            <v>1605.1</v>
          </cell>
        </row>
        <row r="768">
          <cell r="A768" t="str">
            <v>3179910030 Assin L.IT.J.R-Ass Livros/Inform Tecnicos (Realiz)</v>
          </cell>
          <cell r="B768">
            <v>45473.51</v>
          </cell>
        </row>
        <row r="769">
          <cell r="A769" t="str">
            <v>3179915010 Desp c/Impressao e Copias fora da Cia (Realizado)</v>
          </cell>
          <cell r="B769">
            <v>10.8</v>
          </cell>
        </row>
        <row r="770">
          <cell r="A770" t="str">
            <v>3179920010 Desp c/Veiculos-Abastecimento (Realizado)</v>
          </cell>
          <cell r="B770">
            <v>13526.81</v>
          </cell>
        </row>
        <row r="771">
          <cell r="A771" t="str">
            <v>3179920020 Desp c/Veiculos-Reparos e Manutençoes (Realizado)</v>
          </cell>
          <cell r="B771">
            <v>2241.5</v>
          </cell>
        </row>
        <row r="772">
          <cell r="A772" t="str">
            <v>3179920030 Desp c/Veiculos-Peças e Acessorios (Realizado)</v>
          </cell>
          <cell r="B772">
            <v>3474.64</v>
          </cell>
        </row>
        <row r="773">
          <cell r="A773" t="str">
            <v>3179920040 Desp c/Veiculos-Lavagem e Lubrificaçao (Realizado)</v>
          </cell>
          <cell r="B773">
            <v>755.6</v>
          </cell>
        </row>
        <row r="774">
          <cell r="A774" t="str">
            <v>3179920050 Desp c/Veiculos-Pedagio e Estacionam (Realizado)</v>
          </cell>
          <cell r="B774">
            <v>18444.93</v>
          </cell>
        </row>
        <row r="775">
          <cell r="A775" t="str">
            <v>3179920060 Desp c/Veiculos-Licenciamento (Realizado)</v>
          </cell>
          <cell r="B775">
            <v>41731.82</v>
          </cell>
        </row>
        <row r="776">
          <cell r="A776" t="str">
            <v>Outras despesas / receitas operacionais</v>
          </cell>
          <cell r="B776">
            <v>3150539.3</v>
          </cell>
        </row>
        <row r="777">
          <cell r="A777" t="str">
            <v>Outras receitas operacionais</v>
          </cell>
          <cell r="B777">
            <v>-71069.36</v>
          </cell>
        </row>
        <row r="778">
          <cell r="A778" t="str">
            <v>3310101010 Receita c/Dividendos Recebidos (Realizado)</v>
          </cell>
          <cell r="B778">
            <v>-685.48</v>
          </cell>
        </row>
        <row r="779">
          <cell r="A779" t="str">
            <v>3310105010 Res Liq Bx At Fixo-Rec Alienaç B/D At.Perman (R)</v>
          </cell>
          <cell r="B779">
            <v>-17813.330000000002</v>
          </cell>
        </row>
        <row r="780">
          <cell r="A780" t="str">
            <v>3310105020 (-)R Liq Bx At Fix-Vlr Contabil B/D Baixados (R)</v>
          </cell>
          <cell r="B780">
            <v>82595.05</v>
          </cell>
        </row>
        <row r="781">
          <cell r="A781" t="str">
            <v>3310105021 (-)R Liq Bx A Fix-Vr Contab B/D Baixados MV(R)</v>
          </cell>
          <cell r="B781">
            <v>14749.2</v>
          </cell>
        </row>
        <row r="782">
          <cell r="A782" t="str">
            <v>3310105022 (-)R Liq Bx A Fix-Vr Contab B/D Baixados MVCN(R)</v>
          </cell>
          <cell r="B782">
            <v>14749.2</v>
          </cell>
        </row>
        <row r="783">
          <cell r="A783" t="str">
            <v>3310109990 Multas Contratuais Aplicadas</v>
          </cell>
          <cell r="B783">
            <v>-164664</v>
          </cell>
        </row>
        <row r="784">
          <cell r="A784" t="str">
            <v>Outras despesas operacionais</v>
          </cell>
          <cell r="B784">
            <v>3221608.66</v>
          </cell>
        </row>
        <row r="785">
          <cell r="A785" t="str">
            <v>3310110010 Desp c/Proc Jud-Tributarios (Realizado)</v>
          </cell>
          <cell r="B785">
            <v>143739.91</v>
          </cell>
        </row>
        <row r="786">
          <cell r="A786" t="str">
            <v>3310110020 Desp c/Proc Trabalhista (Realizado)</v>
          </cell>
          <cell r="B786">
            <v>44.26</v>
          </cell>
        </row>
        <row r="787">
          <cell r="A787" t="str">
            <v>3310110021 Desp c/Proc Trab-Constit Contingenc Trabalhistas</v>
          </cell>
          <cell r="B787">
            <v>1803062.2</v>
          </cell>
        </row>
        <row r="788">
          <cell r="A788" t="str">
            <v>3310110031 Desp c/Proc Civeis-Constit Contingencias Civeis</v>
          </cell>
          <cell r="B788">
            <v>748336.11</v>
          </cell>
        </row>
        <row r="789">
          <cell r="A789" t="str">
            <v>3310140010 Desp n Cor Multas Indedutiveis (Realizado)</v>
          </cell>
          <cell r="B789">
            <v>295945.87</v>
          </cell>
        </row>
        <row r="790">
          <cell r="A790" t="str">
            <v>3310190010 Perdas Operacoes de Credito Incobraveis (Realiz)</v>
          </cell>
          <cell r="B790">
            <v>600895.57999999996</v>
          </cell>
        </row>
        <row r="791">
          <cell r="A791" t="str">
            <v>3310190011 Provisao Perdas em Opercao Credito-PCLD</v>
          </cell>
          <cell r="B791">
            <v>193219.21</v>
          </cell>
        </row>
        <row r="792">
          <cell r="A792" t="str">
            <v>3310190012 Reversap Provisao p/ Perdas Operacoes Cred-PCLD</v>
          </cell>
          <cell r="B792">
            <v>-563634.48</v>
          </cell>
        </row>
        <row r="793">
          <cell r="A793" t="str">
            <v>Resultado de equivalência patrimonial</v>
          </cell>
          <cell r="B793">
            <v>8922940.8399999999</v>
          </cell>
        </row>
        <row r="794">
          <cell r="A794" t="str">
            <v>3310201020 Result Negativo Paticipacoes Societarias (R)</v>
          </cell>
          <cell r="B794">
            <v>8922940.8399999999</v>
          </cell>
        </row>
        <row r="795">
          <cell r="A795" t="str">
            <v>Resultado financeiro</v>
          </cell>
          <cell r="B795">
            <v>13762063.23</v>
          </cell>
        </row>
        <row r="796">
          <cell r="A796" t="str">
            <v>Receitas financeiras</v>
          </cell>
          <cell r="B796">
            <v>-9083269.2599999998</v>
          </cell>
        </row>
        <row r="797">
          <cell r="A797" t="str">
            <v>Receita de equivalentes de caixa e TVM</v>
          </cell>
          <cell r="B797">
            <v>-7909308.7000000002</v>
          </cell>
        </row>
        <row r="798">
          <cell r="A798" t="str">
            <v>3510101010 Rec Financ-Juros s/Aplic Financeiras (Realizado)</v>
          </cell>
          <cell r="B798">
            <v>-7909308.7000000002</v>
          </cell>
        </row>
        <row r="799">
          <cell r="A799" t="str">
            <v>Variações cambiais ativas s/contr camb exter</v>
          </cell>
          <cell r="B799">
            <v>-35635.69</v>
          </cell>
        </row>
        <row r="800">
          <cell r="A800" t="str">
            <v>3530101010 Var C Liq At-Ganho Var Camb s/Receb Exterior (R)</v>
          </cell>
          <cell r="B800">
            <v>-35635.69</v>
          </cell>
        </row>
        <row r="801">
          <cell r="A801" t="str">
            <v>Outras receitas financeiras</v>
          </cell>
          <cell r="B801">
            <v>-1138324.8700000001</v>
          </cell>
        </row>
        <row r="802">
          <cell r="A802" t="str">
            <v>3510101090 Rec Financ-Juros s/Capital Proprio (Realizado)</v>
          </cell>
          <cell r="B802">
            <v>-29418.01</v>
          </cell>
        </row>
        <row r="803">
          <cell r="A803" t="str">
            <v>3510101990 Rec Financ-Juros s/Outros Ativos (Realizado)</v>
          </cell>
          <cell r="B803">
            <v>-4025.32</v>
          </cell>
        </row>
        <row r="804">
          <cell r="A804" t="str">
            <v>3510102010 Rec Financ-Var Monet s/Deposit Judic (Realizado)</v>
          </cell>
          <cell r="B804">
            <v>-2638.55</v>
          </cell>
        </row>
        <row r="805">
          <cell r="A805" t="str">
            <v>3510102011 Rec Financ-Prov Var Monet s/ Depositos Judiciais</v>
          </cell>
          <cell r="B805">
            <v>-720773.01</v>
          </cell>
        </row>
        <row r="806">
          <cell r="A806" t="str">
            <v>3510102020 Rec Financ-Var Monet s/Impostos a Recup. (Realiza)</v>
          </cell>
          <cell r="B806">
            <v>-66727.759999999995</v>
          </cell>
        </row>
        <row r="807">
          <cell r="A807" t="str">
            <v>3510102990 Rec Finan-Var Monetaria s/Outros Ativos(Realizado)</v>
          </cell>
          <cell r="B807">
            <v>-112491.61</v>
          </cell>
        </row>
        <row r="808">
          <cell r="A808" t="str">
            <v>3510103010 Rec Financ-Encargos s/Cobrança Duplic(Realizado)</v>
          </cell>
          <cell r="B808">
            <v>-66364.17</v>
          </cell>
        </row>
        <row r="809">
          <cell r="A809" t="str">
            <v>3510103030 Rec Financ-Descontos Obtidos (Realizado)</v>
          </cell>
          <cell r="B809">
            <v>-17381.89</v>
          </cell>
        </row>
        <row r="810">
          <cell r="A810" t="str">
            <v>3510105010 Rec Financ-Bonificaçoes s/Adm Apolice (Realizado)</v>
          </cell>
          <cell r="B810">
            <v>-343.92</v>
          </cell>
        </row>
        <row r="811">
          <cell r="A811" t="str">
            <v>3510106014 Rec Financ-Cont.AVP/ICMS Recup s/Aquis de At.Fixo</v>
          </cell>
          <cell r="B811">
            <v>-104056.61</v>
          </cell>
        </row>
        <row r="812">
          <cell r="A812" t="str">
            <v>3510199990 Rec Financ-Demais Receitas Financeiras (Realizado)</v>
          </cell>
          <cell r="B812">
            <v>-14104.02</v>
          </cell>
        </row>
        <row r="813">
          <cell r="A813" t="str">
            <v>Despesas financeiras</v>
          </cell>
          <cell r="B813">
            <v>22845332.489999998</v>
          </cell>
        </row>
        <row r="814">
          <cell r="A814" t="str">
            <v>Juros de empréstimos e financiamentos</v>
          </cell>
          <cell r="B814">
            <v>21104763.609999999</v>
          </cell>
        </row>
        <row r="815">
          <cell r="A815" t="str">
            <v>3510201010 (-)Desp Financ-Juros s/Emprestimos (Realizado)</v>
          </cell>
          <cell r="B815">
            <v>21104763.609999999</v>
          </cell>
        </row>
        <row r="816">
          <cell r="A816" t="str">
            <v>Variações cambiais passivas sobre empréstimos</v>
          </cell>
          <cell r="B816">
            <v>1473675.14</v>
          </cell>
        </row>
        <row r="817">
          <cell r="A817" t="str">
            <v>3530102040 Var C Liq Pas-Perda Va rCamb s/Empres Exterior(R)</v>
          </cell>
          <cell r="B817">
            <v>1473675.14</v>
          </cell>
        </row>
        <row r="818">
          <cell r="A818" t="str">
            <v>Variações cambiais passivas s/ exig. exterior</v>
          </cell>
          <cell r="B818">
            <v>-548359.07999999996</v>
          </cell>
        </row>
        <row r="819">
          <cell r="A819" t="str">
            <v>3530102010 Var C Liq Pas-Ganho Var Camb s/Exigiv Exterior(R)</v>
          </cell>
          <cell r="B819">
            <v>-668246.03</v>
          </cell>
        </row>
        <row r="820">
          <cell r="A820" t="str">
            <v>3530102020 Var C Liq Pas-Perda Var Camb s/Exigiv Exterior(R)</v>
          </cell>
          <cell r="B820">
            <v>119886.95</v>
          </cell>
        </row>
        <row r="821">
          <cell r="A821" t="str">
            <v>Outras despesas financeiras</v>
          </cell>
          <cell r="B821">
            <v>815252.82</v>
          </cell>
        </row>
        <row r="822">
          <cell r="A822" t="str">
            <v>3510201020 (-)Desp Financ-Juros s/Pgtos em Atraso (Realizado)</v>
          </cell>
          <cell r="B822">
            <v>25527.73</v>
          </cell>
        </row>
        <row r="823">
          <cell r="A823" t="str">
            <v>3510201990 (-)Desp Financ-Juros s/Outros Passivos (Realizado)</v>
          </cell>
          <cell r="B823">
            <v>1299.83</v>
          </cell>
        </row>
        <row r="824">
          <cell r="A824" t="str">
            <v>3510202990 Desp Financ-Var Monet s/Outros Passivos(Realizado)</v>
          </cell>
          <cell r="B824">
            <v>119.31</v>
          </cell>
        </row>
        <row r="825">
          <cell r="A825" t="str">
            <v>3510202991 Desp Financ-Prov Var Monetaria s/Contingencias</v>
          </cell>
          <cell r="B825">
            <v>48958.99</v>
          </cell>
        </row>
        <row r="826">
          <cell r="A826" t="str">
            <v>3510203020 Desp Financ-Encarg/Outros-Custas Judiciais(Realiz)</v>
          </cell>
          <cell r="B826">
            <v>514.13</v>
          </cell>
        </row>
        <row r="827">
          <cell r="A827" t="str">
            <v>3510203500 Desp Financ-Encarg/Outros-I.O.C / I.O.F(Realizado)</v>
          </cell>
          <cell r="B827">
            <v>110.73</v>
          </cell>
        </row>
        <row r="828">
          <cell r="A828" t="str">
            <v>3510204010 Desp Financ-EFE-Comissoes s/Aquis Empres Amort(R)</v>
          </cell>
          <cell r="B828">
            <v>551408.55000000005</v>
          </cell>
        </row>
        <row r="829">
          <cell r="A829" t="str">
            <v>3510205020 Desp Financ-Bancarias-Corretagens (Realiz)</v>
          </cell>
          <cell r="B829">
            <v>1155.97</v>
          </cell>
        </row>
        <row r="830">
          <cell r="A830" t="str">
            <v>3510205030 Desp Financ-Bancarias-Comissoes Fiança (Realiz)</v>
          </cell>
          <cell r="B830">
            <v>171296.85</v>
          </cell>
        </row>
        <row r="831">
          <cell r="A831" t="str">
            <v>3510205040 Desp Financ-Bancaria-Txa Expediente (Realiz)</v>
          </cell>
          <cell r="B831">
            <v>14860.3</v>
          </cell>
        </row>
        <row r="832">
          <cell r="A832" t="str">
            <v>3510299990 Demais Despesas Financeiras (Realizado)</v>
          </cell>
          <cell r="B832">
            <v>0.43</v>
          </cell>
        </row>
        <row r="833">
          <cell r="A833" t="str">
            <v>Imposto de renda e constribuição social</v>
          </cell>
          <cell r="B833">
            <v>13549235.73</v>
          </cell>
        </row>
        <row r="834">
          <cell r="A834" t="str">
            <v>Corrente</v>
          </cell>
          <cell r="B834">
            <v>14695221.48</v>
          </cell>
        </row>
        <row r="835">
          <cell r="A835" t="str">
            <v>3910101011 (-)Prov CSLL/Exerc.Corrente-CSLL Ajustado (Realiz)</v>
          </cell>
          <cell r="B835">
            <v>3823805.94</v>
          </cell>
        </row>
        <row r="836">
          <cell r="A836" t="str">
            <v>3920101011 (-)Prov IRPJ/Exerc.Correne-IRPJ s/Lucro Real</v>
          </cell>
          <cell r="B836">
            <v>10871415.539999999</v>
          </cell>
        </row>
        <row r="837">
          <cell r="A837" t="str">
            <v>Diferido</v>
          </cell>
          <cell r="B837">
            <v>-1145985.75</v>
          </cell>
        </row>
        <row r="838">
          <cell r="A838" t="str">
            <v>3910101021 (-)Prov CSLL/Exerc.Corrente-CSLL Diferido Ativos</v>
          </cell>
          <cell r="B838">
            <v>-303348.21999999997</v>
          </cell>
        </row>
        <row r="839">
          <cell r="A839" t="str">
            <v>3920101021 (-)Prov IRPJ/Exerc.Corrente-IRPJ Diferido Ativos</v>
          </cell>
          <cell r="B839">
            <v>-842637.53</v>
          </cell>
        </row>
        <row r="840">
          <cell r="A840"/>
        </row>
        <row r="841">
          <cell r="A841"/>
        </row>
        <row r="842">
          <cell r="A842"/>
        </row>
        <row r="843">
          <cell r="A843"/>
        </row>
        <row r="844">
          <cell r="A844"/>
        </row>
        <row r="845">
          <cell r="A845"/>
        </row>
        <row r="846">
          <cell r="A846"/>
        </row>
        <row r="847">
          <cell r="A847"/>
        </row>
        <row r="848">
          <cell r="A848"/>
        </row>
        <row r="849">
          <cell r="A849"/>
        </row>
        <row r="850">
          <cell r="A850"/>
        </row>
        <row r="851">
          <cell r="A851"/>
        </row>
        <row r="852">
          <cell r="A852"/>
        </row>
        <row r="853">
          <cell r="A853"/>
        </row>
        <row r="854">
          <cell r="A854"/>
        </row>
        <row r="855">
          <cell r="A855"/>
        </row>
        <row r="856">
          <cell r="A856"/>
        </row>
        <row r="857">
          <cell r="A857"/>
        </row>
        <row r="858">
          <cell r="A858"/>
        </row>
        <row r="859">
          <cell r="A859"/>
        </row>
        <row r="860">
          <cell r="A860"/>
        </row>
        <row r="861">
          <cell r="A861"/>
        </row>
        <row r="862">
          <cell r="A862"/>
        </row>
        <row r="863">
          <cell r="A863"/>
        </row>
        <row r="864">
          <cell r="A864"/>
        </row>
        <row r="865">
          <cell r="A865"/>
        </row>
        <row r="866">
          <cell r="A866"/>
        </row>
        <row r="867">
          <cell r="A867"/>
        </row>
        <row r="868">
          <cell r="A868"/>
        </row>
        <row r="869">
          <cell r="A869"/>
        </row>
        <row r="870">
          <cell r="A870"/>
        </row>
        <row r="871">
          <cell r="A871"/>
        </row>
        <row r="872">
          <cell r="A872"/>
        </row>
        <row r="873">
          <cell r="A873"/>
        </row>
        <row r="874">
          <cell r="A874"/>
        </row>
        <row r="875">
          <cell r="A875"/>
        </row>
        <row r="876">
          <cell r="A876"/>
        </row>
        <row r="877">
          <cell r="A877"/>
        </row>
        <row r="878">
          <cell r="A878"/>
        </row>
        <row r="879">
          <cell r="A879"/>
        </row>
        <row r="880">
          <cell r="A880"/>
        </row>
        <row r="881">
          <cell r="A881"/>
        </row>
        <row r="882">
          <cell r="A882"/>
        </row>
        <row r="883">
          <cell r="A883"/>
        </row>
        <row r="884">
          <cell r="A884"/>
        </row>
        <row r="885">
          <cell r="A885"/>
        </row>
        <row r="886">
          <cell r="A886"/>
        </row>
        <row r="887">
          <cell r="A887"/>
        </row>
        <row r="888">
          <cell r="A888"/>
        </row>
        <row r="889">
          <cell r="A889"/>
        </row>
        <row r="890">
          <cell r="A890"/>
        </row>
        <row r="891">
          <cell r="A891"/>
        </row>
        <row r="892">
          <cell r="A892"/>
        </row>
        <row r="893">
          <cell r="A893"/>
        </row>
        <row r="894">
          <cell r="A894"/>
        </row>
        <row r="895">
          <cell r="A895"/>
        </row>
        <row r="896">
          <cell r="A896"/>
        </row>
        <row r="897">
          <cell r="A897"/>
        </row>
        <row r="898">
          <cell r="A898"/>
        </row>
        <row r="899">
          <cell r="A899"/>
        </row>
        <row r="900">
          <cell r="A900"/>
        </row>
        <row r="901">
          <cell r="A901"/>
        </row>
        <row r="902">
          <cell r="A902"/>
        </row>
        <row r="903">
          <cell r="A903"/>
        </row>
        <row r="904">
          <cell r="A904"/>
        </row>
        <row r="905">
          <cell r="A905"/>
        </row>
        <row r="906">
          <cell r="A906"/>
        </row>
        <row r="907">
          <cell r="A907"/>
        </row>
        <row r="908">
          <cell r="A908"/>
        </row>
        <row r="909">
          <cell r="A909"/>
        </row>
        <row r="910">
          <cell r="A910"/>
        </row>
        <row r="911">
          <cell r="A911"/>
        </row>
        <row r="912">
          <cell r="A912"/>
        </row>
        <row r="913">
          <cell r="A913"/>
        </row>
        <row r="914">
          <cell r="A914"/>
        </row>
        <row r="915">
          <cell r="A915"/>
        </row>
        <row r="916">
          <cell r="A916"/>
        </row>
        <row r="917">
          <cell r="A917"/>
        </row>
        <row r="918">
          <cell r="A918"/>
        </row>
        <row r="919">
          <cell r="A919"/>
        </row>
        <row r="920">
          <cell r="A920"/>
        </row>
        <row r="921">
          <cell r="A921"/>
        </row>
        <row r="922">
          <cell r="A922"/>
        </row>
        <row r="923">
          <cell r="A923"/>
        </row>
        <row r="924">
          <cell r="A924"/>
        </row>
        <row r="925">
          <cell r="A925"/>
        </row>
        <row r="926">
          <cell r="A926"/>
        </row>
        <row r="927">
          <cell r="A927"/>
        </row>
        <row r="928">
          <cell r="A928"/>
        </row>
        <row r="929">
          <cell r="A929"/>
        </row>
      </sheetData>
      <sheetData sheetId="3" refreshError="1">
        <row r="2">
          <cell r="A2" t="str">
            <v>ATIVO</v>
          </cell>
          <cell r="B2">
            <v>1642011496.8699999</v>
          </cell>
        </row>
        <row r="3">
          <cell r="A3" t="str">
            <v>CIRCULANTE</v>
          </cell>
          <cell r="B3">
            <v>301754529.50999999</v>
          </cell>
        </row>
        <row r="4">
          <cell r="A4" t="str">
            <v>CAIXA E EQUIVALENTE DE CAIXA</v>
          </cell>
          <cell r="B4">
            <v>100688774.44</v>
          </cell>
        </row>
        <row r="5">
          <cell r="A5" t="str">
            <v>Recursos em caixa e contas correntes bancária</v>
          </cell>
          <cell r="B5">
            <v>1744597.75</v>
          </cell>
        </row>
        <row r="6">
          <cell r="A6" t="str">
            <v>1110102030 Banco Itau (Realizado)</v>
          </cell>
          <cell r="B6">
            <v>276691.03000000003</v>
          </cell>
        </row>
        <row r="7">
          <cell r="A7" t="str">
            <v>1110102031 Banco Itau (Transitorias - Entradas)</v>
          </cell>
          <cell r="B7">
            <v>0</v>
          </cell>
        </row>
        <row r="8">
          <cell r="A8" t="str">
            <v>1110102040 Banco Santander (Realizado)</v>
          </cell>
          <cell r="B8">
            <v>115990.68</v>
          </cell>
        </row>
        <row r="9">
          <cell r="A9" t="str">
            <v>1110102080 Banco Votorantin (Realizado)</v>
          </cell>
          <cell r="B9">
            <v>186.74</v>
          </cell>
        </row>
        <row r="10">
          <cell r="A10" t="str">
            <v>1110102100 Banco Pactual S.A.(Realizado)</v>
          </cell>
          <cell r="B10">
            <v>1759.2</v>
          </cell>
        </row>
        <row r="11">
          <cell r="A11" t="str">
            <v>1110102120 Banco Alfa de Investimentos S.A. (Realizado)</v>
          </cell>
          <cell r="B11">
            <v>5772.25</v>
          </cell>
        </row>
        <row r="12">
          <cell r="A12" t="str">
            <v>1110102150 Banco Espírito Santo S.A. - BES (Realizado)</v>
          </cell>
          <cell r="B12">
            <v>1005374.74</v>
          </cell>
        </row>
        <row r="13">
          <cell r="A13" t="str">
            <v>1110102210 Banco do Brasil  (Realizado)</v>
          </cell>
          <cell r="B13">
            <v>1546.14</v>
          </cell>
        </row>
        <row r="14">
          <cell r="A14" t="str">
            <v>1110102220 Banco Bradesco (Realizado)</v>
          </cell>
          <cell r="B14">
            <v>706.26</v>
          </cell>
        </row>
        <row r="15">
          <cell r="A15" t="str">
            <v>1110102240 Banco Santander (Realizado)</v>
          </cell>
          <cell r="B15">
            <v>33722.71</v>
          </cell>
        </row>
        <row r="16">
          <cell r="A16" t="str">
            <v>1110102250 Caixa Economica Federal (Realizado)</v>
          </cell>
          <cell r="B16">
            <v>469.88</v>
          </cell>
        </row>
        <row r="17">
          <cell r="A17" t="str">
            <v>1110102270 Banco Safra (Realizado)</v>
          </cell>
          <cell r="B17">
            <v>2005.03</v>
          </cell>
        </row>
        <row r="18">
          <cell r="A18" t="str">
            <v>1110102290 Banco Paulista (Realizado)</v>
          </cell>
          <cell r="B18">
            <v>1124.4100000000001</v>
          </cell>
        </row>
        <row r="19">
          <cell r="A19" t="str">
            <v>1110102320 Banco Bradesco (Realizado)</v>
          </cell>
          <cell r="B19">
            <v>298458.09000000003</v>
          </cell>
        </row>
        <row r="20">
          <cell r="A20" t="str">
            <v>1110102350 Caixa Economica Federal (Realizado)</v>
          </cell>
          <cell r="B20">
            <v>790.59</v>
          </cell>
        </row>
        <row r="21">
          <cell r="A21" t="str">
            <v>Aplicações Financeiras (CDBs)</v>
          </cell>
          <cell r="B21">
            <v>98944176.689999998</v>
          </cell>
        </row>
        <row r="22">
          <cell r="A22" t="str">
            <v>1110105010 Aplicaçoes Financeiras (Realizado)</v>
          </cell>
          <cell r="B22">
            <v>98944176.689999998</v>
          </cell>
        </row>
        <row r="23">
          <cell r="A23" t="str">
            <v>APLICAÇÕES FINANCEIRAS</v>
          </cell>
          <cell r="B23">
            <v>67569475.129999995</v>
          </cell>
        </row>
        <row r="24">
          <cell r="A24" t="str">
            <v>Mantidos para negociação</v>
          </cell>
          <cell r="B24">
            <v>67569475.129999995</v>
          </cell>
        </row>
        <row r="25">
          <cell r="A25" t="str">
            <v>1110201010 Tits do Merc de Cap Inter Mant p/ Neg (Realizado)</v>
          </cell>
          <cell r="B25">
            <v>67569475.129999995</v>
          </cell>
        </row>
        <row r="26">
          <cell r="A26" t="str">
            <v>DUPLICATAS A RECEBER DE CLIENTES</v>
          </cell>
          <cell r="B26">
            <v>80416501.969999999</v>
          </cell>
        </row>
        <row r="27">
          <cell r="A27" t="str">
            <v>Clientes nacionais</v>
          </cell>
          <cell r="B27">
            <v>94529100.310000002</v>
          </cell>
        </row>
        <row r="28">
          <cell r="A28" t="str">
            <v>1110501010 Duplicatas a Receber no MI  (Realizado)</v>
          </cell>
          <cell r="B28">
            <v>95638394.939999998</v>
          </cell>
        </row>
        <row r="29">
          <cell r="A29" t="str">
            <v>1110501011 Duplicatas a Receber no MI (Parcela de CP / LP)</v>
          </cell>
          <cell r="B29">
            <v>-1023800.85</v>
          </cell>
        </row>
        <row r="30">
          <cell r="A30" t="str">
            <v>1110501014 (-)Rec Financeira a apropriar s/Dups a Rec no MI</v>
          </cell>
          <cell r="B30">
            <v>-85493.78</v>
          </cell>
        </row>
        <row r="31">
          <cell r="A31" t="str">
            <v>PCLD</v>
          </cell>
          <cell r="B31">
            <v>-14112598.34</v>
          </cell>
        </row>
        <row r="32">
          <cell r="A32" t="str">
            <v>1110501900 (-) Provisões para Créditos de Liquidação Duvidosa</v>
          </cell>
          <cell r="B32">
            <v>-14112598.34</v>
          </cell>
        </row>
        <row r="33">
          <cell r="A33" t="str">
            <v>IMPOSTOS A RECUPERAR</v>
          </cell>
          <cell r="B33">
            <v>13286548.199999999</v>
          </cell>
        </row>
        <row r="34">
          <cell r="A34" t="str">
            <v>Impostos de renda e CSLL</v>
          </cell>
          <cell r="B34">
            <v>1296511.81</v>
          </cell>
        </row>
        <row r="35">
          <cell r="A35" t="str">
            <v>1111506020 IRRF sobre Aplicaçoes Financeiras (Realizado)</v>
          </cell>
          <cell r="B35">
            <v>1257099.28</v>
          </cell>
        </row>
        <row r="36">
          <cell r="A36" t="str">
            <v>1111506990 Cred Fisc IRPJ Sdo Negativo Per Anterior (Realiz)</v>
          </cell>
          <cell r="B36">
            <v>39412.53</v>
          </cell>
        </row>
        <row r="37">
          <cell r="A37" t="str">
            <v>ICMS a recuperar</v>
          </cell>
          <cell r="B37">
            <v>2013099.82</v>
          </cell>
        </row>
        <row r="38">
          <cell r="A38" t="str">
            <v>1111507010 ICMS a Recup sobre Ativo Permanente (Realizado)</v>
          </cell>
          <cell r="B38">
            <v>2319460.81</v>
          </cell>
        </row>
        <row r="39">
          <cell r="A39" t="str">
            <v>1111507014 (-)AVP sobre ICMS a Recup sobre Ativo Permanente</v>
          </cell>
          <cell r="B39">
            <v>-306360.99</v>
          </cell>
        </row>
        <row r="40">
          <cell r="A40" t="str">
            <v>INSS a compensar</v>
          </cell>
          <cell r="B40">
            <v>4934902.8</v>
          </cell>
        </row>
        <row r="41">
          <cell r="A41" t="str">
            <v>1111599070 INSS a Compensar  - Decisão Judicial (Realizado)</v>
          </cell>
          <cell r="B41">
            <v>4934902.8</v>
          </cell>
        </row>
        <row r="42">
          <cell r="A42" t="str">
            <v>PIS a compensar Lei nº 9.715</v>
          </cell>
          <cell r="B42">
            <v>3141831.73</v>
          </cell>
        </row>
        <row r="43">
          <cell r="A43" t="str">
            <v>1111599000 PIS a Compensar Lei 9715 (Realizado)</v>
          </cell>
          <cell r="B43">
            <v>3141831.73</v>
          </cell>
        </row>
        <row r="44">
          <cell r="A44" t="str">
            <v>Outros</v>
          </cell>
          <cell r="B44">
            <v>1900202.04</v>
          </cell>
        </row>
        <row r="45">
          <cell r="A45" t="str">
            <v>1111599010 Imp Import a Rec-Recolhimento em Dupl (Realiz)</v>
          </cell>
          <cell r="B45">
            <v>232231.19</v>
          </cell>
        </row>
        <row r="46">
          <cell r="A46" t="str">
            <v>1111599020 INSS a Rec-Recolhimento em Duplicidade (Realizado)</v>
          </cell>
          <cell r="B46">
            <v>343643.14</v>
          </cell>
        </row>
        <row r="47">
          <cell r="A47" t="str">
            <v>1111599030 Adic Estadual doImposto de Renda a Rec (Realizado)</v>
          </cell>
          <cell r="B47">
            <v>1251533.5</v>
          </cell>
        </row>
        <row r="48">
          <cell r="A48" t="str">
            <v>1111599040 FINSOCIAL 1982/83 (Realizado)</v>
          </cell>
          <cell r="B48">
            <v>67054.64</v>
          </cell>
        </row>
        <row r="49">
          <cell r="A49" t="str">
            <v>1111599080 ISS a restituir</v>
          </cell>
          <cell r="B49">
            <v>5739.52</v>
          </cell>
        </row>
        <row r="50">
          <cell r="A50" t="str">
            <v>1111599100 Recuperação de Impostos Federais - Reintegra</v>
          </cell>
          <cell r="B50">
            <v>0.05</v>
          </cell>
        </row>
        <row r="51">
          <cell r="A51" t="str">
            <v>ESTOQUES</v>
          </cell>
          <cell r="B51">
            <v>24898963.399999999</v>
          </cell>
        </row>
        <row r="52">
          <cell r="A52" t="str">
            <v>Matérias-primas</v>
          </cell>
          <cell r="B52">
            <v>48672.09</v>
          </cell>
        </row>
        <row r="53">
          <cell r="A53" t="str">
            <v>1112090010 Importaçoes em And de Materias Primas (Realizado)</v>
          </cell>
          <cell r="B53">
            <v>48672.09</v>
          </cell>
        </row>
        <row r="54">
          <cell r="A54" t="str">
            <v>Produtos em processo</v>
          </cell>
          <cell r="B54">
            <v>12745829.470000001</v>
          </cell>
        </row>
        <row r="55">
          <cell r="A55" t="str">
            <v>1112003010 Estoques de Produtos em Elaboraçao (Realizado)</v>
          </cell>
          <cell r="B55">
            <v>12745829.470000001</v>
          </cell>
        </row>
        <row r="56">
          <cell r="A56" t="str">
            <v>Produtos Acabados</v>
          </cell>
          <cell r="B56">
            <v>6262936.2000000002</v>
          </cell>
        </row>
        <row r="57">
          <cell r="A57" t="str">
            <v>1112010010 Estoques de Produtos Acabados (Realizado)</v>
          </cell>
          <cell r="B57">
            <v>6229338.2199999997</v>
          </cell>
        </row>
        <row r="58">
          <cell r="A58" t="str">
            <v>1112050010 Estoques de Mercadorias Rev Nacionais (Realizado)</v>
          </cell>
          <cell r="B58">
            <v>33228.15</v>
          </cell>
        </row>
        <row r="59">
          <cell r="A59" t="str">
            <v>1112050020 Estoques de Mercadorias Rev Importadas (Realizado)</v>
          </cell>
          <cell r="B59">
            <v>369.83</v>
          </cell>
        </row>
        <row r="60">
          <cell r="A60" t="str">
            <v>Provisão para desvalorização</v>
          </cell>
          <cell r="B60">
            <v>-2331395.4500000002</v>
          </cell>
        </row>
        <row r="61">
          <cell r="A61" t="str">
            <v>1112010014 (-)Prov p/ Aj. do Est ao Vlr de Merc - Prods Acab</v>
          </cell>
          <cell r="B61">
            <v>-2331395.4500000002</v>
          </cell>
        </row>
        <row r="62">
          <cell r="A62" t="str">
            <v>Materiais auxiliares e embalagens</v>
          </cell>
          <cell r="B62">
            <v>2346637.67</v>
          </cell>
        </row>
        <row r="63">
          <cell r="A63" t="str">
            <v>1112005010 Estoques de Insumos (Mat-Aux) (Realiz)</v>
          </cell>
          <cell r="B63">
            <v>2193037.41</v>
          </cell>
        </row>
        <row r="64">
          <cell r="A64" t="str">
            <v>1112008010 Estoques de Materiais de Embalagens (Realizado)</v>
          </cell>
          <cell r="B64">
            <v>153600.26</v>
          </cell>
        </row>
        <row r="65">
          <cell r="A65" t="str">
            <v>Materiais de manutenção e outros</v>
          </cell>
          <cell r="B65">
            <v>5826283.4199999999</v>
          </cell>
        </row>
        <row r="66">
          <cell r="A66" t="str">
            <v>1112020020 Estoque Almoxarif CP-Manutençao Eletrica (Realiz)</v>
          </cell>
          <cell r="B66">
            <v>1817229.58</v>
          </cell>
        </row>
        <row r="67">
          <cell r="A67" t="str">
            <v>1112020030 Estoque Almoxarif CP-Manutençao Mecanica (Realiz)</v>
          </cell>
          <cell r="B67">
            <v>5644901.4100000001</v>
          </cell>
        </row>
        <row r="68">
          <cell r="A68" t="str">
            <v>1112020050 Estoq Alm CP-Manut Calderaria e Tubulaçao (Realiz)</v>
          </cell>
          <cell r="B68">
            <v>4519053.8600000003</v>
          </cell>
        </row>
        <row r="69">
          <cell r="A69" t="str">
            <v>1112020060 Estoque Alm CP-Manutençao Instrumentaçao (Realiz)</v>
          </cell>
          <cell r="B69">
            <v>4549726.5199999996</v>
          </cell>
        </row>
        <row r="70">
          <cell r="A70" t="str">
            <v>1112020070 Estoque Alm CP-Manutençao Celula HG (Realizado)</v>
          </cell>
          <cell r="B70">
            <v>581559.09</v>
          </cell>
        </row>
        <row r="71">
          <cell r="A71" t="str">
            <v>1112020080 Estoque Almo CP-Manut Celula Diafragma (Realizado)</v>
          </cell>
          <cell r="B71">
            <v>889018.74</v>
          </cell>
        </row>
        <row r="72">
          <cell r="A72" t="str">
            <v>1112020090 Estoque Alm CP-Manutençao Celula Membrana (Realiz)</v>
          </cell>
          <cell r="B72">
            <v>12609.25</v>
          </cell>
        </row>
        <row r="73">
          <cell r="A73" t="str">
            <v>1112020100 Estoque Alm CP-Manut.de Cilindros e Carretas R</v>
          </cell>
          <cell r="B73">
            <v>151926.45000000001</v>
          </cell>
        </row>
        <row r="74">
          <cell r="A74" t="str">
            <v>1112020490 Estoque Almo CP-Manutençao em Geral (Realizado)</v>
          </cell>
          <cell r="B74">
            <v>814.06</v>
          </cell>
        </row>
        <row r="75">
          <cell r="A75" t="str">
            <v>1112020500 Estoque Alm CP-Almoxarifado de Uso Geral (Realiz)</v>
          </cell>
          <cell r="B75">
            <v>312759.56</v>
          </cell>
        </row>
        <row r="76">
          <cell r="A76" t="str">
            <v>1112020991 Estoque Almoxarifado Transf. Parcela Realizada L.P</v>
          </cell>
          <cell r="B76">
            <v>-12756655.439999999</v>
          </cell>
        </row>
        <row r="77">
          <cell r="A77" t="str">
            <v>1112080200 Etq de Outros Mats-Almox em Poder de Ters (Realiz)</v>
          </cell>
          <cell r="B77">
            <v>103340.34</v>
          </cell>
        </row>
        <row r="78">
          <cell r="A78" t="str">
            <v>DESPESAS DE EXERCICIO SEGUINTE</v>
          </cell>
          <cell r="B78">
            <v>2768920.4</v>
          </cell>
        </row>
        <row r="79">
          <cell r="A79" t="str">
            <v>Pagamentos Antecipados</v>
          </cell>
          <cell r="B79">
            <v>2768920.4</v>
          </cell>
        </row>
        <row r="80">
          <cell r="A80" t="str">
            <v>1119001010 Pagamentos Antecipados-Seguros (Realizado)</v>
          </cell>
          <cell r="B80">
            <v>1035904.63</v>
          </cell>
        </row>
        <row r="81">
          <cell r="A81" t="str">
            <v>1119001030 Pagamentos Antecip-Serv Tecnicos Prof (Realizado)</v>
          </cell>
          <cell r="B81">
            <v>102616.74</v>
          </cell>
        </row>
        <row r="82">
          <cell r="A82" t="str">
            <v>1119001040 Pagamentos Antecipados-Impostos (Realizado)</v>
          </cell>
          <cell r="B82">
            <v>1522743.03</v>
          </cell>
        </row>
        <row r="83">
          <cell r="A83" t="str">
            <v>1119001900 Pagtos Antecip-Outras Desps/Custos(Realizado)</v>
          </cell>
          <cell r="B83">
            <v>107656</v>
          </cell>
        </row>
        <row r="84">
          <cell r="A84" t="str">
            <v>OUTROS ATIVOS CIRCULANTE</v>
          </cell>
          <cell r="B84">
            <v>12125345.970000001</v>
          </cell>
        </row>
        <row r="85">
          <cell r="A85" t="str">
            <v>Adiantamento a Fornecedores</v>
          </cell>
          <cell r="B85">
            <v>5964507.2400000002</v>
          </cell>
        </row>
        <row r="86">
          <cell r="A86" t="str">
            <v>1118001010 Adiantamentos a Fornec de Serviços (Realizado)</v>
          </cell>
          <cell r="B86">
            <v>249806.16</v>
          </cell>
        </row>
        <row r="87">
          <cell r="A87" t="str">
            <v>1118001020 Adiantamentos a Fornecedores de MP (Realizado)</v>
          </cell>
          <cell r="B87">
            <v>4159944.38</v>
          </cell>
        </row>
        <row r="88">
          <cell r="A88" t="str">
            <v>1118001040 Adiant  Fornecs de Materias de Consumo (Realizado)</v>
          </cell>
          <cell r="B88">
            <v>140468.67000000001</v>
          </cell>
        </row>
        <row r="89">
          <cell r="A89" t="str">
            <v>1118001050 Adiant Fornecs de Funcionarios (Realizado)</v>
          </cell>
          <cell r="B89">
            <v>17220</v>
          </cell>
        </row>
        <row r="90">
          <cell r="A90" t="str">
            <v>1118001060 Adiantamentos a Fornecedores de Fretes</v>
          </cell>
          <cell r="B90">
            <v>1284221.28</v>
          </cell>
        </row>
        <row r="91">
          <cell r="A91" t="str">
            <v>1118001070 Adiantamentos a Fornecedores do Exterior</v>
          </cell>
          <cell r="B91">
            <v>112846.75</v>
          </cell>
        </row>
        <row r="92">
          <cell r="A92" t="str">
            <v>Créditos a receber na venda de ativos</v>
          </cell>
          <cell r="B92">
            <v>5304742.67</v>
          </cell>
        </row>
        <row r="93">
          <cell r="A93" t="str">
            <v>1118099060 Outros Créditos- Contratos a Receber (Realizado)</v>
          </cell>
          <cell r="B93">
            <v>5304742.67</v>
          </cell>
        </row>
        <row r="94">
          <cell r="A94" t="str">
            <v>Outros Créditos</v>
          </cell>
          <cell r="B94">
            <v>856096.06</v>
          </cell>
        </row>
        <row r="95">
          <cell r="A95" t="str">
            <v>1118002010 Adiantamentos a Empregados Salarios (Realizado)</v>
          </cell>
          <cell r="B95">
            <v>417.6</v>
          </cell>
        </row>
        <row r="96">
          <cell r="A96" t="str">
            <v>1118002020 Adiantamentos a Empregados 13º Salario (Realizado)</v>
          </cell>
          <cell r="B96">
            <v>321108.96000000002</v>
          </cell>
        </row>
        <row r="97">
          <cell r="A97" t="str">
            <v>1118002030 Adiantamentos a Empregados Ferias (Realizado)</v>
          </cell>
          <cell r="B97">
            <v>348324.54</v>
          </cell>
        </row>
        <row r="98">
          <cell r="A98" t="str">
            <v>1118002050 Adiant a Empregados Plano Auxilio Doen (Realizado)</v>
          </cell>
          <cell r="B98">
            <v>6950</v>
          </cell>
        </row>
        <row r="99">
          <cell r="A99" t="str">
            <v>1118002060 Adto a Empregados Cobertura de Sdo Devedor (R)</v>
          </cell>
          <cell r="B99">
            <v>13129.35</v>
          </cell>
        </row>
        <row r="100">
          <cell r="A100" t="str">
            <v>1118002090 Adto a Empregados Desp de Resp de Funcionario (R)</v>
          </cell>
          <cell r="B100">
            <v>-1348.81</v>
          </cell>
        </row>
        <row r="101">
          <cell r="A101" t="str">
            <v>1118099020 Outros Creditos-Depositos e Cauçoes (Realizado)</v>
          </cell>
          <cell r="B101">
            <v>167514.42000000001</v>
          </cell>
        </row>
        <row r="102">
          <cell r="A102" t="str">
            <v>NÃO CIRCULANTE</v>
          </cell>
          <cell r="B102">
            <v>112454648.56</v>
          </cell>
        </row>
        <row r="103">
          <cell r="A103" t="str">
            <v>APLICAÇÕES FINANCEIRAS</v>
          </cell>
          <cell r="B103">
            <v>47415602</v>
          </cell>
        </row>
        <row r="104">
          <cell r="A104" t="str">
            <v>Mantidos para negociação</v>
          </cell>
          <cell r="B104">
            <v>47415602</v>
          </cell>
        </row>
        <row r="105">
          <cell r="A105" t="str">
            <v>1710201010 Tits do Merc de Cap Inter Mant p/ Neg  LP(R)</v>
          </cell>
          <cell r="B105">
            <v>47415602</v>
          </cell>
        </row>
        <row r="106">
          <cell r="A106" t="str">
            <v>DUPLICATAS A RECEBER DE CLIENTES</v>
          </cell>
          <cell r="B106">
            <v>1013203.78</v>
          </cell>
        </row>
        <row r="107">
          <cell r="A107" t="str">
            <v>Clientes nacionais</v>
          </cell>
          <cell r="B107">
            <v>1013203.78</v>
          </cell>
        </row>
        <row r="108">
          <cell r="A108" t="str">
            <v>1710501011 Duplicatas a Receber no MI LP (Parcela de CP / LP)</v>
          </cell>
          <cell r="B108">
            <v>1023800.85</v>
          </cell>
        </row>
        <row r="109">
          <cell r="A109" t="str">
            <v>1710501014 (-)Rec Fin a apr s/ Dups a Rec no MI LP (P CP/LP)</v>
          </cell>
          <cell r="B109">
            <v>-10597.07</v>
          </cell>
        </row>
        <row r="110">
          <cell r="A110" t="str">
            <v>IMPOSTOS A RECUPERAR</v>
          </cell>
          <cell r="B110">
            <v>3028103.29</v>
          </cell>
        </row>
        <row r="111">
          <cell r="A111" t="str">
            <v>ICMS a Recuperar</v>
          </cell>
          <cell r="B111">
            <v>2759884.73</v>
          </cell>
        </row>
        <row r="112">
          <cell r="A112" t="str">
            <v>1711507010 ICMS a Recuperar s/e Ativo Permanet LP (Realizado)</v>
          </cell>
          <cell r="B112">
            <v>2870000.95</v>
          </cell>
        </row>
        <row r="113">
          <cell r="A113" t="str">
            <v>1711507014 (-)AVP s/ ICMS a Recuperar s/ Ativo Permanente LP</v>
          </cell>
          <cell r="B113">
            <v>-110116.22</v>
          </cell>
        </row>
        <row r="114">
          <cell r="A114" t="str">
            <v>Outros</v>
          </cell>
          <cell r="B114">
            <v>268218.56</v>
          </cell>
        </row>
        <row r="115">
          <cell r="A115" t="str">
            <v>1711599040 FINSOCIAL 1982/83 (Realizado)</v>
          </cell>
          <cell r="B115">
            <v>268218.56</v>
          </cell>
        </row>
        <row r="116">
          <cell r="A116" t="str">
            <v>ESTOQUES</v>
          </cell>
          <cell r="B116">
            <v>12756655.439999999</v>
          </cell>
        </row>
        <row r="117">
          <cell r="A117" t="str">
            <v>Materiais de Almoxarifado de Giro Baixo</v>
          </cell>
          <cell r="B117">
            <v>12756655.439999999</v>
          </cell>
        </row>
        <row r="118">
          <cell r="A118" t="str">
            <v>1712020991 Estoque Almoxarifado Parcela Realizada LP</v>
          </cell>
          <cell r="B118">
            <v>12756655.439999999</v>
          </cell>
        </row>
        <row r="119">
          <cell r="A119" t="str">
            <v>DEPÓSITOS JUDICIAIS</v>
          </cell>
          <cell r="B119">
            <v>48241084.049999997</v>
          </cell>
        </row>
        <row r="120">
          <cell r="A120" t="str">
            <v>Tributários</v>
          </cell>
          <cell r="B120">
            <v>9010559.6600000001</v>
          </cell>
        </row>
        <row r="121">
          <cell r="A121" t="str">
            <v>1719001010 Dep Jud s/Res Trib Fed R</v>
          </cell>
          <cell r="B121">
            <v>7884493.1200000001</v>
          </cell>
        </row>
        <row r="122">
          <cell r="A122" t="str">
            <v>1719001011 ATM Dep Jud s/Res Trib Fed R</v>
          </cell>
          <cell r="B122">
            <v>771004.94</v>
          </cell>
        </row>
        <row r="123">
          <cell r="A123" t="str">
            <v>1719001030 Depos Jud s/Reserva-Imp, Taxas e Contrib Munic (R)</v>
          </cell>
          <cell r="B123">
            <v>355061.6</v>
          </cell>
        </row>
        <row r="124">
          <cell r="A124" t="str">
            <v>Trabalhistas</v>
          </cell>
          <cell r="B124">
            <v>6139421.3200000003</v>
          </cell>
        </row>
        <row r="125">
          <cell r="A125" t="str">
            <v>1719002010 Depos Jud s/Reserva-Reclamaçoes Trab (Realizado)</v>
          </cell>
          <cell r="B125">
            <v>4368714.9400000004</v>
          </cell>
        </row>
        <row r="126">
          <cell r="A126" t="str">
            <v>1719002030 Dep Judiciais s/Res -Previdenciarios (Realizado)</v>
          </cell>
          <cell r="B126">
            <v>1770706.38</v>
          </cell>
        </row>
        <row r="127">
          <cell r="A127" t="str">
            <v>Outros depósitos judiciais</v>
          </cell>
          <cell r="B127">
            <v>33091103.07</v>
          </cell>
        </row>
        <row r="128">
          <cell r="A128" t="str">
            <v>1719003990 Outros Dep Judic s/Reserva de Nat Oper (Realizado)</v>
          </cell>
          <cell r="B128">
            <v>28307938.91</v>
          </cell>
        </row>
        <row r="129">
          <cell r="A129" t="str">
            <v>1719003991 ATM Outros Dep Judic s/Reserva Nat Oper (Realiz)</v>
          </cell>
          <cell r="B129">
            <v>4783164.16</v>
          </cell>
        </row>
        <row r="130">
          <cell r="A130" t="str">
            <v>INVESTIMENTOS</v>
          </cell>
          <cell r="B130">
            <v>41309716.240000002</v>
          </cell>
        </row>
        <row r="131">
          <cell r="A131" t="str">
            <v>PARTICIPAÇÃO EM COLIGADA</v>
          </cell>
          <cell r="B131">
            <v>41309716.240000002</v>
          </cell>
        </row>
        <row r="132">
          <cell r="A132" t="str">
            <v>Tecsis tecnologia e sistemas avançados</v>
          </cell>
          <cell r="B132">
            <v>41309716.240000002</v>
          </cell>
        </row>
        <row r="133">
          <cell r="A133" t="str">
            <v>1720201010 Cto Part Per em Coligada ou ControladaTecsis</v>
          </cell>
          <cell r="B133">
            <v>-6951946.1399999997</v>
          </cell>
        </row>
        <row r="134">
          <cell r="A134" t="str">
            <v>1720201012 Agios em Partic Per Colig ou Control - Tecsis</v>
          </cell>
          <cell r="B134">
            <v>26896601.149999999</v>
          </cell>
        </row>
        <row r="135">
          <cell r="A135" t="str">
            <v>1720201014 Vlr Justo Ativos em Part Per Col Cont Tecsis</v>
          </cell>
          <cell r="B135">
            <v>58505815.5</v>
          </cell>
        </row>
        <row r="136">
          <cell r="A136" t="str">
            <v>1720201015 Realização Vlr Justo em Part Per Col Cont -Tecsis</v>
          </cell>
          <cell r="B136">
            <v>-13398578.550000001</v>
          </cell>
        </row>
        <row r="137">
          <cell r="A137" t="str">
            <v>1720201018 Ajust Aval Patrimonial em Part Per Col Cont Tecsis</v>
          </cell>
          <cell r="B137">
            <v>-23742175.719999999</v>
          </cell>
        </row>
        <row r="138">
          <cell r="A138" t="str">
            <v>IMOBILIZADO</v>
          </cell>
          <cell r="B138">
            <v>899164335.65999997</v>
          </cell>
        </row>
        <row r="139">
          <cell r="A139" t="str">
            <v>CUSTO</v>
          </cell>
          <cell r="B139">
            <v>1494348485.4100001</v>
          </cell>
        </row>
        <row r="140">
          <cell r="A140" t="str">
            <v>Terrenos</v>
          </cell>
          <cell r="B140">
            <v>247550000.00999999</v>
          </cell>
        </row>
        <row r="141">
          <cell r="A141" t="str">
            <v>1740101010 Imobilizado-Custo dos Terrenos</v>
          </cell>
          <cell r="B141">
            <v>2292264.9900000002</v>
          </cell>
        </row>
        <row r="142">
          <cell r="A142" t="str">
            <v>1740101011 Imobilizado-Mais Valia dos Terrenos</v>
          </cell>
          <cell r="B142">
            <v>122628867.51000001</v>
          </cell>
        </row>
        <row r="143">
          <cell r="A143" t="str">
            <v>1740101012 Imobilizado-Mais Valia Comb Neg dos Terrenos</v>
          </cell>
          <cell r="B143">
            <v>122628867.51000001</v>
          </cell>
        </row>
        <row r="144">
          <cell r="A144" t="str">
            <v>Edificações e construções</v>
          </cell>
          <cell r="B144">
            <v>146003044.03</v>
          </cell>
        </row>
        <row r="145">
          <cell r="A145" t="str">
            <v>1740102010 Imobilizado-Custo dos Edificios</v>
          </cell>
          <cell r="B145">
            <v>125927797.73999999</v>
          </cell>
        </row>
        <row r="146">
          <cell r="A146" t="str">
            <v>1740102011 Imobilizado-Mais Valia dos Edificios</v>
          </cell>
          <cell r="B146">
            <v>2867318.76</v>
          </cell>
        </row>
        <row r="147">
          <cell r="A147" t="str">
            <v>1740102012 Imobilizado-Mais Valia Comb Negocios dos Edificios</v>
          </cell>
          <cell r="B147">
            <v>2867318.76</v>
          </cell>
        </row>
        <row r="148">
          <cell r="A148" t="str">
            <v>1740102014 Imobilizado-Contrapartida do AVP de Edificios</v>
          </cell>
          <cell r="B148">
            <v>246130.39</v>
          </cell>
        </row>
        <row r="149">
          <cell r="A149" t="str">
            <v>1740102020 Imobilizado-Custo das Benfeitorias</v>
          </cell>
          <cell r="B149">
            <v>9745640.0999999996</v>
          </cell>
        </row>
        <row r="150">
          <cell r="A150" t="str">
            <v>1740102021 Imobilizado-Mais Valia Benfeitorias</v>
          </cell>
          <cell r="B150">
            <v>2173636.4</v>
          </cell>
        </row>
        <row r="151">
          <cell r="A151" t="str">
            <v>1740102022 Imobilizado-Mais Valia Comb Neg Benfeitorias</v>
          </cell>
          <cell r="B151">
            <v>2173636.4</v>
          </cell>
        </row>
        <row r="152">
          <cell r="A152" t="str">
            <v>1740102024 Imobilizado-Contrapartida do AVP de Beneficios</v>
          </cell>
          <cell r="B152">
            <v>1565.48</v>
          </cell>
        </row>
        <row r="153">
          <cell r="A153" t="str">
            <v>Equipamentos e Instalações</v>
          </cell>
          <cell r="B153">
            <v>1040397200.39</v>
          </cell>
        </row>
        <row r="154">
          <cell r="A154" t="str">
            <v>1740103010 Imobilizado-Custo de Equipamentos</v>
          </cell>
          <cell r="B154">
            <v>815074678.41999996</v>
          </cell>
        </row>
        <row r="155">
          <cell r="A155" t="str">
            <v>1740103011 Imobilizado-Mais Valia Equipamentos</v>
          </cell>
          <cell r="B155">
            <v>97195291.659999996</v>
          </cell>
        </row>
        <row r="156">
          <cell r="A156" t="str">
            <v>1740103012 Imobilizado-Mais Valia Comb Neg Equipamentos</v>
          </cell>
          <cell r="B156">
            <v>97195291.659999996</v>
          </cell>
        </row>
        <row r="157">
          <cell r="A157" t="str">
            <v>1740103014 Imobilizado-AVP Equipamentos</v>
          </cell>
          <cell r="B157">
            <v>8868373.8499999996</v>
          </cell>
        </row>
        <row r="158">
          <cell r="A158" t="str">
            <v>1740103020 Imobilizado-Custo dos Sobressalentes</v>
          </cell>
          <cell r="B158">
            <v>17518458.449999999</v>
          </cell>
        </row>
        <row r="159">
          <cell r="A159" t="str">
            <v>1740103021 Imobilizado-Mais Valia dos Sobressalentes</v>
          </cell>
          <cell r="B159">
            <v>2255648.7999999998</v>
          </cell>
        </row>
        <row r="160">
          <cell r="A160" t="str">
            <v>1740103022 Imobilizado-Custo dos Sobressalentes</v>
          </cell>
          <cell r="B160">
            <v>2255648.7999999998</v>
          </cell>
        </row>
        <row r="161">
          <cell r="A161" t="str">
            <v>1740105020 Imobilizado-Custo de Veiculos Fora de Estrada</v>
          </cell>
          <cell r="B161">
            <v>33808.75</v>
          </cell>
        </row>
        <row r="162">
          <cell r="A162" t="str">
            <v>Veículos</v>
          </cell>
          <cell r="B162">
            <v>1228207.99</v>
          </cell>
        </row>
        <row r="163">
          <cell r="A163" t="str">
            <v>1740105010 Imob-Custo de Veiculos de Passageiros e Carga</v>
          </cell>
          <cell r="B163">
            <v>1224371.3700000001</v>
          </cell>
        </row>
        <row r="164">
          <cell r="A164" t="str">
            <v>1740105011 Imob-Mais Valia de Veiculos de Passageiros e Carga</v>
          </cell>
          <cell r="B164">
            <v>1777.67</v>
          </cell>
        </row>
        <row r="165">
          <cell r="A165" t="str">
            <v>1740105012 Imob-Mais Valia de Veiculos de Passageiros e Carga</v>
          </cell>
          <cell r="B165">
            <v>1777.67</v>
          </cell>
        </row>
        <row r="166">
          <cell r="A166" t="str">
            <v>1740105014 Imob-AVP de Veiculos de Passageiros e Carga</v>
          </cell>
          <cell r="B166">
            <v>281.27999999999997</v>
          </cell>
        </row>
        <row r="167">
          <cell r="A167" t="str">
            <v>Móveis e utensílios</v>
          </cell>
          <cell r="B167">
            <v>12139239.710000001</v>
          </cell>
        </row>
        <row r="168">
          <cell r="A168" t="str">
            <v>1740104010 Imob-Custo de Moveis, Utensilios e Inst Comerciais</v>
          </cell>
          <cell r="B168">
            <v>12094416.869999999</v>
          </cell>
        </row>
        <row r="169">
          <cell r="A169" t="str">
            <v>1740104014 Imob-AVP de Moveis, Utensilios e Inst Comerciais</v>
          </cell>
          <cell r="B169">
            <v>44822.84</v>
          </cell>
        </row>
        <row r="170">
          <cell r="A170" t="str">
            <v>Demais bens</v>
          </cell>
          <cell r="B170">
            <v>11110958.92</v>
          </cell>
        </row>
        <row r="171">
          <cell r="A171" t="str">
            <v>1740199010 Imobilizado-Custo de Material Auxiliar Permanente</v>
          </cell>
          <cell r="B171">
            <v>2511016.21</v>
          </cell>
        </row>
        <row r="172">
          <cell r="A172" t="str">
            <v>1740199070 Imobilizado-Custo de Computadores e Perifericos</v>
          </cell>
          <cell r="B172">
            <v>8563621.0899999999</v>
          </cell>
        </row>
        <row r="173">
          <cell r="A173" t="str">
            <v>1740199074 Imobilizado- AVP de Computadores e Perifericos</v>
          </cell>
          <cell r="B173">
            <v>36321.620000000003</v>
          </cell>
        </row>
        <row r="174">
          <cell r="A174" t="str">
            <v>imobilizado em andamento</v>
          </cell>
          <cell r="B174">
            <v>35919834.359999999</v>
          </cell>
        </row>
        <row r="175">
          <cell r="A175" t="str">
            <v>1745001010 Imob Andament-Custo das Aquisiçoes p/Imob (Receb)</v>
          </cell>
          <cell r="B175">
            <v>29414492.039999999</v>
          </cell>
        </row>
        <row r="176">
          <cell r="A176" t="str">
            <v>1745001014 Contrapartida dos Aj a Vr Presente de IeA</v>
          </cell>
          <cell r="B176">
            <v>130394.33</v>
          </cell>
        </row>
        <row r="177">
          <cell r="A177" t="str">
            <v>1745001020 Imob And-Cto das Aquisiç de Sobres de Imob (Receb)</v>
          </cell>
          <cell r="B177">
            <v>217436.71</v>
          </cell>
        </row>
        <row r="178">
          <cell r="A178" t="str">
            <v>1745002030 Imob And-Cto dos Adiants p/Aquis de Imobiliz (T)</v>
          </cell>
          <cell r="B178">
            <v>1382802.6</v>
          </cell>
        </row>
        <row r="179">
          <cell r="A179" t="str">
            <v>1745099010 Imob And-Encar Fin s/ Aquis de Imob-Juros (Realiz)</v>
          </cell>
          <cell r="B179">
            <v>2754919.23</v>
          </cell>
        </row>
        <row r="180">
          <cell r="A180" t="str">
            <v>1745099030 Imob And-Encar Fin s/ Aquis de Imob-Var Cam (R)</v>
          </cell>
          <cell r="B180">
            <v>2019789.45</v>
          </cell>
        </row>
        <row r="181">
          <cell r="A181" t="str">
            <v>DEPRECIAÇÃO</v>
          </cell>
          <cell r="B181">
            <v>-595184149.75</v>
          </cell>
        </row>
        <row r="182">
          <cell r="A182" t="str">
            <v>Edificações e construções</v>
          </cell>
          <cell r="B182">
            <v>-46292076.649999999</v>
          </cell>
        </row>
        <row r="183">
          <cell r="A183" t="str">
            <v>1740502010 (-)Depreciaçao-Custo dos Edificios</v>
          </cell>
          <cell r="B183">
            <v>-39331188.93</v>
          </cell>
        </row>
        <row r="184">
          <cell r="A184" t="str">
            <v>1740502011 (-)Depreciaçao-Mais Valia Edificios</v>
          </cell>
          <cell r="B184">
            <v>-156350.9</v>
          </cell>
        </row>
        <row r="185">
          <cell r="A185" t="str">
            <v>1740502012 (-)Depreciaçao-Mais Valia Combin Neg Edificios</v>
          </cell>
          <cell r="B185">
            <v>-156350.9</v>
          </cell>
        </row>
        <row r="186">
          <cell r="A186" t="str">
            <v>1740502014 (-)Depr-Contrapartida do AVP de Edificios</v>
          </cell>
          <cell r="B186">
            <v>-32147.34</v>
          </cell>
        </row>
        <row r="187">
          <cell r="A187" t="str">
            <v>1740502020 (-)Depreciaçao-Custo das Benfeitorias</v>
          </cell>
          <cell r="B187">
            <v>-6159131.3200000003</v>
          </cell>
        </row>
        <row r="188">
          <cell r="A188" t="str">
            <v>1740502021 (-)Depreciaçao-Mais Valia Benfeitorias</v>
          </cell>
          <cell r="B188">
            <v>-228286.21</v>
          </cell>
        </row>
        <row r="189">
          <cell r="A189" t="str">
            <v>1740502022 (-)Depreciaçao-Mais Valia Combin Neg Benfeitorias</v>
          </cell>
          <cell r="B189">
            <v>-228286.21</v>
          </cell>
        </row>
        <row r="190">
          <cell r="A190" t="str">
            <v>1740502024 (-)Depr-Contrapartida do AVP de Benfeitorias</v>
          </cell>
          <cell r="B190">
            <v>-334.84</v>
          </cell>
        </row>
        <row r="191">
          <cell r="A191" t="str">
            <v>Equipamentos e Instalações</v>
          </cell>
          <cell r="B191">
            <v>-532431308.17000002</v>
          </cell>
        </row>
        <row r="192">
          <cell r="A192" t="str">
            <v>1740503010 (-)Depreciaçao-Custo de Equipamentos</v>
          </cell>
          <cell r="B192">
            <v>-500589963.05000001</v>
          </cell>
        </row>
        <row r="193">
          <cell r="A193" t="str">
            <v>1740503011 (-)Depreciaçao-Mais Valia Equipamentos</v>
          </cell>
          <cell r="B193">
            <v>-9605102.9499999993</v>
          </cell>
        </row>
        <row r="194">
          <cell r="A194" t="str">
            <v>1740503012 (-)Depreciaçao-Mais Valia Combin Neg Equipamentos</v>
          </cell>
          <cell r="B194">
            <v>-9605102.9499999993</v>
          </cell>
        </row>
        <row r="195">
          <cell r="A195" t="str">
            <v>1740503014 (-)Depr-Contrapartida do AVP de Equipamentos</v>
          </cell>
          <cell r="B195">
            <v>-2752294.56</v>
          </cell>
        </row>
        <row r="196">
          <cell r="A196" t="str">
            <v>1740503020 (-)Depreciaçao-Custo dos Sobressalentes</v>
          </cell>
          <cell r="B196">
            <v>-9414789.8200000003</v>
          </cell>
        </row>
        <row r="197">
          <cell r="A197" t="str">
            <v>1740503021 (-)Depreciaçao-Mais Valia Sobressalentes</v>
          </cell>
          <cell r="B197">
            <v>-223183.07</v>
          </cell>
        </row>
        <row r="198">
          <cell r="A198" t="str">
            <v>1740503022 (-)Depreciaçao-Mais Valia Combin Neg Sobressalente</v>
          </cell>
          <cell r="B198">
            <v>-223183.07</v>
          </cell>
        </row>
        <row r="199">
          <cell r="A199" t="str">
            <v>1740505020 (-)Depreciaçao-Custo de Veiculos Fora da Estrada</v>
          </cell>
          <cell r="B199">
            <v>-17688.7</v>
          </cell>
        </row>
        <row r="200">
          <cell r="A200" t="str">
            <v>Veículos</v>
          </cell>
          <cell r="B200">
            <v>-740496.38</v>
          </cell>
        </row>
        <row r="201">
          <cell r="A201" t="str">
            <v>1740505010 (-)Depr-Custo de Veiculos de Passageiros e Carga</v>
          </cell>
          <cell r="B201">
            <v>-738338.7</v>
          </cell>
        </row>
        <row r="202">
          <cell r="A202" t="str">
            <v>1740505011 (-)Depreciaçao-Mais Valia Veiculos</v>
          </cell>
          <cell r="B202">
            <v>-938.2</v>
          </cell>
        </row>
        <row r="203">
          <cell r="A203" t="str">
            <v>1740505012 (-)Depreciaçao-Mais Valia Combin Neg Veiculos</v>
          </cell>
          <cell r="B203">
            <v>-938.2</v>
          </cell>
        </row>
        <row r="204">
          <cell r="A204" t="str">
            <v>1740505014 (-)Depr-Contrapartida do AVP de Veículos</v>
          </cell>
          <cell r="B204">
            <v>-281.27999999999997</v>
          </cell>
        </row>
        <row r="205">
          <cell r="A205" t="str">
            <v>Móveis e utensílios</v>
          </cell>
          <cell r="B205">
            <v>-8603644.0999999996</v>
          </cell>
        </row>
        <row r="206">
          <cell r="A206" t="str">
            <v>1740504010 (-)Depreciaçao-Custo dos Móveis, Utens e Inst Com</v>
          </cell>
          <cell r="B206">
            <v>-8589736.8200000003</v>
          </cell>
        </row>
        <row r="207">
          <cell r="A207" t="str">
            <v>1740504014 (-)Depr-Contrapartida do AVP de Móveis, Utens</v>
          </cell>
          <cell r="B207">
            <v>-13907.28</v>
          </cell>
        </row>
        <row r="208">
          <cell r="A208" t="str">
            <v>Demais bens</v>
          </cell>
          <cell r="B208">
            <v>-7116624.4500000002</v>
          </cell>
        </row>
        <row r="209">
          <cell r="A209" t="str">
            <v>1740599070 (-)Depreciaçao-Custo de Computadores e Perifericos</v>
          </cell>
          <cell r="B209">
            <v>-7093383.6299999999</v>
          </cell>
        </row>
        <row r="210">
          <cell r="A210" t="str">
            <v>1740599074 (-)Depr-Contrap do AVP dos Computad Perifericos</v>
          </cell>
          <cell r="B210">
            <v>-23240.82</v>
          </cell>
        </row>
        <row r="211">
          <cell r="A211" t="str">
            <v>INTANGÍVEL</v>
          </cell>
          <cell r="B211">
            <v>287328266.89999998</v>
          </cell>
        </row>
        <row r="212">
          <cell r="A212" t="str">
            <v>INTANGÍVEL EM OPERAÇÃO</v>
          </cell>
          <cell r="B212">
            <v>287328266.89999998</v>
          </cell>
        </row>
        <row r="213">
          <cell r="A213" t="str">
            <v>Ágio - combinação de negócio em estágios</v>
          </cell>
          <cell r="B213">
            <v>195808784.34999999</v>
          </cell>
        </row>
        <row r="214">
          <cell r="A214" t="str">
            <v>1750190012 Intangivel Op-Mais Valia C N Ativ n Alocados</v>
          </cell>
          <cell r="B214">
            <v>195808784.34999999</v>
          </cell>
        </row>
        <row r="215">
          <cell r="A215" t="str">
            <v>Carteira de clientes</v>
          </cell>
          <cell r="B215">
            <v>0</v>
          </cell>
        </row>
        <row r="216">
          <cell r="A216" t="str">
            <v>1750103011 Intangivel Op-Mais Valia de Carteira de Clientes</v>
          </cell>
          <cell r="B216">
            <v>106000</v>
          </cell>
        </row>
        <row r="217">
          <cell r="A217" t="str">
            <v>1750103012 Intangivel Op-Mais Valia de Carteira Clientes C N</v>
          </cell>
          <cell r="B217">
            <v>106000</v>
          </cell>
        </row>
        <row r="218">
          <cell r="A218" t="str">
            <v>1750603011 (-)Amort-Mais Valia Carteira de Clientes</v>
          </cell>
          <cell r="B218">
            <v>-106000</v>
          </cell>
        </row>
        <row r="219">
          <cell r="A219" t="str">
            <v>1750603012 (-)Amort-Mais Valia C N Carteira de Clientes</v>
          </cell>
          <cell r="B219">
            <v>-106000</v>
          </cell>
        </row>
        <row r="220">
          <cell r="A220" t="str">
            <v>Direito de uso de software e pesquisa e desen</v>
          </cell>
          <cell r="B220">
            <v>14345509.289999999</v>
          </cell>
        </row>
        <row r="221">
          <cell r="A221" t="str">
            <v>1750101010 Intangivel Op-Custo das Marcas e Patentes</v>
          </cell>
          <cell r="B221">
            <v>1385.16</v>
          </cell>
        </row>
        <row r="222">
          <cell r="A222" t="str">
            <v>1750102010 Intangivel Op-Cto das Software ou Prog de Comput</v>
          </cell>
          <cell r="B222">
            <v>19883267.920000002</v>
          </cell>
        </row>
        <row r="223">
          <cell r="A223" t="str">
            <v>1750102014 Intangivel Op-AV de Software ou Prog de Comput</v>
          </cell>
          <cell r="B223">
            <v>61858.13</v>
          </cell>
        </row>
        <row r="224">
          <cell r="A224" t="str">
            <v>1750602010 (-)Amort-Cto dos Software ou Programas de Comput</v>
          </cell>
          <cell r="B224">
            <v>-5591119.1299999999</v>
          </cell>
        </row>
        <row r="225">
          <cell r="A225" t="str">
            <v>1750602014 (-)Amort-Contrapartida do AVP de Softwares</v>
          </cell>
          <cell r="B225">
            <v>-9882.7900000000009</v>
          </cell>
        </row>
        <row r="226">
          <cell r="A226" t="str">
            <v>Ágio Goodwill</v>
          </cell>
          <cell r="B226">
            <v>116930262.52</v>
          </cell>
        </row>
        <row r="227">
          <cell r="A227" t="str">
            <v>1750190011 Intangivel Op-Mais Valia Ativ n Alocados</v>
          </cell>
          <cell r="B227">
            <v>116930262.52</v>
          </cell>
        </row>
        <row r="228">
          <cell r="A228" t="str">
            <v>Tributos diferidos s/ágio não alocado</v>
          </cell>
          <cell r="B228">
            <v>-39756289.259999998</v>
          </cell>
        </row>
        <row r="229">
          <cell r="A229" t="str">
            <v>1750190021 Intangivel Op-Tribs Dif S/Mais Valia de Ativos (R)</v>
          </cell>
          <cell r="B229">
            <v>-39756289.259999998</v>
          </cell>
        </row>
        <row r="230">
          <cell r="A230" t="str">
            <v>1754901020 Trib Diferidos s/Mais Valia CN Ativos Imob (Realiz</v>
          </cell>
          <cell r="B230">
            <v>-73748959.390000001</v>
          </cell>
        </row>
        <row r="231">
          <cell r="A231" t="str">
            <v>1754901021 Trib Diferidos s/Mais Valia CN At Imob (Tr Passivo</v>
          </cell>
          <cell r="B231">
            <v>73748959.390000001</v>
          </cell>
        </row>
        <row r="232">
          <cell r="A232" t="str">
            <v>PASSIVO E PATRIMÔNIO LÍQUIDO</v>
          </cell>
          <cell r="B232">
            <v>-1642011496.8699999</v>
          </cell>
        </row>
        <row r="233">
          <cell r="A233" t="str">
            <v>CIRCULANTE</v>
          </cell>
          <cell r="B233">
            <v>-254008792.11000001</v>
          </cell>
        </row>
        <row r="234">
          <cell r="A234" t="str">
            <v>FORNECEDORES</v>
          </cell>
          <cell r="B234">
            <v>-22819750.68</v>
          </cell>
        </row>
        <row r="235">
          <cell r="A235" t="str">
            <v>Serviços</v>
          </cell>
          <cell r="B235">
            <v>-1935049.5</v>
          </cell>
        </row>
        <row r="236">
          <cell r="A236" t="str">
            <v>2110101010 Fornecedores Nacionais de Serviços (Realizado)</v>
          </cell>
          <cell r="B236">
            <v>-1935049.5</v>
          </cell>
        </row>
        <row r="237">
          <cell r="A237" t="str">
            <v>Matérias Primas</v>
          </cell>
          <cell r="B237">
            <v>-3486964.47</v>
          </cell>
        </row>
        <row r="238">
          <cell r="A238" t="str">
            <v>2110101020 Fornecedores Nacionais de MP (Realizado)</v>
          </cell>
          <cell r="B238">
            <v>-3486964.47</v>
          </cell>
        </row>
        <row r="239">
          <cell r="A239" t="str">
            <v>Fretes</v>
          </cell>
          <cell r="B239">
            <v>-4808111.59</v>
          </cell>
        </row>
        <row r="240">
          <cell r="A240" t="str">
            <v>2110101070 Fornecedores Nacionais de Fretes (Realizado)</v>
          </cell>
          <cell r="B240">
            <v>-4808111.59</v>
          </cell>
        </row>
        <row r="241">
          <cell r="A241" t="str">
            <v>Materiais de Consumo</v>
          </cell>
          <cell r="B241">
            <v>-1338949.8600000001</v>
          </cell>
        </row>
        <row r="242">
          <cell r="A242" t="str">
            <v>2110101040 Fornecedores Nacionais de Mat de Cons(Realizado)</v>
          </cell>
          <cell r="B242">
            <v>-1287428.68</v>
          </cell>
        </row>
        <row r="243">
          <cell r="A243" t="str">
            <v>2110102040 Fornecedores do Ext de Mat de Cons (Realizado)</v>
          </cell>
          <cell r="B243">
            <v>-51521.18</v>
          </cell>
        </row>
        <row r="244">
          <cell r="A244" t="str">
            <v>Demais tipos de fornecedores</v>
          </cell>
          <cell r="B244">
            <v>-11250675.26</v>
          </cell>
        </row>
        <row r="245">
          <cell r="A245" t="str">
            <v>2110101030 Fornecedores Nacionais de Energia (Realizado)</v>
          </cell>
          <cell r="B245">
            <v>-7769727.1699999999</v>
          </cell>
        </row>
        <row r="246">
          <cell r="A246" t="str">
            <v>2110101050 Fornecedores Nacionais Funcionarios (Realizado)</v>
          </cell>
          <cell r="B246">
            <v>-7487</v>
          </cell>
        </row>
        <row r="247">
          <cell r="A247" t="str">
            <v>2110101060 Fornecedores Nacionais Imps e Contrib (Realizado)</v>
          </cell>
          <cell r="B247">
            <v>-1674501.58</v>
          </cell>
        </row>
        <row r="248">
          <cell r="A248" t="str">
            <v>2110199011 Provisao de Entrada de Mercad e de Fatura (EM/EF)</v>
          </cell>
          <cell r="B248">
            <v>-1798959.51</v>
          </cell>
        </row>
        <row r="249">
          <cell r="A249" t="str">
            <v>EMPRÉSTIMOS</v>
          </cell>
          <cell r="B249">
            <v>-164794044.24000001</v>
          </cell>
        </row>
        <row r="250">
          <cell r="A250" t="str">
            <v>Moeda nacional</v>
          </cell>
          <cell r="B250">
            <v>-162585823.47</v>
          </cell>
        </row>
        <row r="251">
          <cell r="A251" t="str">
            <v>2110502010 Emprest e Financs em Moeda Nacional CP (Realizado)</v>
          </cell>
          <cell r="B251">
            <v>-153572841.97999999</v>
          </cell>
        </row>
        <row r="252">
          <cell r="A252" t="str">
            <v>2110502020 Juros s/Empr Fin em Moeda Nacional CP (Realizado)</v>
          </cell>
          <cell r="B252">
            <v>-3352634.05</v>
          </cell>
        </row>
        <row r="253">
          <cell r="A253" t="str">
            <v>2110502500 Custo de Emprest e Finan Amort em MN CP (Realiz)</v>
          </cell>
          <cell r="B253">
            <v>-5660347.4400000004</v>
          </cell>
        </row>
        <row r="254">
          <cell r="A254" t="str">
            <v>Moeda estrangeira</v>
          </cell>
          <cell r="B254">
            <v>-2208220.77</v>
          </cell>
        </row>
        <row r="255">
          <cell r="A255" t="str">
            <v>2110502600 Emprestimos e Finan em Moeda Estrang CP (Realiz)</v>
          </cell>
          <cell r="B255">
            <v>-2187015.98</v>
          </cell>
        </row>
        <row r="256">
          <cell r="A256" t="str">
            <v>2110502610 Jur s/Emprest e Finan Moeda Estrang CP (Realizado)</v>
          </cell>
          <cell r="B256">
            <v>-21204.79</v>
          </cell>
        </row>
        <row r="257">
          <cell r="A257" t="str">
            <v>SALÁRIOS E ENCARGOS SOCIAIS</v>
          </cell>
          <cell r="B257">
            <v>-18913611.170000002</v>
          </cell>
        </row>
        <row r="258">
          <cell r="A258" t="str">
            <v>Salários, Férias e Gratificações</v>
          </cell>
          <cell r="B258">
            <v>-14299198.890000001</v>
          </cell>
        </row>
        <row r="259">
          <cell r="A259" t="str">
            <v>2111001010 Salarios a Pagar (Realizado)</v>
          </cell>
          <cell r="B259">
            <v>446.74</v>
          </cell>
        </row>
        <row r="260">
          <cell r="A260" t="str">
            <v>2111001050 Provisao de 13º Salario (Realizado)</v>
          </cell>
          <cell r="B260">
            <v>-1163202.49</v>
          </cell>
        </row>
        <row r="261">
          <cell r="A261" t="str">
            <v>2111001060 Provisao de Ferias (Realizado)</v>
          </cell>
          <cell r="B261">
            <v>-5030111.41</v>
          </cell>
        </row>
        <row r="262">
          <cell r="A262" t="str">
            <v>2111001080 Provisao de Gratificaçoes Ferias (Realizado)</v>
          </cell>
          <cell r="B262">
            <v>-3062105.21</v>
          </cell>
        </row>
        <row r="263">
          <cell r="A263" t="str">
            <v>2111001090 Provisao de Gratificaçoes Diretores Estatutários</v>
          </cell>
          <cell r="B263">
            <v>-1306192</v>
          </cell>
        </row>
        <row r="264">
          <cell r="A264" t="str">
            <v>2111001100 Provisão de Gratificações  - CLT</v>
          </cell>
          <cell r="B264">
            <v>-3023010.61</v>
          </cell>
        </row>
        <row r="265">
          <cell r="A265" t="str">
            <v>2111001900 Provisoes Partic nos Lucros de Funcion (Realizado)</v>
          </cell>
          <cell r="B265">
            <v>-715023.91</v>
          </cell>
        </row>
        <row r="266">
          <cell r="A266" t="str">
            <v>INSS</v>
          </cell>
          <cell r="B266">
            <v>-3816900.14</v>
          </cell>
        </row>
        <row r="267">
          <cell r="A267" t="str">
            <v>2111005010 Contrib Prev a Recolher-INSS s/Folha (Realizado)</v>
          </cell>
          <cell r="B267">
            <v>-2064287.75</v>
          </cell>
        </row>
        <row r="268">
          <cell r="A268" t="str">
            <v>2111005020 Contrib Prev a Recolher-INSS s/Autonomos (Realiz)</v>
          </cell>
          <cell r="B268">
            <v>-6640.08</v>
          </cell>
        </row>
        <row r="269">
          <cell r="A269" t="str">
            <v>2111005030 Contrib Prev a Recolher-INSS s/Cooperativas (Real)</v>
          </cell>
          <cell r="B269">
            <v>-73.63</v>
          </cell>
        </row>
        <row r="270">
          <cell r="A270" t="str">
            <v>2111005040 Contrib Prev a Recolher-INSS Termo Coop SENAI (R)</v>
          </cell>
          <cell r="B270">
            <v>-7125.85</v>
          </cell>
        </row>
        <row r="271">
          <cell r="A271" t="str">
            <v>2111005050 Prov de Contrib Prev-INSS sobre 13º Salario (R)</v>
          </cell>
          <cell r="B271">
            <v>-326569.15000000002</v>
          </cell>
        </row>
        <row r="272">
          <cell r="A272" t="str">
            <v>2111005060 Prov de Contrib Prev-INSS sobre Ferias (Realizado)</v>
          </cell>
          <cell r="B272">
            <v>-1412203.68</v>
          </cell>
        </row>
        <row r="273">
          <cell r="A273" t="str">
            <v>FGTS</v>
          </cell>
          <cell r="B273">
            <v>-797512.14</v>
          </cell>
        </row>
        <row r="274">
          <cell r="A274" t="str">
            <v>2111006010 Contrib Prev a Recolher-FGTS s/Folha (Realizado)</v>
          </cell>
          <cell r="B274">
            <v>-302524.12</v>
          </cell>
        </row>
        <row r="275">
          <cell r="A275" t="str">
            <v>2111006050 Prov Contrib Prev-FGTS s/ 13º Salario (Realizado)</v>
          </cell>
          <cell r="B275">
            <v>-92851.72</v>
          </cell>
        </row>
        <row r="276">
          <cell r="A276" t="str">
            <v>2111006060 Prov Contrib Prev-FGTS sobre Ferias (Realizado)</v>
          </cell>
          <cell r="B276">
            <v>-402136.3</v>
          </cell>
        </row>
        <row r="277">
          <cell r="A277" t="str">
            <v>IMPOSTOS DE RENDA E CONTRIBUIÇÃO SOCIAL</v>
          </cell>
          <cell r="B277">
            <v>-2384805.56</v>
          </cell>
        </row>
        <row r="278">
          <cell r="A278" t="str">
            <v>IRPJ e CSLL</v>
          </cell>
          <cell r="B278">
            <v>-2384805.56</v>
          </cell>
        </row>
        <row r="279">
          <cell r="A279" t="str">
            <v>1111001010 Antecipaçoes de CSLL (Realizado)</v>
          </cell>
          <cell r="B279">
            <v>1983851.79</v>
          </cell>
        </row>
        <row r="280">
          <cell r="A280" t="str">
            <v>1111001020 Antecipaçoes de IRPJ (Realizado)</v>
          </cell>
          <cell r="B280">
            <v>5053234.5199999996</v>
          </cell>
        </row>
        <row r="281">
          <cell r="A281" t="str">
            <v>2112001010 Prov p/ CSLL s/Resultado Operacional (Realizado)</v>
          </cell>
          <cell r="B281">
            <v>-5272115.4000000004</v>
          </cell>
        </row>
        <row r="282">
          <cell r="A282" t="str">
            <v>2112001020 Provisao p/ CSLL Diferida (Realizado)</v>
          </cell>
          <cell r="B282">
            <v>360097.75</v>
          </cell>
        </row>
        <row r="283">
          <cell r="A283" t="str">
            <v>2112001030 Provisao p/ CSLL Diferida s/Depreciaçao Fiscal (R)</v>
          </cell>
          <cell r="B283">
            <v>1542654.19</v>
          </cell>
        </row>
        <row r="284">
          <cell r="A284" t="str">
            <v>2112001040 Contribuição Social s/Compensação Base Negativa (R</v>
          </cell>
          <cell r="B284">
            <v>1010809.04</v>
          </cell>
        </row>
        <row r="285">
          <cell r="A285" t="str">
            <v>2112002010 Prov p/  IR s/Resultando Operacional (Realizado)</v>
          </cell>
          <cell r="B285">
            <v>-14802664.189999999</v>
          </cell>
        </row>
        <row r="286">
          <cell r="A286" t="str">
            <v>2112002020 Provisao para IR Diferida (Realizado)</v>
          </cell>
          <cell r="B286">
            <v>381764.35</v>
          </cell>
        </row>
        <row r="287">
          <cell r="A287" t="str">
            <v>2112002030 Provisao p/ IR Diferida s/Depreciaçao Fiscal (R)</v>
          </cell>
          <cell r="B287">
            <v>4285148.62</v>
          </cell>
        </row>
        <row r="288">
          <cell r="A288" t="str">
            <v>2112002040 Imposto de Renda s/ Compensação Prejuízo Fiscal (R</v>
          </cell>
          <cell r="B288">
            <v>3072413.77</v>
          </cell>
        </row>
        <row r="289">
          <cell r="A289" t="str">
            <v>OUTROS IMPOSTOS E CONTRIBUIÇÕES A PAGAR</v>
          </cell>
          <cell r="B289">
            <v>-14107128.34</v>
          </cell>
        </row>
        <row r="290">
          <cell r="A290" t="str">
            <v>ICMS a recolher</v>
          </cell>
          <cell r="B290">
            <v>-8423962.9800000004</v>
          </cell>
        </row>
        <row r="291">
          <cell r="A291" t="str">
            <v>2113005300 ICMS a Recolher (Realizado)</v>
          </cell>
          <cell r="B291">
            <v>-8423962.9800000004</v>
          </cell>
        </row>
        <row r="292">
          <cell r="A292" t="str">
            <v>PIS a recolher</v>
          </cell>
          <cell r="B292">
            <v>-568741.91</v>
          </cell>
        </row>
        <row r="293">
          <cell r="A293" t="str">
            <v>2113005010 PIS a Recolher (Realizado)</v>
          </cell>
          <cell r="B293">
            <v>-568741.91</v>
          </cell>
        </row>
        <row r="294">
          <cell r="A294" t="str">
            <v>Cofins a recolher</v>
          </cell>
          <cell r="B294">
            <v>-2619657.4700000002</v>
          </cell>
        </row>
        <row r="295">
          <cell r="A295" t="str">
            <v>2113005020 COFINS a Recolher (Realizado)</v>
          </cell>
          <cell r="B295">
            <v>-2619657.4700000002</v>
          </cell>
        </row>
        <row r="296">
          <cell r="A296" t="str">
            <v>Obrigações tributárias s/ servs.de terceiros</v>
          </cell>
          <cell r="B296">
            <v>-2494765.98</v>
          </cell>
        </row>
        <row r="297">
          <cell r="A297" t="str">
            <v>2113001010 IR de Funcionarios (Realizado)</v>
          </cell>
          <cell r="B297">
            <v>-2080041.57</v>
          </cell>
        </row>
        <row r="298">
          <cell r="A298" t="str">
            <v>2113001200 Imposto Sindical de Funcionarios (Realizado)</v>
          </cell>
          <cell r="B298">
            <v>0</v>
          </cell>
        </row>
        <row r="299">
          <cell r="A299" t="str">
            <v>2113001300 Imposto de Renda s/Servs de Terceiros (Realizado)</v>
          </cell>
          <cell r="B299">
            <v>-40186.83</v>
          </cell>
        </row>
        <row r="300">
          <cell r="A300" t="str">
            <v>2113001310 INSS s/Serviços de Terceiros PF</v>
          </cell>
          <cell r="B300">
            <v>-1861.3</v>
          </cell>
        </row>
        <row r="301">
          <cell r="A301" t="str">
            <v>2113001320 INSS s/Serviços de Terceiros PJ</v>
          </cell>
          <cell r="B301">
            <v>-149066.76999999999</v>
          </cell>
        </row>
        <row r="302">
          <cell r="A302" t="str">
            <v>2113001350 CSLL s/Serviços de Terceiros (Realizado)</v>
          </cell>
          <cell r="B302">
            <v>-14663.53</v>
          </cell>
        </row>
        <row r="303">
          <cell r="A303" t="str">
            <v>2113001360 PIS s/Serviços de Terceiros (Realizado)</v>
          </cell>
          <cell r="B303">
            <v>-9662.5</v>
          </cell>
        </row>
        <row r="304">
          <cell r="A304" t="str">
            <v>2113001370 COFINS s/Serviços de Terceiros (Realizado)</v>
          </cell>
          <cell r="B304">
            <v>-44596.06</v>
          </cell>
        </row>
        <row r="305">
          <cell r="A305" t="str">
            <v>2113001400 ISS s/Serviços de Terceiros (Realizado)</v>
          </cell>
          <cell r="B305">
            <v>-154687.42000000001</v>
          </cell>
        </row>
        <row r="306">
          <cell r="A306" t="str">
            <v>DIVIDENDOS E JUROS S/ CAPITAL PROPRIO A PAGAR</v>
          </cell>
          <cell r="B306">
            <v>-1742269.3</v>
          </cell>
        </row>
        <row r="307">
          <cell r="A307" t="str">
            <v>Dividendos a pagar</v>
          </cell>
          <cell r="B307">
            <v>-1742269.3</v>
          </cell>
        </row>
        <row r="308">
          <cell r="A308" t="str">
            <v>2114001010 Dividendos a Pagar (Realizado)</v>
          </cell>
          <cell r="B308">
            <v>-1742269.3</v>
          </cell>
        </row>
        <row r="309">
          <cell r="A309" t="str">
            <v>Dividendos propostos</v>
          </cell>
          <cell r="B309">
            <v>0</v>
          </cell>
        </row>
        <row r="310">
          <cell r="A310" t="str">
            <v>2114001020 Dividendos Propostos (Realizado)</v>
          </cell>
          <cell r="B310">
            <v>0</v>
          </cell>
        </row>
        <row r="311">
          <cell r="A311" t="str">
            <v>DEMANDAS JUDICIAIS</v>
          </cell>
          <cell r="B311">
            <v>-3269637.8</v>
          </cell>
        </row>
        <row r="312">
          <cell r="A312" t="str">
            <v>Fiscais</v>
          </cell>
          <cell r="B312">
            <v>-3269637.8</v>
          </cell>
        </row>
        <row r="313">
          <cell r="A313" t="str">
            <v>2119001010 Prov Nat Trib s/Dep Gar CP-Imp,Taxas Contr Fed (R)</v>
          </cell>
          <cell r="B313">
            <v>-3269637.8</v>
          </cell>
        </row>
        <row r="314">
          <cell r="A314" t="str">
            <v>ENERGIA ELÉTRICA</v>
          </cell>
          <cell r="B314">
            <v>-14725947.67</v>
          </cell>
        </row>
        <row r="315">
          <cell r="A315" t="str">
            <v>Energia elétrica provisionada</v>
          </cell>
          <cell r="B315">
            <v>-14725947.67</v>
          </cell>
        </row>
        <row r="316">
          <cell r="A316" t="str">
            <v>2118005010 Fornec e nao Faturado-Energia Eletrica (Realizado)</v>
          </cell>
          <cell r="B316">
            <v>-14725947.67</v>
          </cell>
        </row>
        <row r="317">
          <cell r="A317" t="str">
            <v>OUTROS PASSIVOS CIRCULANTES</v>
          </cell>
          <cell r="B317">
            <v>-11251597.35</v>
          </cell>
        </row>
        <row r="318">
          <cell r="A318" t="str">
            <v>Serviços Técnicos profissionais</v>
          </cell>
          <cell r="B318">
            <v>-120371.44</v>
          </cell>
        </row>
        <row r="319">
          <cell r="A319" t="str">
            <v>2119003020 Prov Nat Op Desp c/ Servs Tecn e Prof CP (Realiz)</v>
          </cell>
          <cell r="B319">
            <v>-120371.44</v>
          </cell>
        </row>
        <row r="320">
          <cell r="A320" t="str">
            <v>Fretes sobre vendas</v>
          </cell>
          <cell r="B320">
            <v>-3370530.43</v>
          </cell>
        </row>
        <row r="321">
          <cell r="A321" t="str">
            <v>2119003010 Prov Nat Op Desp c/ Fretes s/Vendas CP (Realizado)</v>
          </cell>
          <cell r="B321">
            <v>-3370530.43</v>
          </cell>
        </row>
        <row r="322">
          <cell r="A322" t="str">
            <v>Desembaraço alfandegário</v>
          </cell>
          <cell r="B322">
            <v>-4344171.5199999996</v>
          </cell>
        </row>
        <row r="323">
          <cell r="A323" t="str">
            <v>2118005040 Fornec e nao Faturado-Materiais de Cons (Realiz)</v>
          </cell>
          <cell r="B323">
            <v>-4344171.5199999996</v>
          </cell>
        </row>
        <row r="324">
          <cell r="A324" t="str">
            <v>Obrigações de natureza fiscais</v>
          </cell>
          <cell r="B324">
            <v>-1935039</v>
          </cell>
        </row>
        <row r="325">
          <cell r="A325" t="str">
            <v>2119001030 Prov Nat Trib s/Dep Gar CP-Imp,Taxas Cont Mun (R)</v>
          </cell>
          <cell r="B325">
            <v>-1935039</v>
          </cell>
        </row>
        <row r="326">
          <cell r="A326" t="str">
            <v>Outras obrigações e compromissos</v>
          </cell>
          <cell r="B326">
            <v>-1481484.96</v>
          </cell>
        </row>
        <row r="327">
          <cell r="A327" t="str">
            <v>2118005020 Fornec e nao Faturado-Agua (Realizado)</v>
          </cell>
          <cell r="B327">
            <v>-41000</v>
          </cell>
        </row>
        <row r="328">
          <cell r="A328" t="str">
            <v>2118005090 Fornec e nao Faturado-Servs Prestados (Realizado)</v>
          </cell>
          <cell r="B328">
            <v>-179593.37</v>
          </cell>
        </row>
        <row r="329">
          <cell r="A329" t="str">
            <v>2118010010 Retençoes s/Contratos de Compras (Realizado)</v>
          </cell>
          <cell r="B329">
            <v>-16416.61</v>
          </cell>
        </row>
        <row r="330">
          <cell r="A330" t="str">
            <v>2118050010 Adiantamentos de Clientes (Realizado)</v>
          </cell>
          <cell r="B330">
            <v>-913387.94</v>
          </cell>
        </row>
        <row r="331">
          <cell r="A331" t="str">
            <v>2119003030 Prov Nat Op Desp c/Servs de Auditoria CP (Realiz)</v>
          </cell>
          <cell r="B331">
            <v>-271087.03999999998</v>
          </cell>
        </row>
        <row r="332">
          <cell r="A332" t="str">
            <v>2119003040 Prov Nat Op Desp c/Seguros Gerais CP (Realizado)</v>
          </cell>
          <cell r="B332">
            <v>-60000</v>
          </cell>
        </row>
        <row r="333">
          <cell r="A333" t="str">
            <v>NÃO CIRCULANTE</v>
          </cell>
          <cell r="B333">
            <v>-599453642.13999999</v>
          </cell>
        </row>
        <row r="334">
          <cell r="A334" t="str">
            <v>EMPRÉSTIMOS</v>
          </cell>
          <cell r="B334">
            <v>-496126908.18000001</v>
          </cell>
        </row>
        <row r="335">
          <cell r="A335" t="str">
            <v>Moeda nacional</v>
          </cell>
          <cell r="B335">
            <v>-490659368.13999999</v>
          </cell>
        </row>
        <row r="336">
          <cell r="A336" t="str">
            <v>2310502010 Emprest Finan Bancarios Moeda Nacional LP (R)</v>
          </cell>
          <cell r="B336">
            <v>-490659368.13999999</v>
          </cell>
        </row>
        <row r="337">
          <cell r="A337" t="str">
            <v>Moeda estrangeira</v>
          </cell>
          <cell r="B337">
            <v>-5467540.04</v>
          </cell>
        </row>
        <row r="338">
          <cell r="A338" t="str">
            <v>2310502600 Empr Financiamentos Moeda Estrangeira LP (Realiz)</v>
          </cell>
          <cell r="B338">
            <v>-5467540.04</v>
          </cell>
        </row>
        <row r="339">
          <cell r="A339" t="str">
            <v>IR E CONTRIBUIÇÃO SOCIAL DIFERIDOS</v>
          </cell>
          <cell r="B339">
            <v>-49865778.600000001</v>
          </cell>
        </row>
        <row r="340">
          <cell r="A340" t="str">
            <v>Ativo de imposto diferido</v>
          </cell>
          <cell r="B340">
            <v>89254803.310000002</v>
          </cell>
        </row>
        <row r="341">
          <cell r="A341" t="str">
            <v>1711505000 Cred Fisc CSLL-Bas de Cal Negativa LP (Real)</v>
          </cell>
          <cell r="B341">
            <v>7126276.8600000003</v>
          </cell>
        </row>
        <row r="342">
          <cell r="A342" t="str">
            <v>1711505010 Cred Fisc CSLL-Dif Temp (Real)</v>
          </cell>
          <cell r="B342">
            <v>16819531.25</v>
          </cell>
        </row>
        <row r="343">
          <cell r="A343" t="str">
            <v>1711506000 Cred Fisc IRPJL-Prejuizo Fiscal LP (Real)</v>
          </cell>
          <cell r="B343">
            <v>18914625.550000001</v>
          </cell>
        </row>
        <row r="344">
          <cell r="A344" t="str">
            <v>1711506010 Cred Fisc IRPJ-Dif Temp (Realizado)</v>
          </cell>
          <cell r="B344">
            <v>46394369.649999999</v>
          </cell>
        </row>
        <row r="345">
          <cell r="A345" t="str">
            <v>Passivo de imposto diferido</v>
          </cell>
          <cell r="B345">
            <v>-139120581.91</v>
          </cell>
        </row>
        <row r="346">
          <cell r="A346" t="str">
            <v>2312001030 Prov p/CSLL Diferida s/Depr Fiscal LP (Realiz)</v>
          </cell>
          <cell r="B346">
            <v>-36826036.899999999</v>
          </cell>
        </row>
        <row r="347">
          <cell r="A347" t="str">
            <v>2312002030 Prov p/IR Diferida s/Depr Fiscal LP (Realiz)</v>
          </cell>
          <cell r="B347">
            <v>-102294545.01000001</v>
          </cell>
        </row>
        <row r="348">
          <cell r="A348" t="str">
            <v>OBRIGAÇÕES COM BENEFICIOS AOS EMPREGADOS</v>
          </cell>
          <cell r="B348">
            <v>-20131716.050000001</v>
          </cell>
        </row>
        <row r="349">
          <cell r="A349" t="str">
            <v>Provisão para previdência privada</v>
          </cell>
          <cell r="B349">
            <v>-11542.81</v>
          </cell>
        </row>
        <row r="350">
          <cell r="A350" t="str">
            <v>2318001010 Previdencia Privada-CVM 371 LP (Realizado)</v>
          </cell>
          <cell r="B350">
            <v>-11542.81</v>
          </cell>
        </row>
        <row r="351">
          <cell r="A351" t="str">
            <v>Provisão para assistência médica</v>
          </cell>
          <cell r="B351">
            <v>-2273520.7000000002</v>
          </cell>
        </row>
        <row r="352">
          <cell r="A352" t="str">
            <v>2319002150 Prov Nat Trab Assist Medica Aposent LP (Realizado)</v>
          </cell>
          <cell r="B352">
            <v>-2273520.7000000002</v>
          </cell>
        </row>
        <row r="353">
          <cell r="A353" t="str">
            <v>Provisão para aposentadoria compulsória</v>
          </cell>
          <cell r="B353">
            <v>-15893725.220000001</v>
          </cell>
        </row>
        <row r="354">
          <cell r="A354" t="str">
            <v>2319002100 Prov Nat Trab FGTS Aviso Prev s/Aposen Comp LP (R)</v>
          </cell>
          <cell r="B354">
            <v>-15893725.220000001</v>
          </cell>
        </row>
        <row r="355">
          <cell r="A355" t="str">
            <v>Provisão para gratificação tempo de casa</v>
          </cell>
          <cell r="B355">
            <v>-1952927.32</v>
          </cell>
        </row>
        <row r="356">
          <cell r="A356" t="str">
            <v>2319002200 Prov Nat Trab Gratif Tempo Serv LP-Quinq (Realiz)</v>
          </cell>
          <cell r="B356">
            <v>-1952927.32</v>
          </cell>
        </row>
        <row r="357">
          <cell r="A357" t="str">
            <v>DEMANDAS JUDICIAIS</v>
          </cell>
          <cell r="B357">
            <v>-33329239.309999999</v>
          </cell>
        </row>
        <row r="358">
          <cell r="A358" t="str">
            <v>Fiscais</v>
          </cell>
          <cell r="B358">
            <v>-14548776.449999999</v>
          </cell>
        </row>
        <row r="359">
          <cell r="A359" t="str">
            <v>2319001010 Prov Nat Trib s/Dep Gar LP-Imp,Taxs Cont Fed (R)</v>
          </cell>
          <cell r="B359">
            <v>-662815.87</v>
          </cell>
        </row>
        <row r="360">
          <cell r="A360" t="str">
            <v>2319001020 Prov Nat Trib s/Dep Gar LP-Imp,Taxs Cont Est (R)</v>
          </cell>
          <cell r="B360">
            <v>-702724.33</v>
          </cell>
        </row>
        <row r="361">
          <cell r="A361" t="str">
            <v>2319101010 Prov Nat Trib c/Dep Gar LP-Imp,Taxas Cont Fed (R)</v>
          </cell>
          <cell r="B361">
            <v>-11418224.300000001</v>
          </cell>
        </row>
        <row r="362">
          <cell r="A362" t="str">
            <v>2319101030 Prov Nat Trib c/Dep em Gar LP-Imps Taxs Ctrb M (R)</v>
          </cell>
          <cell r="B362">
            <v>-1765011.95</v>
          </cell>
        </row>
        <row r="363">
          <cell r="A363" t="str">
            <v>Trabalhistas</v>
          </cell>
          <cell r="B363">
            <v>-9483482.0700000003</v>
          </cell>
        </row>
        <row r="364">
          <cell r="A364" t="str">
            <v>2319002010 Prov Nat Trab s/Dep em Gar LP-Recl Trabalh (Real)</v>
          </cell>
          <cell r="B364">
            <v>-8586411.7200000007</v>
          </cell>
        </row>
        <row r="365">
          <cell r="A365" t="str">
            <v>2319102030 Prov Nat Trab c/Dep em Gar LP - Previd (Realizado)</v>
          </cell>
          <cell r="B365">
            <v>-897070.35</v>
          </cell>
        </row>
        <row r="366">
          <cell r="A366" t="str">
            <v>Cíveis</v>
          </cell>
          <cell r="B366">
            <v>-23377287.390000001</v>
          </cell>
        </row>
        <row r="367">
          <cell r="A367" t="str">
            <v>2319000010 Prov Nat Cível s/Dep Gar LP (R)</v>
          </cell>
          <cell r="B367">
            <v>-23377287.390000001</v>
          </cell>
        </row>
        <row r="368">
          <cell r="A368" t="str">
            <v>Depósitos judiciais</v>
          </cell>
          <cell r="B368">
            <v>14080306.6</v>
          </cell>
        </row>
        <row r="369">
          <cell r="A369" t="str">
            <v>1719101010 Dep Jud c/ Reserv-Imp,Taxas e Contrib Fed (Realiz)</v>
          </cell>
          <cell r="B369">
            <v>11418224.300000001</v>
          </cell>
        </row>
        <row r="370">
          <cell r="A370" t="str">
            <v>1719101030 Dep Jud c/Res-Imp, Taxas e Contrib Munic (Realiz)</v>
          </cell>
          <cell r="B370">
            <v>1765011.95</v>
          </cell>
        </row>
        <row r="371">
          <cell r="A371" t="str">
            <v>1719102030 Dep Judiciais c/Res -Previdenciarios (Realizado)</v>
          </cell>
          <cell r="B371">
            <v>897070.35</v>
          </cell>
        </row>
        <row r="372">
          <cell r="A372" t="str">
            <v>PATRIMÔNIO LÍQUIDO</v>
          </cell>
          <cell r="B372">
            <v>-788549062.62</v>
          </cell>
        </row>
        <row r="373">
          <cell r="A373" t="str">
            <v>CAPITAL SOCIAL</v>
          </cell>
          <cell r="B373">
            <v>-384330953.12</v>
          </cell>
        </row>
        <row r="374">
          <cell r="A374" t="str">
            <v>Capital Subscrito</v>
          </cell>
          <cell r="B374">
            <v>-384330953.12</v>
          </cell>
        </row>
        <row r="375">
          <cell r="A375" t="str">
            <v>2710101010 Capital  Subs Domic e Resids no Pais (Realizado)</v>
          </cell>
          <cell r="B375">
            <v>-384330953.12</v>
          </cell>
        </row>
        <row r="376">
          <cell r="A376" t="str">
            <v>AÇÕES EM TESOURARIA</v>
          </cell>
          <cell r="B376">
            <v>14879117.300000001</v>
          </cell>
        </row>
        <row r="377">
          <cell r="A377" t="str">
            <v>Preferenciais</v>
          </cell>
          <cell r="B377">
            <v>14397516.449999999</v>
          </cell>
        </row>
        <row r="378">
          <cell r="A378" t="str">
            <v>2760101010 Acoes Preferenciais em Tesouraria</v>
          </cell>
          <cell r="B378">
            <v>14397516.449999999</v>
          </cell>
        </row>
        <row r="379">
          <cell r="A379" t="str">
            <v>Ordinárias</v>
          </cell>
          <cell r="B379">
            <v>481600.85</v>
          </cell>
        </row>
        <row r="380">
          <cell r="A380" t="str">
            <v>2760101020 Acoes Ordinarias em Tesouraria</v>
          </cell>
          <cell r="B380">
            <v>481600.85</v>
          </cell>
        </row>
        <row r="381">
          <cell r="A381" t="str">
            <v>RESERVA DE CAPITAL</v>
          </cell>
          <cell r="B381">
            <v>-79.84</v>
          </cell>
        </row>
        <row r="382">
          <cell r="A382" t="str">
            <v>Reserva de capital</v>
          </cell>
          <cell r="B382">
            <v>-79.84</v>
          </cell>
        </row>
        <row r="383">
          <cell r="A383" t="str">
            <v>2740101010 Reservas de Capital (Realizado)</v>
          </cell>
          <cell r="B383">
            <v>-79.84</v>
          </cell>
        </row>
        <row r="384">
          <cell r="A384" t="str">
            <v>RESERVAS DE LUCROS</v>
          </cell>
          <cell r="B384">
            <v>-418127013.91000003</v>
          </cell>
        </row>
        <row r="385">
          <cell r="A385" t="str">
            <v>Reserva legal</v>
          </cell>
          <cell r="B385">
            <v>-23131218.949999999</v>
          </cell>
        </row>
        <row r="386">
          <cell r="A386" t="str">
            <v>2740201010 Reserva Legal (Realizado)</v>
          </cell>
          <cell r="B386">
            <v>-23131218.949999999</v>
          </cell>
        </row>
        <row r="387">
          <cell r="A387" t="str">
            <v>Reserva especial para dividendos</v>
          </cell>
          <cell r="B387">
            <v>-23131218.949999999</v>
          </cell>
        </row>
        <row r="388">
          <cell r="A388" t="str">
            <v>2740203010 Reserva Especial p/Dividendos (Realizado)</v>
          </cell>
          <cell r="B388">
            <v>-23131218.949999999</v>
          </cell>
        </row>
        <row r="389">
          <cell r="A389" t="str">
            <v>Reserva de retenção de lucros</v>
          </cell>
          <cell r="B389">
            <v>-108955206.18000001</v>
          </cell>
        </row>
        <row r="390">
          <cell r="A390" t="str">
            <v>2740202100 Reserva Est-Ret de Lucros Exer de 2.014 (Realiz)</v>
          </cell>
          <cell r="B390">
            <v>-43454068.93</v>
          </cell>
        </row>
        <row r="391">
          <cell r="A391" t="str">
            <v>2740205010 Reserva de Lucros para Investimentos</v>
          </cell>
          <cell r="B391">
            <v>-65501137.25</v>
          </cell>
        </row>
        <row r="392">
          <cell r="A392" t="str">
            <v>Reserva de lucros a realizar</v>
          </cell>
          <cell r="B392">
            <v>-262909369.83000001</v>
          </cell>
        </row>
        <row r="393">
          <cell r="A393" t="str">
            <v>2740204010 Reserva de Lucros a Realizar (Realizado)</v>
          </cell>
          <cell r="B393">
            <v>-262909369.83000001</v>
          </cell>
        </row>
        <row r="394">
          <cell r="A394" t="str">
            <v>OUTROS RESULTADOS ABRANGENTES DO PERIODO</v>
          </cell>
          <cell r="B394">
            <v>25760282.719999999</v>
          </cell>
        </row>
        <row r="395">
          <cell r="A395" t="str">
            <v>Ajuste às normas internacionais de contab.</v>
          </cell>
          <cell r="B395">
            <v>25760282.719999999</v>
          </cell>
        </row>
        <row r="396">
          <cell r="A396" t="str">
            <v>2750101010 Ajs as Normas Internac de Contab (Realizado)</v>
          </cell>
          <cell r="B396">
            <v>-2058606</v>
          </cell>
        </row>
        <row r="397">
          <cell r="A397" t="str">
            <v>2750102010 (-)Ajs as Normas Internac de Contab (Realizado)</v>
          </cell>
          <cell r="B397">
            <v>27818888.719999999</v>
          </cell>
        </row>
        <row r="398">
          <cell r="A398" t="str">
            <v>LUCROS ACUMULADOS</v>
          </cell>
          <cell r="B398">
            <v>-26730415.77</v>
          </cell>
        </row>
        <row r="399">
          <cell r="A399" t="str">
            <v>Resultado líquido do periodo</v>
          </cell>
          <cell r="B399">
            <v>-26730415.77</v>
          </cell>
        </row>
        <row r="400">
          <cell r="A400" t="str">
            <v>Resultado antes dos tributos sobre o lucro</v>
          </cell>
          <cell r="B400">
            <v>-45383536.909999996</v>
          </cell>
        </row>
        <row r="401">
          <cell r="A401" t="str">
            <v>Resultado antes do resultado financeiro</v>
          </cell>
          <cell r="B401">
            <v>-62826206.829999998</v>
          </cell>
        </row>
        <row r="402">
          <cell r="A402" t="str">
            <v>Lucro bruto</v>
          </cell>
          <cell r="B402">
            <v>-131643646.45</v>
          </cell>
        </row>
        <row r="403">
          <cell r="A403" t="str">
            <v>Receita líquida de vendas</v>
          </cell>
          <cell r="B403">
            <v>-273438603.08999997</v>
          </cell>
        </row>
        <row r="404">
          <cell r="A404" t="str">
            <v>Receita bruta de vendas</v>
          </cell>
          <cell r="B404">
            <v>-356333839.42000002</v>
          </cell>
        </row>
        <row r="405">
          <cell r="A405" t="str">
            <v>Mercado interno</v>
          </cell>
          <cell r="B405">
            <v>-356333839.42000002</v>
          </cell>
        </row>
        <row r="406">
          <cell r="A406" t="str">
            <v>3110101030 Rec Brt-Vendas de Produtos no MI (Realizado)</v>
          </cell>
          <cell r="B406">
            <v>-349098917.45999998</v>
          </cell>
        </row>
        <row r="407">
          <cell r="A407" t="str">
            <v>3110105030 Rec Brt-Rev de Mercs Nacionais no MI (Realizado)</v>
          </cell>
          <cell r="B407">
            <v>-7513899.2000000002</v>
          </cell>
        </row>
        <row r="408">
          <cell r="A408" t="str">
            <v>3110108030 Rec Brt-Rev de Mercs Diversas no MI (Realizado)</v>
          </cell>
          <cell r="B408">
            <v>-30187.279999999999</v>
          </cell>
        </row>
        <row r="409">
          <cell r="A409" t="str">
            <v>3110301030 (-)Vendas Canc e Dev de Prod no MI (Realizado)</v>
          </cell>
          <cell r="B409">
            <v>309164.52</v>
          </cell>
        </row>
        <row r="410">
          <cell r="A410" t="str">
            <v>Impostos incidentes s/ vendas e abatimentos</v>
          </cell>
          <cell r="B410">
            <v>82895236.329999998</v>
          </cell>
        </row>
        <row r="411">
          <cell r="A411" t="str">
            <v>3110401030 (-)Desc Incond s/Vend de Prod FP no MI (Realizado)</v>
          </cell>
          <cell r="B411">
            <v>262502.55</v>
          </cell>
        </row>
        <row r="412">
          <cell r="A412" t="str">
            <v>3110405030 (-)Desc Incond s/Rev Merc Nacional no MI (Realiz)</v>
          </cell>
          <cell r="B412">
            <v>2300.87</v>
          </cell>
        </row>
        <row r="413">
          <cell r="A413" t="str">
            <v>3110408030 (-)Desc Incond s/Rev Merc Diversas no MI (Realiz)</v>
          </cell>
          <cell r="B413">
            <v>50.4</v>
          </cell>
        </row>
        <row r="414">
          <cell r="A414" t="str">
            <v>3110501030 (-)ICMS s/Vendas de Produtos FP no MI (Realiz)</v>
          </cell>
          <cell r="B414">
            <v>51690644.770000003</v>
          </cell>
        </row>
        <row r="415">
          <cell r="A415" t="str">
            <v>3110505030 (-)ICMS s/Rev de Mercs Nacionais no MI (Realiz)</v>
          </cell>
          <cell r="B415">
            <v>1244936.52</v>
          </cell>
        </row>
        <row r="416">
          <cell r="A416" t="str">
            <v>3110508030 (-)ICMS s/Rev Mercadorias Divs no MI (Realizado)</v>
          </cell>
          <cell r="B416">
            <v>5341.48</v>
          </cell>
        </row>
        <row r="417">
          <cell r="A417" t="str">
            <v>3110590900 (-)ICMS s/Remessas Mercadorias Div no MI (Realiz)</v>
          </cell>
          <cell r="B417">
            <v>1928.54</v>
          </cell>
        </row>
        <row r="418">
          <cell r="A418" t="str">
            <v>3110601030 (-)Cofins s/Venda Produtos FP no MI (R)</v>
          </cell>
          <cell r="B418">
            <v>23841511.07</v>
          </cell>
        </row>
        <row r="419">
          <cell r="A419" t="str">
            <v>3110605030 (-)Cofins s/Revenda Merc Nacionais no MI (Realiz)</v>
          </cell>
          <cell r="B419">
            <v>548111.98</v>
          </cell>
        </row>
        <row r="420">
          <cell r="A420" t="str">
            <v>3110608030 (-)Cofins s/Revenda Mercad Divs no MI (Realiz)</v>
          </cell>
          <cell r="B420">
            <v>2294.21</v>
          </cell>
        </row>
        <row r="421">
          <cell r="A421" t="str">
            <v>3110701030 (-)PIS/Pasep s/Vendas Produtos FP no MI (Realiz)</v>
          </cell>
          <cell r="B421">
            <v>5176117.93</v>
          </cell>
        </row>
        <row r="422">
          <cell r="A422" t="str">
            <v>3110705030 (-)PIS/Pasep s/Rev Merc Nacionais no MI (Realiz)</v>
          </cell>
          <cell r="B422">
            <v>118997.92</v>
          </cell>
        </row>
        <row r="423">
          <cell r="A423" t="str">
            <v>3110708030 (-)PIS/Pasep s/Revenda Merc Divs no MI (Realiz)</v>
          </cell>
          <cell r="B423">
            <v>498.09</v>
          </cell>
        </row>
        <row r="424">
          <cell r="A424" t="str">
            <v>Custo dos bens e serviços vendidos</v>
          </cell>
          <cell r="B424">
            <v>141794956.63999999</v>
          </cell>
        </row>
        <row r="425">
          <cell r="A425" t="str">
            <v>Variações nos estoques de Materiais</v>
          </cell>
          <cell r="B425">
            <v>49421223.130000003</v>
          </cell>
        </row>
        <row r="426">
          <cell r="A426" t="str">
            <v>3130101012 Rev Prov p/ Desv de Exportaçao Direta de Produtos</v>
          </cell>
          <cell r="B426">
            <v>-6522067.2199999997</v>
          </cell>
        </row>
        <row r="427">
          <cell r="A427" t="str">
            <v>3130101015 Prov p/Desv de Exportaçao Direta de Produtos</v>
          </cell>
          <cell r="B427">
            <v>7984592.7000000002</v>
          </cell>
        </row>
        <row r="428">
          <cell r="A428" t="str">
            <v>3130101030 Custo das Vendas de Produtos MI (Realizado)</v>
          </cell>
          <cell r="B428">
            <v>137885215.47999999</v>
          </cell>
        </row>
        <row r="429">
          <cell r="A429" t="str">
            <v>3130101031 Custo Vendas de Produtos MI - AJ</v>
          </cell>
          <cell r="B429">
            <v>-120.09</v>
          </cell>
        </row>
        <row r="430">
          <cell r="A430" t="str">
            <v>3130101039 Custo das Vendas de Produtos MI Serv (Realizado)</v>
          </cell>
          <cell r="B430">
            <v>9461.4500000000007</v>
          </cell>
        </row>
        <row r="431">
          <cell r="A431" t="str">
            <v>3130105030 Custo das Revendas de Mercadorias no MI (Realiz)</v>
          </cell>
          <cell r="B431">
            <v>2432746.09</v>
          </cell>
        </row>
        <row r="432">
          <cell r="A432" t="str">
            <v>3130105031 Custo Revendas de Produtos MI - AJ</v>
          </cell>
          <cell r="B432">
            <v>-13998.06</v>
          </cell>
        </row>
        <row r="433">
          <cell r="A433" t="str">
            <v>3130130030 Custo das Vendas de Serviços no MI (Realizado)</v>
          </cell>
          <cell r="B433">
            <v>19126.29</v>
          </cell>
        </row>
        <row r="434">
          <cell r="A434" t="str">
            <v>5110101010 Estoq Consumido Prod-Materia Prima SAL (Realizado)</v>
          </cell>
          <cell r="B434">
            <v>20967551.559999999</v>
          </cell>
        </row>
        <row r="435">
          <cell r="A435" t="str">
            <v>5110101011 Estoq Consumido Prod-Materia Prima SAL (Aj Real)</v>
          </cell>
          <cell r="B435">
            <v>1356587.24</v>
          </cell>
        </row>
        <row r="436">
          <cell r="A436" t="str">
            <v>5110101020 Estoq Consumido Prod-MP-Etileno (Realizado)</v>
          </cell>
          <cell r="B436">
            <v>10101901.140000001</v>
          </cell>
        </row>
        <row r="437">
          <cell r="A437" t="str">
            <v>5110101021 Estoq Consumido Prod-MP-Etileno (Aj Real)</v>
          </cell>
          <cell r="B437">
            <v>-1639824.5</v>
          </cell>
        </row>
        <row r="438">
          <cell r="A438" t="str">
            <v>5110101300 Estoq Consumido Prod-Mat Aux Gas Natural (Realiz)</v>
          </cell>
          <cell r="B438">
            <v>9714018.1400000006</v>
          </cell>
        </row>
        <row r="439">
          <cell r="A439" t="str">
            <v>5110101301 Estoq Consumido Prod-Mat Aux Gas Natural (Aj Real)</v>
          </cell>
          <cell r="B439">
            <v>-1051958.82</v>
          </cell>
        </row>
        <row r="440">
          <cell r="A440" t="str">
            <v>5110101310 Estoq Consumido Prod-M Aux Vapor Petroc (Realiz)</v>
          </cell>
          <cell r="B440">
            <v>4268848.96</v>
          </cell>
        </row>
        <row r="441">
          <cell r="A441" t="str">
            <v>5110101311 Estoq Consumido Prod-M Aux Vapor Petroc (Aj Real)</v>
          </cell>
          <cell r="B441">
            <v>-210235.92</v>
          </cell>
        </row>
        <row r="442">
          <cell r="A442" t="str">
            <v>5110101490 Estoq Consumido Prod-M Aux Demais (Realizado)</v>
          </cell>
          <cell r="B442">
            <v>2846716.41</v>
          </cell>
        </row>
        <row r="443">
          <cell r="A443" t="str">
            <v>5110101491 Estoq Consumido Prod-M Aux Demais (Aj Real)</v>
          </cell>
          <cell r="B443">
            <v>-15651.46</v>
          </cell>
        </row>
        <row r="444">
          <cell r="A444" t="str">
            <v>5110101500 Estoq Consumido Prod-Embalagens (Realizado)</v>
          </cell>
          <cell r="B444">
            <v>1239299.9099999999</v>
          </cell>
        </row>
        <row r="445">
          <cell r="A445" t="str">
            <v>5110101501 Estoq Consumido Prod-Embalagens (Aj Real)</v>
          </cell>
          <cell r="B445">
            <v>-56324.97</v>
          </cell>
        </row>
        <row r="446">
          <cell r="A446" t="str">
            <v>5110102010 Cons.Insumo-Revestimentos de Anodos (Realizado)</v>
          </cell>
          <cell r="B446">
            <v>364079.27</v>
          </cell>
        </row>
        <row r="447">
          <cell r="A447" t="str">
            <v>5110504070 Aj Preço-Var Preço Dif C Mud Nivel-Semi Acab (KDV)</v>
          </cell>
          <cell r="B447">
            <v>-0.05</v>
          </cell>
        </row>
        <row r="448">
          <cell r="A448" t="str">
            <v>5110504080 Aj Preço-Var Preço Dif C Mud Nivel-Acabados (KDV)</v>
          </cell>
          <cell r="B448">
            <v>-0.03</v>
          </cell>
        </row>
        <row r="449">
          <cell r="A449" t="str">
            <v>5110505010 Aj Preço-Dif Preço Nivel Único-Sal (PRD)</v>
          </cell>
          <cell r="B449">
            <v>992710.85</v>
          </cell>
        </row>
        <row r="450">
          <cell r="A450" t="str">
            <v>5110505020 Aj Preço-Dif Preço Nivel Único-Etileno (PRD)</v>
          </cell>
          <cell r="B450">
            <v>-1639711.22</v>
          </cell>
        </row>
        <row r="451">
          <cell r="A451" t="str">
            <v>5110505030 Aj Preço-Dif Preço Nivel Único-Gás Natural (PRD)</v>
          </cell>
          <cell r="B451">
            <v>-1051958.82</v>
          </cell>
        </row>
        <row r="452">
          <cell r="A452" t="str">
            <v>5110505040 Aj Preço-Dif Preço Nivel Único-Vapor (PRD)</v>
          </cell>
          <cell r="B452">
            <v>-210235.92</v>
          </cell>
        </row>
        <row r="453">
          <cell r="A453" t="str">
            <v>5110505050 Aj Preço-Dif Preço Nivel Único-Mat Auxiliares(PRD)</v>
          </cell>
          <cell r="B453">
            <v>125649.29</v>
          </cell>
        </row>
        <row r="454">
          <cell r="A454" t="str">
            <v>5110505060 Aj Preço-Dif Preço Nivel Único-Embalagens (PRD)</v>
          </cell>
          <cell r="B454">
            <v>-51743.17</v>
          </cell>
        </row>
        <row r="455">
          <cell r="A455" t="str">
            <v>5110505070 Aj Preço-Dif Preço Nivel Único-Semi Acabados (PRD)</v>
          </cell>
          <cell r="B455">
            <v>11358210.609999999</v>
          </cell>
        </row>
        <row r="456">
          <cell r="A456" t="str">
            <v>5110505080 Aj Preço-Dif Preço Nivel Único-Acabados (PRD)</v>
          </cell>
          <cell r="B456">
            <v>452636.36</v>
          </cell>
        </row>
        <row r="457">
          <cell r="A457" t="str">
            <v>5110505090 Aj Preço-Dif Preço Nivel Único-Revenda (PRD)</v>
          </cell>
          <cell r="B457">
            <v>99156.96</v>
          </cell>
        </row>
        <row r="458">
          <cell r="A458" t="str">
            <v>5110506070 Aj Preço-Dif Preço Multinivel-Semi Acabado (PRV)</v>
          </cell>
          <cell r="B458">
            <v>0.79</v>
          </cell>
        </row>
        <row r="459">
          <cell r="A459" t="str">
            <v>5110506080 Aj Preço-Dif Preço Multinivel-Acabado (PRV)</v>
          </cell>
          <cell r="B459">
            <v>-0.01</v>
          </cell>
        </row>
        <row r="460">
          <cell r="A460" t="str">
            <v>5110507010 Aj Preço-Dif Preço Fechamento ML-Sal (PRY)</v>
          </cell>
          <cell r="B460">
            <v>-992710.85</v>
          </cell>
        </row>
        <row r="461">
          <cell r="A461" t="str">
            <v>5110507020 Aj Preço-Dif Preço Fechamento ML-Etileno (PRY)</v>
          </cell>
          <cell r="B461">
            <v>1639711.22</v>
          </cell>
        </row>
        <row r="462">
          <cell r="A462" t="str">
            <v>5110507030 Aj Preço-Dif Preço Fechamento ML-Gas Natural (PRY)</v>
          </cell>
          <cell r="B462">
            <v>1051958.82</v>
          </cell>
        </row>
        <row r="463">
          <cell r="A463" t="str">
            <v>5110507040 Aj Preço-Dif Preço Fechamento ML-Vapor (PRY)</v>
          </cell>
          <cell r="B463">
            <v>210235.92</v>
          </cell>
        </row>
        <row r="464">
          <cell r="A464" t="str">
            <v>5110507050 Aj Preço-Dif Preço Fechamento ML-Mat Auxiliar(PRY)</v>
          </cell>
          <cell r="B464">
            <v>-125649.28</v>
          </cell>
        </row>
        <row r="465">
          <cell r="A465" t="str">
            <v>5110507060 Aj Preço-Dif Preço Fechamento ML-Embalagens (PRY)</v>
          </cell>
          <cell r="B465">
            <v>51743.17</v>
          </cell>
        </row>
        <row r="466">
          <cell r="A466" t="str">
            <v>5110507070 Aj Preço-Dif Preço Fechamento ML-Semi Acabad (PRY)</v>
          </cell>
          <cell r="B466">
            <v>-11358210.68</v>
          </cell>
        </row>
        <row r="467">
          <cell r="A467" t="str">
            <v>5110507080 Aj Preço-Dif Preço Fechamento ML-Acabados (PRY)</v>
          </cell>
          <cell r="B467">
            <v>-452636.36</v>
          </cell>
        </row>
        <row r="468">
          <cell r="A468" t="str">
            <v>5110507090 Aj Preço-Dif Preço Fechamento ML-Revenda (PRY)</v>
          </cell>
          <cell r="B468">
            <v>-99156.96</v>
          </cell>
        </row>
        <row r="469">
          <cell r="A469" t="str">
            <v>5110508080 Aj Preço-Var Preço Revaloriz Estoq-Acabados (UMB)</v>
          </cell>
          <cell r="B469">
            <v>-28.38</v>
          </cell>
        </row>
        <row r="470">
          <cell r="A470" t="str">
            <v>5110599010 Ajustes do Grupo Material Ledger - Realizado</v>
          </cell>
          <cell r="B470">
            <v>27.74</v>
          </cell>
        </row>
        <row r="471">
          <cell r="A471" t="str">
            <v>5110608010 Proj Inv.Est.Pesq-Mat Cons-Imobilizado (Realizado)</v>
          </cell>
          <cell r="B471">
            <v>1434731.35</v>
          </cell>
        </row>
        <row r="472">
          <cell r="A472" t="str">
            <v>5110620010 Proj Inv.Est.Pesq-S.Prest Terc-Imobiliz PJ(Realiz)</v>
          </cell>
          <cell r="B472">
            <v>2577944.41</v>
          </cell>
        </row>
        <row r="473">
          <cell r="A473" t="str">
            <v>5110620020 Proj Inv.Est.Pesq-S.Prest Terc-Estudo PJ (Realiz)</v>
          </cell>
          <cell r="B473">
            <v>13840</v>
          </cell>
        </row>
        <row r="474">
          <cell r="A474" t="str">
            <v>5110635010 Proj Inv.Est.Pesq-Encarg Financ-Imobiliz (Realiz)</v>
          </cell>
          <cell r="B474">
            <v>159104.57999999999</v>
          </cell>
        </row>
        <row r="475">
          <cell r="A475" t="str">
            <v>5110690050 (-)Proj Inv.Est.Pesq-Imp Aq-ICMS s/Aquis Imob (R)</v>
          </cell>
          <cell r="B475">
            <v>247960.37</v>
          </cell>
        </row>
        <row r="476">
          <cell r="A476" t="str">
            <v>5110690060 (-)Proj Inv.Est.Pesq-Imp Aq-COFINS Aquis Imob (R)</v>
          </cell>
          <cell r="B476">
            <v>334051.65999999997</v>
          </cell>
        </row>
        <row r="477">
          <cell r="A477" t="str">
            <v>5110690070 (-)Proj Inv.Est.Pesq-Imp Aquis-PIS Aquis Imob (R)</v>
          </cell>
          <cell r="B477">
            <v>72524.44</v>
          </cell>
        </row>
        <row r="478">
          <cell r="A478" t="str">
            <v>5110699010 Proj Inv.Est.Pesq-Transf p/Imob em Andamento (R)</v>
          </cell>
          <cell r="B478">
            <v>-4826316.8099999996</v>
          </cell>
        </row>
        <row r="479">
          <cell r="A479" t="str">
            <v>5110699020 Proj Inv.Est.Pesq-Transf p/Estudos/Pesq (Realiz)</v>
          </cell>
          <cell r="B479">
            <v>-13840</v>
          </cell>
        </row>
        <row r="480">
          <cell r="A480" t="str">
            <v>5120101010 Cst P.Fab Próp Transf p/S.Acabado(F.Fab)-(Aj.Real)</v>
          </cell>
          <cell r="B480">
            <v>-432893717.61000001</v>
          </cell>
        </row>
        <row r="481">
          <cell r="A481" t="str">
            <v>5120101011 Cst P.Fab Próp Transf p/S.Acab(AjOrdProd)-(Planej)</v>
          </cell>
          <cell r="B481">
            <v>-11358210.619999999</v>
          </cell>
        </row>
        <row r="482">
          <cell r="A482" t="str">
            <v>5120101012 Cst P.Fab Próp Transf p/S.Acab(Zerar Centro Cst)</v>
          </cell>
          <cell r="B482">
            <v>6700824.0300000003</v>
          </cell>
        </row>
        <row r="483">
          <cell r="A483" t="str">
            <v>5120101013 Cst P.Fab Próp Consumo S.Acab (Realizado)</v>
          </cell>
          <cell r="B483">
            <v>433683929.36000001</v>
          </cell>
        </row>
        <row r="484">
          <cell r="A484" t="str">
            <v>5120101020 Cst P.Fab Próp Transf p/P.Acabado(F.Fab)-(Aj.Real)</v>
          </cell>
          <cell r="B484">
            <v>-135135050.44999999</v>
          </cell>
        </row>
        <row r="485">
          <cell r="A485" t="str">
            <v>5120101021 Cst P.Fab Próp Transf p/P.Acabado(F.Fab)-(Planej)</v>
          </cell>
          <cell r="B485">
            <v>-452636.36</v>
          </cell>
        </row>
        <row r="486">
          <cell r="A486" t="str">
            <v>5120101022 Cst P.Fab Próp Transf p/P.Acabado(Zerar CentroCst)</v>
          </cell>
          <cell r="B486">
            <v>-2421266.3199999998</v>
          </cell>
        </row>
        <row r="487">
          <cell r="A487" t="str">
            <v>5120101030 Cst P.Fab Próp Transf p/P.Acabado(Aj Cons Real)</v>
          </cell>
          <cell r="B487">
            <v>1617387.5</v>
          </cell>
        </row>
        <row r="488">
          <cell r="A488" t="str">
            <v>Energia Elétrica</v>
          </cell>
          <cell r="B488">
            <v>41563832.240000002</v>
          </cell>
        </row>
        <row r="489">
          <cell r="A489" t="str">
            <v>5110105010 Cons Insumo E Eletrica Cons Energia Eletrica (R)</v>
          </cell>
          <cell r="B489">
            <v>41563832.240000002</v>
          </cell>
        </row>
        <row r="490">
          <cell r="A490" t="str">
            <v>Despesas com salários e benefícios a empregad</v>
          </cell>
          <cell r="B490">
            <v>22912461.260000002</v>
          </cell>
        </row>
        <row r="491">
          <cell r="A491" t="str">
            <v>5111001030 FLPG-Ordena.Sal.Outras Remune Empreg(R)</v>
          </cell>
          <cell r="B491">
            <v>11040141.380000001</v>
          </cell>
        </row>
        <row r="492">
          <cell r="A492" t="str">
            <v>5111001040 FLPG-13º Salario (Realizado)</v>
          </cell>
          <cell r="B492">
            <v>91060</v>
          </cell>
        </row>
        <row r="493">
          <cell r="A493" t="str">
            <v>5111001041 FLPG-Provisao de 13º Salario</v>
          </cell>
          <cell r="B493">
            <v>856659.59</v>
          </cell>
        </row>
        <row r="494">
          <cell r="A494" t="str">
            <v>5111001042 FLPG-Reversao da Provisao de 13º Salario</v>
          </cell>
          <cell r="B494">
            <v>-45254.64</v>
          </cell>
        </row>
        <row r="495">
          <cell r="A495" t="str">
            <v>5111001050 FLPG-Ferias (Realizado)</v>
          </cell>
          <cell r="B495">
            <v>2079003.18</v>
          </cell>
        </row>
        <row r="496">
          <cell r="A496" t="str">
            <v>5111001051 FLPG-Provisao de Ferias</v>
          </cell>
          <cell r="B496">
            <v>920095.58</v>
          </cell>
        </row>
        <row r="497">
          <cell r="A497" t="str">
            <v>5111001052 FLPG-Reversao da Provisao de Ferias</v>
          </cell>
          <cell r="B497">
            <v>-1188524.76</v>
          </cell>
        </row>
        <row r="498">
          <cell r="A498" t="str">
            <v>5111001080 FLPG-Gratificaçoes de Ferias(Realizado)</v>
          </cell>
          <cell r="B498">
            <v>811161.89</v>
          </cell>
        </row>
        <row r="499">
          <cell r="A499" t="str">
            <v>5111001081 FLPG-Provisao de Gratificaçoes de Ferias</v>
          </cell>
          <cell r="B499">
            <v>632209.04</v>
          </cell>
        </row>
        <row r="500">
          <cell r="A500" t="str">
            <v>5111001082 FLPG-Rever Provi Gratificaçoes de Ferias</v>
          </cell>
          <cell r="B500">
            <v>-811161.89</v>
          </cell>
        </row>
        <row r="501">
          <cell r="A501" t="str">
            <v>5111001090 FLPG-Gratificaçoes (Realizado)</v>
          </cell>
          <cell r="B501">
            <v>363226.03</v>
          </cell>
        </row>
        <row r="502">
          <cell r="A502" t="str">
            <v>5111001091 FLPG-Provisao de Gratificaçoes</v>
          </cell>
          <cell r="B502">
            <v>1530381.84</v>
          </cell>
        </row>
        <row r="503">
          <cell r="A503" t="str">
            <v>5111001092 FLPG-Rever da Provisao de Gratificaçoes</v>
          </cell>
          <cell r="B503">
            <v>-185898.34</v>
          </cell>
        </row>
        <row r="504">
          <cell r="A504" t="str">
            <v>5111001100 FLPG-Gratificaçoes Quinquenios (Realizado)</v>
          </cell>
          <cell r="B504">
            <v>1433333.9</v>
          </cell>
        </row>
        <row r="505">
          <cell r="A505" t="str">
            <v>5111001101 FLPG-Prov Gratificaçoes Quinquenios</v>
          </cell>
          <cell r="B505">
            <v>467476.14</v>
          </cell>
        </row>
        <row r="506">
          <cell r="A506" t="str">
            <v>5111001102 FLPG-Rever Prov Gratificaçoes Quinquenios</v>
          </cell>
          <cell r="B506">
            <v>-1433333.9</v>
          </cell>
        </row>
        <row r="507">
          <cell r="A507" t="str">
            <v>5111001120 FLPG-Aviso Previo (Realizado)</v>
          </cell>
          <cell r="B507">
            <v>656651.5</v>
          </cell>
        </row>
        <row r="508">
          <cell r="A508" t="str">
            <v>5111001122 FLPG-Reversao da Provisao de Aviso Previo</v>
          </cell>
          <cell r="B508">
            <v>-656651.5</v>
          </cell>
        </row>
        <row r="509">
          <cell r="A509" t="str">
            <v>5111001240 FLPG-Auxilio Doença (Realizado)</v>
          </cell>
          <cell r="B509">
            <v>38747.089999999997</v>
          </cell>
        </row>
        <row r="510">
          <cell r="A510" t="str">
            <v>5111001250 FLPG-Auxilio Ensino (Realizado)</v>
          </cell>
          <cell r="B510">
            <v>145754.34</v>
          </cell>
        </row>
        <row r="511">
          <cell r="A511" t="str">
            <v>5111001300 FLPG-Bolsa Estudos de Estagiarios (Realizado)</v>
          </cell>
          <cell r="B511">
            <v>87038.37</v>
          </cell>
        </row>
        <row r="512">
          <cell r="A512" t="str">
            <v>5111001990 Rateio da Mão de Obra da Manutenção</v>
          </cell>
          <cell r="B512">
            <v>-4989.1099999999997</v>
          </cell>
        </row>
        <row r="513">
          <cell r="A513" t="str">
            <v>5111002010 FGTS-Folha de Pagamento (Realizado)</v>
          </cell>
          <cell r="B513">
            <v>925163.82</v>
          </cell>
        </row>
        <row r="514">
          <cell r="A514" t="str">
            <v>5111002020 FGTS-Ferias (Realizado)</v>
          </cell>
          <cell r="B514">
            <v>70143.210000000006</v>
          </cell>
        </row>
        <row r="515">
          <cell r="A515" t="str">
            <v>5111002021 FGTS-Provisao de FGTS s/Ferias</v>
          </cell>
          <cell r="B515">
            <v>74233.31</v>
          </cell>
        </row>
        <row r="516">
          <cell r="A516" t="str">
            <v>5111002022 FGTS-Reversao da Provisao de FGTS s/Ferias</v>
          </cell>
          <cell r="B516">
            <v>-95273.51</v>
          </cell>
        </row>
        <row r="517">
          <cell r="A517" t="str">
            <v>5111002030 FGTS-13º Salario (Realizado)</v>
          </cell>
          <cell r="B517">
            <v>24725.88</v>
          </cell>
        </row>
        <row r="518">
          <cell r="A518" t="str">
            <v>5111002031 FGTS-Provisao de FGTS S/13º Salario</v>
          </cell>
          <cell r="B518">
            <v>92877.25</v>
          </cell>
        </row>
        <row r="519">
          <cell r="A519" t="str">
            <v>5111002032 FGTS-Reversao da Provisao FGTS S/13º Salario</v>
          </cell>
          <cell r="B519">
            <v>-28156.74</v>
          </cell>
        </row>
        <row r="520">
          <cell r="A520" t="str">
            <v>5111002040 FGTS-Desligamento de Funcionarios (Realizado)</v>
          </cell>
          <cell r="B520">
            <v>2045605.84</v>
          </cell>
        </row>
        <row r="521">
          <cell r="A521" t="str">
            <v>5111002041 FGTS-Provisao FGTS s/Desligamento Funcionario</v>
          </cell>
          <cell r="B521">
            <v>671860</v>
          </cell>
        </row>
        <row r="522">
          <cell r="A522" t="str">
            <v>5111002042 FGTS-Rever Prov FGTS s/Desligamento Funcionario</v>
          </cell>
          <cell r="B522">
            <v>-2045605.84</v>
          </cell>
        </row>
        <row r="523">
          <cell r="A523" t="str">
            <v>5111003010 INSS-Folha de Pagamento (Realizado)</v>
          </cell>
          <cell r="B523">
            <v>3761613.24</v>
          </cell>
        </row>
        <row r="524">
          <cell r="A524" t="str">
            <v>5111003021 INSS-Provisao de INSS s/Ferias</v>
          </cell>
          <cell r="B524">
            <v>76528.429999999993</v>
          </cell>
        </row>
        <row r="525">
          <cell r="A525" t="str">
            <v>5111003022 INSS-Reversao da Provisao de INSS s/Ferias</v>
          </cell>
          <cell r="B525">
            <v>-151889.99</v>
          </cell>
        </row>
        <row r="526">
          <cell r="A526" t="str">
            <v>5111003031 INSS-Provisao de INSS s/13º Salario</v>
          </cell>
          <cell r="B526">
            <v>240022.32</v>
          </cell>
        </row>
        <row r="527">
          <cell r="A527" t="str">
            <v>5111003032 INSS-Reversao Provisao de INSS s/13º Salario</v>
          </cell>
          <cell r="B527">
            <v>-12220.28</v>
          </cell>
        </row>
        <row r="528">
          <cell r="A528" t="str">
            <v>5111503040 Desp Medicas Hospitalares (Realizado)</v>
          </cell>
          <cell r="B528">
            <v>107376.47</v>
          </cell>
        </row>
        <row r="529">
          <cell r="A529" t="str">
            <v>5111504020 Desenv Prof-Material de Consumo em Cursos (Realiz)</v>
          </cell>
          <cell r="B529">
            <v>38.9</v>
          </cell>
        </row>
        <row r="530">
          <cell r="A530" t="str">
            <v>5111504060 Desenv Prof-Refeiçoes em Cursos (Realizado)</v>
          </cell>
          <cell r="B530">
            <v>38.42</v>
          </cell>
        </row>
        <row r="531">
          <cell r="A531" t="str">
            <v>5111504070 Desenv Prof-Aprendiz de Menores em Cursos (Realiz)</v>
          </cell>
          <cell r="B531">
            <v>49801.61</v>
          </cell>
        </row>
        <row r="532">
          <cell r="A532" t="str">
            <v>5111505010 Desp Soc-Contrib Associaçao Desportiva (Realizado)</v>
          </cell>
          <cell r="B532">
            <v>140320</v>
          </cell>
        </row>
        <row r="533">
          <cell r="A533" t="str">
            <v>5111505020 Desp Soc-Comemoraçoes e Eventos (Realizado)</v>
          </cell>
          <cell r="B533">
            <v>9981.65</v>
          </cell>
        </row>
        <row r="534">
          <cell r="A534" t="str">
            <v>5111506030 Despesa Taxi e Conduçoes (Realizado)</v>
          </cell>
          <cell r="B534">
            <v>100428.43</v>
          </cell>
        </row>
        <row r="535">
          <cell r="A535" t="str">
            <v>5111506040 Despesa Aluguel de Veiculos (Realizado)</v>
          </cell>
          <cell r="B535">
            <v>252</v>
          </cell>
        </row>
        <row r="536">
          <cell r="A536" t="str">
            <v>5111507010 Despesa Refeiçoes Prontas (Realizado)</v>
          </cell>
          <cell r="B536">
            <v>1182.1400000000001</v>
          </cell>
        </row>
        <row r="537">
          <cell r="A537" t="str">
            <v>5111507030 Despesa Refeiçoes-Visita e Outras (Realizado)</v>
          </cell>
          <cell r="B537">
            <v>19918.5</v>
          </cell>
        </row>
        <row r="538">
          <cell r="A538" t="str">
            <v>5111507040 Despesa Refeiçoes-Lanches Externos (Realizado)</v>
          </cell>
          <cell r="B538">
            <v>6370.47</v>
          </cell>
        </row>
        <row r="539">
          <cell r="A539" t="str">
            <v>Encargos de depreciação e amortização</v>
          </cell>
          <cell r="B539">
            <v>13126432.67</v>
          </cell>
        </row>
        <row r="540">
          <cell r="A540" t="str">
            <v>5119001010 Encarg de Deprec e Amort-Depreciaçao (Realizado)</v>
          </cell>
          <cell r="B540">
            <v>8663933.9900000002</v>
          </cell>
        </row>
        <row r="541">
          <cell r="A541" t="str">
            <v>5119001011 Encarg de Depreciaçao Mais Valia (Realizado)</v>
          </cell>
          <cell r="B541">
            <v>2146997.8199999998</v>
          </cell>
        </row>
        <row r="542">
          <cell r="A542" t="str">
            <v>5119001012 Encarg de Depreciaçao Mais Valia CN (Realizado)</v>
          </cell>
          <cell r="B542">
            <v>2146997.8199999998</v>
          </cell>
        </row>
        <row r="543">
          <cell r="A543" t="str">
            <v>5119001014 Encarg de Depreciaçao AVP (Realizado)</v>
          </cell>
          <cell r="B543">
            <v>155444.6</v>
          </cell>
        </row>
        <row r="544">
          <cell r="A544" t="str">
            <v>5119001050 Encarg de Deprec e Amort-Amortizaçao (Realizado)</v>
          </cell>
          <cell r="B544">
            <v>12990.02</v>
          </cell>
        </row>
        <row r="545">
          <cell r="A545" t="str">
            <v>5119001054 Amortizaçao AVP (Realizado)</v>
          </cell>
          <cell r="B545">
            <v>68.42</v>
          </cell>
        </row>
        <row r="546">
          <cell r="A546" t="str">
            <v>Serviços de terceiros</v>
          </cell>
          <cell r="B546">
            <v>9015201.1600000001</v>
          </cell>
        </row>
        <row r="547">
          <cell r="A547" t="str">
            <v>5112002010 Serviços Prestados Auditoria  p/PJ (Realizado)</v>
          </cell>
          <cell r="B547">
            <v>40142.379999999997</v>
          </cell>
        </row>
        <row r="548">
          <cell r="A548" t="str">
            <v>5112003010 Serviços Prestados Consultoria p/PJ (Realizado)</v>
          </cell>
          <cell r="B548">
            <v>259459.38</v>
          </cell>
        </row>
        <row r="549">
          <cell r="A549" t="str">
            <v>5112003040 Serv Prest Consultoria p/PF s/Vinc Empr (Realiz)</v>
          </cell>
          <cell r="B549">
            <v>19068.68</v>
          </cell>
        </row>
        <row r="550">
          <cell r="A550" t="str">
            <v>5112010010 Serviços Prestados Temporario p/PJ (Realizado)</v>
          </cell>
          <cell r="B550">
            <v>10449.41</v>
          </cell>
        </row>
        <row r="551">
          <cell r="A551" t="str">
            <v>5112011010 Serviços Prestados Limpeza p/ PJ (Realizado)</v>
          </cell>
          <cell r="B551">
            <v>325661.46999999997</v>
          </cell>
        </row>
        <row r="552">
          <cell r="A552" t="str">
            <v>5112012010 Serviços Prestados Vigilancia PJ (Realiz)</v>
          </cell>
          <cell r="B552">
            <v>546672.66</v>
          </cell>
        </row>
        <row r="553">
          <cell r="A553" t="str">
            <v>5112013010 Serviços Prestados Jardinagem p/PJ (Realizado)</v>
          </cell>
          <cell r="B553">
            <v>141658.04999999999</v>
          </cell>
        </row>
        <row r="554">
          <cell r="A554" t="str">
            <v>5112014010 Serv Prest Estacionamento de Caminhoes PJ (Realiz)</v>
          </cell>
          <cell r="B554">
            <v>326700</v>
          </cell>
        </row>
        <row r="555">
          <cell r="A555" t="str">
            <v>5112015010 Serv Prest Fretes Carretos s/Compras p/PJ (Realiz)</v>
          </cell>
          <cell r="B555">
            <v>2958247.21</v>
          </cell>
        </row>
        <row r="556">
          <cell r="A556" t="str">
            <v>5112017010 Serviços Prestados Engenharia p/PJ (Realiz)</v>
          </cell>
          <cell r="B556">
            <v>5808</v>
          </cell>
        </row>
        <row r="557">
          <cell r="A557" t="str">
            <v>5112018010 Serv Prest Reparos Assist Tecnica p/PJ (Realiz)</v>
          </cell>
          <cell r="B557">
            <v>541587.9</v>
          </cell>
        </row>
        <row r="558">
          <cell r="A558" t="str">
            <v>5112019010 Serv Prest Tratamento de Residuos p/PJ (Realiz)</v>
          </cell>
          <cell r="B558">
            <v>94302.04</v>
          </cell>
        </row>
        <row r="559">
          <cell r="A559" t="str">
            <v>5112099010 Prest Serv Tecnicos Profissionais p/PJ (Realiz)</v>
          </cell>
          <cell r="B559">
            <v>237980.1</v>
          </cell>
        </row>
        <row r="560">
          <cell r="A560" t="str">
            <v>5112099040 Serv Prest Tec Profissionais p/PF s/Vin Empr (R)</v>
          </cell>
          <cell r="B560">
            <v>4620</v>
          </cell>
        </row>
        <row r="561">
          <cell r="A561" t="str">
            <v>5112150010 Serv Prest Manutençao Civil p/PJ (Realizado)</v>
          </cell>
          <cell r="B561">
            <v>1002593.2</v>
          </cell>
        </row>
        <row r="562">
          <cell r="A562" t="str">
            <v>5112151010 Serv Prest Manutençao Eletricos p/PJ (Realiz)</v>
          </cell>
          <cell r="B562">
            <v>251476.21</v>
          </cell>
        </row>
        <row r="563">
          <cell r="A563" t="str">
            <v>5112152010 Serv Prest Manutençao Mecânicos p/PJ (Realizado)</v>
          </cell>
          <cell r="B563">
            <v>197739.14</v>
          </cell>
        </row>
        <row r="564">
          <cell r="A564" t="str">
            <v>5112153010 Serv Prest Manutençao Inspeçao PJ (Realizado)</v>
          </cell>
          <cell r="B564">
            <v>299169.8</v>
          </cell>
        </row>
        <row r="565">
          <cell r="A565" t="str">
            <v>5112154010 Serv Prest Manutençao Cald/Tubul PJ (Realzado)</v>
          </cell>
          <cell r="B565">
            <v>519962.13</v>
          </cell>
        </row>
        <row r="566">
          <cell r="A566" t="str">
            <v>5112155010 Serv Prest Manut Instrumentaçao PJ (Realizado)</v>
          </cell>
          <cell r="B566">
            <v>251578.95</v>
          </cell>
        </row>
        <row r="567">
          <cell r="A567" t="str">
            <v>5112170010 Serv Prest Manutenaçao Cel HG-PJ (Realizado)</v>
          </cell>
          <cell r="B567">
            <v>272846.09999999998</v>
          </cell>
        </row>
        <row r="568">
          <cell r="A568" t="str">
            <v>5112175010 Serv Prest Manutençao Cel Diafrag p/PJ (Realiz)</v>
          </cell>
          <cell r="B568">
            <v>85360.61</v>
          </cell>
        </row>
        <row r="569">
          <cell r="A569" t="str">
            <v>5112180010 Serv Prest Manutençao Cel Memb PJ (Realizado)</v>
          </cell>
          <cell r="B569">
            <v>366.66</v>
          </cell>
        </row>
        <row r="570">
          <cell r="A570" t="str">
            <v>5112199010 Serv Prest Manutençao Apoio-PJ (Realizado)</v>
          </cell>
          <cell r="B570">
            <v>127790.45</v>
          </cell>
        </row>
        <row r="571">
          <cell r="A571" t="str">
            <v>5112199410 Serv Prest Manutençao Pintura-PJ (Realizado)</v>
          </cell>
          <cell r="B571">
            <v>291325.53999999998</v>
          </cell>
        </row>
        <row r="572">
          <cell r="A572" t="str">
            <v>5112199510 Serv Prest Manutençao Revestimentos-PJ (Realizado)</v>
          </cell>
          <cell r="B572">
            <v>81826.97</v>
          </cell>
        </row>
        <row r="573">
          <cell r="A573" t="str">
            <v>5112199610 Serv Prest Manutençao Isolamentos-PJ (Realizado)</v>
          </cell>
          <cell r="B573">
            <v>120808.12</v>
          </cell>
        </row>
        <row r="574">
          <cell r="A574" t="str">
            <v>Outras</v>
          </cell>
          <cell r="B574">
            <v>5755806.1799999997</v>
          </cell>
        </row>
        <row r="575">
          <cell r="A575" t="str">
            <v>5110801020 Mat Cons-Oper-Mat Processo Produtivo (Realiz)</v>
          </cell>
          <cell r="B575">
            <v>35278.26</v>
          </cell>
        </row>
        <row r="576">
          <cell r="A576" t="str">
            <v>5110801030 Mat Cons-Oper-Mat Tratamento Residuos (Realiz)</v>
          </cell>
          <cell r="B576">
            <v>14091.03</v>
          </cell>
        </row>
        <row r="577">
          <cell r="A577" t="str">
            <v>5110801040 Mat Cons-Oper-Mat Análises Quimicas (Realizado)</v>
          </cell>
          <cell r="B577">
            <v>108452.03</v>
          </cell>
        </row>
        <row r="578">
          <cell r="A578" t="str">
            <v>5110801060 Mat Cons-Oper-Ferramentas (Realizado)</v>
          </cell>
          <cell r="B578">
            <v>119921.03</v>
          </cell>
        </row>
        <row r="579">
          <cell r="A579" t="str">
            <v>5110801070 Mat Cons-Oper-Mat Reparo e Manutençao (Realizado)</v>
          </cell>
          <cell r="B579">
            <v>2250.62</v>
          </cell>
        </row>
        <row r="580">
          <cell r="A580" t="str">
            <v>5110801080 Mat Cons-Oper-Mat Conserv Ecológica (Realizado)</v>
          </cell>
          <cell r="B580">
            <v>3353.08</v>
          </cell>
        </row>
        <row r="581">
          <cell r="A581" t="str">
            <v>5110801090 Mat Cons-Oper-Mat Limpeza (Realizado)</v>
          </cell>
          <cell r="B581">
            <v>4611.92</v>
          </cell>
        </row>
        <row r="582">
          <cell r="A582" t="str">
            <v>5110801100 Mat Cons-Oper-Mat Segurança (Realizado)</v>
          </cell>
          <cell r="B582">
            <v>352533.08</v>
          </cell>
        </row>
        <row r="583">
          <cell r="A583" t="str">
            <v>5110801110 Mat Cons-Oper-Consumo de Água (Realizado)</v>
          </cell>
          <cell r="B583">
            <v>236739.67</v>
          </cell>
        </row>
        <row r="584">
          <cell r="A584" t="str">
            <v>5110801130 Mat Cons-Oper-Mat Escritório (Realizado)</v>
          </cell>
          <cell r="B584">
            <v>14522.1</v>
          </cell>
        </row>
        <row r="585">
          <cell r="A585" t="str">
            <v>5110801140 Mat Cons-Oper-Mat Imobilizado (Realizado)</v>
          </cell>
          <cell r="B585">
            <v>2255.91</v>
          </cell>
        </row>
        <row r="586">
          <cell r="A586" t="str">
            <v>5110802020 Mat Cons-Manutençao-Eletrica (Realizado)</v>
          </cell>
          <cell r="B586">
            <v>188869</v>
          </cell>
        </row>
        <row r="587">
          <cell r="A587" t="str">
            <v>5110802030 Mat Cons-Manutençao-Mecânica (Realizado)</v>
          </cell>
          <cell r="B587">
            <v>1093316.08</v>
          </cell>
        </row>
        <row r="588">
          <cell r="A588" t="str">
            <v>5110802040 Mat Cons-Manutençao-Manut Inspeçao (Realizado)</v>
          </cell>
          <cell r="B588">
            <v>0.01</v>
          </cell>
        </row>
        <row r="589">
          <cell r="A589" t="str">
            <v>5110802050 Mat Cons-Manutençao-Calderaria/Tubul (Realizado)</v>
          </cell>
          <cell r="B589">
            <v>1355505.13</v>
          </cell>
        </row>
        <row r="590">
          <cell r="A590" t="str">
            <v>5110802060 Mat Cons-Manutençao-Instrumentaçao (Realizado)</v>
          </cell>
          <cell r="B590">
            <v>774851.77</v>
          </cell>
        </row>
        <row r="591">
          <cell r="A591" t="str">
            <v>5110802070 Mat Cons-Manutençao-Celula HG (Realizado)</v>
          </cell>
          <cell r="B591">
            <v>294615.05</v>
          </cell>
        </row>
        <row r="592">
          <cell r="A592" t="str">
            <v>5110802080 Mat Cons-Manutençao-Celula Diafragma (Realizado)</v>
          </cell>
          <cell r="B592">
            <v>169082.28</v>
          </cell>
        </row>
        <row r="593">
          <cell r="A593" t="str">
            <v>5110802090 Mat Cons-Manutençao-Celula Membrana (Realizado)</v>
          </cell>
          <cell r="B593">
            <v>125200.99</v>
          </cell>
        </row>
        <row r="594">
          <cell r="A594" t="str">
            <v>5110802990 Mat Cons-Manutençao-Geral (Realizado)</v>
          </cell>
          <cell r="B594">
            <v>368017.39</v>
          </cell>
        </row>
        <row r="595">
          <cell r="A595" t="str">
            <v>5110803220 Mat Cons-Proc Produtivo-Perda Estoq Almox (Realiz)</v>
          </cell>
          <cell r="B595">
            <v>36.659999999999997</v>
          </cell>
        </row>
        <row r="596">
          <cell r="A596" t="str">
            <v>5111902010 Despesa Viagens Nacionais (Realizado)</v>
          </cell>
          <cell r="B596">
            <v>8211.42</v>
          </cell>
        </row>
        <row r="597">
          <cell r="A597" t="str">
            <v>5111902020 Despesas Viagens Internacionais (Realizado)</v>
          </cell>
          <cell r="B597">
            <v>7367.1</v>
          </cell>
        </row>
        <row r="598">
          <cell r="A598" t="str">
            <v>5114001030 DLF-Desp Autenticidade Reconhecde Firmas (Realiz)</v>
          </cell>
          <cell r="B598">
            <v>14.25</v>
          </cell>
        </row>
        <row r="599">
          <cell r="A599" t="str">
            <v>5114002060 DITC-Txs Municipais,Estaduais,Federais (Realizado)</v>
          </cell>
          <cell r="B599">
            <v>8451.76</v>
          </cell>
        </row>
        <row r="600">
          <cell r="A600" t="str">
            <v>5114002105 Créditos de impostos recuperados - Reintegra</v>
          </cell>
          <cell r="B600">
            <v>-403211.71</v>
          </cell>
        </row>
        <row r="601">
          <cell r="A601" t="str">
            <v>5116001010 Desp Real Even-Semi Fora da Cia Gestao (Realizado)</v>
          </cell>
          <cell r="B601">
            <v>6200</v>
          </cell>
        </row>
        <row r="602">
          <cell r="A602" t="str">
            <v>5116002020 Desp c/Marketing-Relaçoes Publicas (Realizado)</v>
          </cell>
          <cell r="B602">
            <v>355</v>
          </cell>
        </row>
        <row r="603">
          <cell r="A603" t="str">
            <v>5118002050 DPC Ded-Contrib a Entidades de Classes (Realizado)</v>
          </cell>
          <cell r="B603">
            <v>5499.85</v>
          </cell>
        </row>
        <row r="604">
          <cell r="A604" t="str">
            <v>5119905010 Desp Alug/Loc.Oper-Locaçao Equip Operaçao (Realiz)</v>
          </cell>
          <cell r="B604">
            <v>532334.21</v>
          </cell>
        </row>
        <row r="605">
          <cell r="A605" t="str">
            <v>5119905050 Desp Alug/Loc.Oper-Loc de Equip Telefonia(Realiz)</v>
          </cell>
          <cell r="B605">
            <v>1996.5</v>
          </cell>
        </row>
        <row r="606">
          <cell r="A606" t="str">
            <v>5119906010 Desp Alug/Loc. Op-Equipamentos de Manut (Realiz)</v>
          </cell>
          <cell r="B606">
            <v>315167.62</v>
          </cell>
        </row>
        <row r="607">
          <cell r="A607" t="str">
            <v>5119910010 Assin L.IT.J.R-Ass de Jornais e Revistas (Realiz)</v>
          </cell>
          <cell r="B607">
            <v>991.42</v>
          </cell>
        </row>
        <row r="608">
          <cell r="A608" t="str">
            <v>5119920010 Desp c/Veiculos-Abastecimento (Realizado)</v>
          </cell>
          <cell r="B608">
            <v>1202.72</v>
          </cell>
        </row>
        <row r="609">
          <cell r="A609" t="str">
            <v>5119920050 Desp c/Veiculos-Pedagio e Estacionam (Realizado)</v>
          </cell>
          <cell r="B609">
            <v>3139.1</v>
          </cell>
        </row>
        <row r="610">
          <cell r="A610" t="str">
            <v>5119920060 Desp c/Veiculos-Licenciamento (Realizado)</v>
          </cell>
          <cell r="B610">
            <v>4583.8500000000004</v>
          </cell>
        </row>
        <row r="611">
          <cell r="A611" t="str">
            <v>Despesas / Receitas Operacionais</v>
          </cell>
          <cell r="B611">
            <v>68817439.620000005</v>
          </cell>
        </row>
        <row r="612">
          <cell r="A612" t="str">
            <v>Despesas com vendas</v>
          </cell>
          <cell r="B612">
            <v>26246851.280000001</v>
          </cell>
        </row>
        <row r="613">
          <cell r="A613" t="str">
            <v>Despesas com fretes sobre vendas</v>
          </cell>
          <cell r="B613">
            <v>26246849.469999999</v>
          </cell>
        </row>
        <row r="614">
          <cell r="A614" t="str">
            <v>3140101030 Fretes s/Vendas de Produtos no MI (Realizado)</v>
          </cell>
          <cell r="B614">
            <v>25568734.059999999</v>
          </cell>
        </row>
        <row r="615">
          <cell r="A615" t="str">
            <v>3140105030 Fretes s/Revendas de Mercadorias no MI (Realiz)</v>
          </cell>
          <cell r="B615">
            <v>678115.41</v>
          </cell>
        </row>
        <row r="616">
          <cell r="A616" t="str">
            <v>Outras despesas com vendas</v>
          </cell>
          <cell r="B616">
            <v>1.81</v>
          </cell>
        </row>
        <row r="617">
          <cell r="A617" t="str">
            <v>3140601030 Desp Remessas p/Testes Ensaios e Prod FP (Realiz)</v>
          </cell>
          <cell r="B617">
            <v>1.81</v>
          </cell>
        </row>
        <row r="618">
          <cell r="A618" t="str">
            <v>Despesas Gerais e Administrativas</v>
          </cell>
          <cell r="B618">
            <v>30133343.760000002</v>
          </cell>
        </row>
        <row r="619">
          <cell r="A619" t="str">
            <v>Energia Elétrica consumo administrativo</v>
          </cell>
          <cell r="B619">
            <v>26716.13</v>
          </cell>
        </row>
        <row r="620">
          <cell r="A620" t="str">
            <v>3170801120 Mat Cons Oper-Luz (Realizado)</v>
          </cell>
          <cell r="B620">
            <v>26716.13</v>
          </cell>
        </row>
        <row r="621">
          <cell r="A621" t="str">
            <v>Despesas com salários e benefícios a empreg</v>
          </cell>
          <cell r="B621">
            <v>17065082.800000001</v>
          </cell>
        </row>
        <row r="622">
          <cell r="A622" t="str">
            <v>3171001010 FLPG-Remuneraçao a Dirigentes Conselho Adm (Pgto)</v>
          </cell>
          <cell r="B622">
            <v>2070671.2</v>
          </cell>
        </row>
        <row r="623">
          <cell r="A623" t="str">
            <v>3171001020 FLPG-Gratifiçao a Dirigentes Conselho Adm (Pgto)</v>
          </cell>
          <cell r="B623">
            <v>3179664.51</v>
          </cell>
        </row>
        <row r="624">
          <cell r="A624" t="str">
            <v>3171001021 FLPG-Prov Gratificaçao a Dirigentes Conselho Adm</v>
          </cell>
          <cell r="B624">
            <v>1117960.51</v>
          </cell>
        </row>
        <row r="625">
          <cell r="A625" t="str">
            <v>3171001022 FLPG-Rev Prov Gratif a Dirigentes Conselho Adm</v>
          </cell>
          <cell r="B625">
            <v>-3179664.51</v>
          </cell>
        </row>
        <row r="626">
          <cell r="A626" t="str">
            <v>3171001030 FLPG-Ordenados, Salars e Outras Remun a Empreg (R)</v>
          </cell>
          <cell r="B626">
            <v>3916406.91</v>
          </cell>
        </row>
        <row r="627">
          <cell r="A627" t="str">
            <v>3171001040 FLPG-13º Salario (Realizado)</v>
          </cell>
          <cell r="B627">
            <v>71020.81</v>
          </cell>
        </row>
        <row r="628">
          <cell r="A628" t="str">
            <v>3171001041 FLPG-Provisao de 13º Salario</v>
          </cell>
          <cell r="B628">
            <v>321063.13</v>
          </cell>
        </row>
        <row r="629">
          <cell r="A629" t="str">
            <v>3171001042 FLPG-Reversao Provisao de 13º Salario</v>
          </cell>
          <cell r="B629">
            <v>-43032.27</v>
          </cell>
        </row>
        <row r="630">
          <cell r="A630" t="str">
            <v>3171001050 FLPG-Ferias (Realizado)</v>
          </cell>
          <cell r="B630">
            <v>736704.37</v>
          </cell>
        </row>
        <row r="631">
          <cell r="A631" t="str">
            <v>3171001051 FLPG-Provisao de Ferias</v>
          </cell>
          <cell r="B631">
            <v>219513.61</v>
          </cell>
        </row>
        <row r="632">
          <cell r="A632" t="str">
            <v>3171001052 FLPG-Reversap da Provisao de Ferias</v>
          </cell>
          <cell r="B632">
            <v>-347116.98</v>
          </cell>
        </row>
        <row r="633">
          <cell r="A633" t="str">
            <v>3171001080 FLPG-Gratificaçao de Ferias (Realiz)</v>
          </cell>
          <cell r="B633">
            <v>248558.31</v>
          </cell>
        </row>
        <row r="634">
          <cell r="A634" t="str">
            <v>3171001081 FLPG-Provisao de Gratificaçao de Ferias</v>
          </cell>
          <cell r="B634">
            <v>168639.67</v>
          </cell>
        </row>
        <row r="635">
          <cell r="A635" t="str">
            <v>3171001082 FLPG-Reversao da Prov de Gratificaçao de Ferias</v>
          </cell>
          <cell r="B635">
            <v>-248558.31</v>
          </cell>
        </row>
        <row r="636">
          <cell r="A636" t="str">
            <v>3171001090 FLPG-Gratificaçoes (Realizado)</v>
          </cell>
          <cell r="B636">
            <v>706356.04</v>
          </cell>
        </row>
        <row r="637">
          <cell r="A637" t="str">
            <v>3171001091 FLPG-Provisao de Gratificaçoes</v>
          </cell>
          <cell r="B637">
            <v>852352.77</v>
          </cell>
        </row>
        <row r="638">
          <cell r="A638" t="str">
            <v>3171001092 FLPG-Reversao da Provisao de Gratificacoes</v>
          </cell>
          <cell r="B638">
            <v>-531565.66</v>
          </cell>
        </row>
        <row r="639">
          <cell r="A639" t="str">
            <v>3171001100 FLPG-Gratificoes Quinquenios (Realizado)</v>
          </cell>
          <cell r="B639">
            <v>68722.09</v>
          </cell>
        </row>
        <row r="640">
          <cell r="A640" t="str">
            <v>3171001101 FLPG-Provisao de Gratificaçoes Quinquenios</v>
          </cell>
          <cell r="B640">
            <v>78848.2</v>
          </cell>
        </row>
        <row r="641">
          <cell r="A641" t="str">
            <v>3171001102 FLPG-Reversao Provisao Gratificacoes Quinquenios</v>
          </cell>
          <cell r="B641">
            <v>-68722.09</v>
          </cell>
        </row>
        <row r="642">
          <cell r="A642" t="str">
            <v>3171001120 FLPG-Aviso Previo (Realizado)</v>
          </cell>
          <cell r="B642">
            <v>386509.32</v>
          </cell>
        </row>
        <row r="643">
          <cell r="A643" t="str">
            <v>3171001122 FLPG-Reversao da Provisao de Aviso Previo</v>
          </cell>
          <cell r="B643">
            <v>-386509.32</v>
          </cell>
        </row>
        <row r="644">
          <cell r="A644" t="str">
            <v>3171001130 FLPG-Indenizacoes (Realizado)</v>
          </cell>
          <cell r="B644">
            <v>55123.87</v>
          </cell>
        </row>
        <row r="645">
          <cell r="A645" t="str">
            <v>3171001240 FLPG-Auxilio Doença (Realizado)</v>
          </cell>
          <cell r="B645">
            <v>16210.25</v>
          </cell>
        </row>
        <row r="646">
          <cell r="A646" t="str">
            <v>3171001250 FLPG-Auxilio Ensino (Realizado)</v>
          </cell>
          <cell r="B646">
            <v>79575.81</v>
          </cell>
        </row>
        <row r="647">
          <cell r="A647" t="str">
            <v>3171001300 FLPG-Bolsa Estudos de Estagiarios (Realizado)</v>
          </cell>
          <cell r="B647">
            <v>38333.339999999997</v>
          </cell>
        </row>
        <row r="648">
          <cell r="A648" t="str">
            <v>3171001990 Rateio da Mão de Obra da Manutenção</v>
          </cell>
          <cell r="B648">
            <v>4989.1099999999997</v>
          </cell>
        </row>
        <row r="649">
          <cell r="A649" t="str">
            <v>3171002010 FGTS s/Folha de Pagamento (Realizado)</v>
          </cell>
          <cell r="B649">
            <v>307314.46999999997</v>
          </cell>
        </row>
        <row r="650">
          <cell r="A650" t="str">
            <v>3171002020 FGTS s/Ferias (Realizado)</v>
          </cell>
          <cell r="B650">
            <v>20672.66</v>
          </cell>
        </row>
        <row r="651">
          <cell r="A651" t="str">
            <v>3171002021 Provisao de FGTS s/Ferias</v>
          </cell>
          <cell r="B651">
            <v>28758.31</v>
          </cell>
        </row>
        <row r="652">
          <cell r="A652" t="str">
            <v>3171002022 Reversao da Provisao de FGTS s/Ferias</v>
          </cell>
          <cell r="B652">
            <v>-38909.519999999997</v>
          </cell>
        </row>
        <row r="653">
          <cell r="A653" t="str">
            <v>3171002030 FGTS s/13º Salario (Realizado)</v>
          </cell>
          <cell r="B653">
            <v>10124.33</v>
          </cell>
        </row>
        <row r="654">
          <cell r="A654" t="str">
            <v>3171002031 Provisao de FGTS s/13º Salario</v>
          </cell>
          <cell r="B654">
            <v>35446.19</v>
          </cell>
        </row>
        <row r="655">
          <cell r="A655" t="str">
            <v>3171002032 Reversao da Provisao de FGTS s/13º Salario</v>
          </cell>
          <cell r="B655">
            <v>-13216.16</v>
          </cell>
        </row>
        <row r="656">
          <cell r="A656" t="str">
            <v>3171002040 FGTS s/Desligamento de Funcionario (Realizado)</v>
          </cell>
          <cell r="B656">
            <v>1081547.1200000001</v>
          </cell>
        </row>
        <row r="657">
          <cell r="A657" t="str">
            <v>3171002041 Provisao de FGTS s/Desligamento de Funcionario</v>
          </cell>
          <cell r="B657">
            <v>365736</v>
          </cell>
        </row>
        <row r="658">
          <cell r="A658" t="str">
            <v>3171002042 Reversao Provisao de FGTS s/Desl Funcionario</v>
          </cell>
          <cell r="B658">
            <v>-1081547.1200000001</v>
          </cell>
        </row>
        <row r="659">
          <cell r="A659" t="str">
            <v>3171003010 INSS s/Folha de Pagamento (Realizado)</v>
          </cell>
          <cell r="B659">
            <v>1616353.93</v>
          </cell>
        </row>
        <row r="660">
          <cell r="A660" t="str">
            <v>3171003021 Provisao de INSS s/Ferias</v>
          </cell>
          <cell r="B660">
            <v>65834.83</v>
          </cell>
        </row>
        <row r="661">
          <cell r="A661" t="str">
            <v>3171003022 Reversao da Provisao de INSS s/Ferias</v>
          </cell>
          <cell r="B661">
            <v>-101659.46</v>
          </cell>
        </row>
        <row r="662">
          <cell r="A662" t="str">
            <v>3171003031 Provisao de INSS s/13º Salario</v>
          </cell>
          <cell r="B662">
            <v>88951.27</v>
          </cell>
        </row>
        <row r="663">
          <cell r="A663" t="str">
            <v>3171003032 Reversao da Provisao de INSS s/13º Salario</v>
          </cell>
          <cell r="B663">
            <v>-10894.12</v>
          </cell>
        </row>
        <row r="664">
          <cell r="A664" t="str">
            <v>3171003051 Provisao de INSS s/Gratificações</v>
          </cell>
          <cell r="B664">
            <v>106853.49</v>
          </cell>
        </row>
        <row r="665">
          <cell r="A665" t="str">
            <v>3171501010 Prev Priv CD-Contribuicoes da Empresa (Realizado)</v>
          </cell>
          <cell r="B665">
            <v>1916886.25</v>
          </cell>
        </row>
        <row r="666">
          <cell r="A666" t="str">
            <v>3171501015 Prev Priv CD-Participaçao dos Empregados</v>
          </cell>
          <cell r="B666">
            <v>-616020.42000000004</v>
          </cell>
        </row>
        <row r="667">
          <cell r="A667" t="str">
            <v>3171502011 Provisao Seguro de Vida em Grupo</v>
          </cell>
          <cell r="B667">
            <v>240445.19</v>
          </cell>
        </row>
        <row r="668">
          <cell r="A668" t="str">
            <v>3171503010 Assistencia Medica e Hospitalar (Realizado)</v>
          </cell>
          <cell r="B668">
            <v>1569968.67</v>
          </cell>
        </row>
        <row r="669">
          <cell r="A669" t="str">
            <v>3171503015 Partic dos Empregados Assistenc Medica e Hospit</v>
          </cell>
          <cell r="B669">
            <v>-94549.74</v>
          </cell>
        </row>
        <row r="670">
          <cell r="A670" t="str">
            <v>3171503020 Assistencia Medica e Hospitalar Aposent (Realiz)</v>
          </cell>
          <cell r="B670">
            <v>144594.29999999999</v>
          </cell>
        </row>
        <row r="671">
          <cell r="A671" t="str">
            <v>3171503021 Provisao Assistencia Medica Hospitalar Aposentados</v>
          </cell>
          <cell r="B671">
            <v>109732</v>
          </cell>
        </row>
        <row r="672">
          <cell r="A672" t="str">
            <v>3171503022 Reversao Prov Assist Medica Hospitalar Aposentados</v>
          </cell>
          <cell r="B672">
            <v>-144594.29999999999</v>
          </cell>
        </row>
        <row r="673">
          <cell r="A673" t="str">
            <v>3171503030 Assistencia Odontologica (Realizado)</v>
          </cell>
          <cell r="B673">
            <v>65296.98</v>
          </cell>
        </row>
        <row r="674">
          <cell r="A674" t="str">
            <v>3171503035 Participacao dos Empregados Assist Odontologica</v>
          </cell>
          <cell r="B674">
            <v>-7336.7</v>
          </cell>
        </row>
        <row r="675">
          <cell r="A675" t="str">
            <v>3171503040 Despesas Medicas e Hospitalares (Realizado)</v>
          </cell>
          <cell r="B675">
            <v>51741.21</v>
          </cell>
        </row>
        <row r="676">
          <cell r="A676" t="str">
            <v>3171504010 Desenv Prof-Cursos (Realizado)</v>
          </cell>
          <cell r="B676">
            <v>93475.22</v>
          </cell>
        </row>
        <row r="677">
          <cell r="A677" t="str">
            <v>3171504020 Desenv Prof-Material de Consumo em Cursos (Realiz)</v>
          </cell>
          <cell r="B677">
            <v>1564.9</v>
          </cell>
        </row>
        <row r="678">
          <cell r="A678" t="str">
            <v>3171504030 Desenv Prof-Serviços de Tercrs em Cursos (Realiz)</v>
          </cell>
          <cell r="B678">
            <v>1440</v>
          </cell>
        </row>
        <row r="679">
          <cell r="A679" t="str">
            <v>3171504040 Desenv Prof-Diarias em Cursos (Realizado)</v>
          </cell>
          <cell r="B679">
            <v>537.02</v>
          </cell>
        </row>
        <row r="680">
          <cell r="A680" t="str">
            <v>3171504050 Desenv Prof-Transportes em Cursos (Realizado)</v>
          </cell>
          <cell r="B680">
            <v>10654.86</v>
          </cell>
        </row>
        <row r="681">
          <cell r="A681" t="str">
            <v>3171504060 Desenv Prof-Refeiçoes em Cursos (Realizado)</v>
          </cell>
          <cell r="B681">
            <v>15287.54</v>
          </cell>
        </row>
        <row r="682">
          <cell r="A682" t="str">
            <v>3171504070 Desenv Prof-Aprendiz de Menores em Cursos (Realiz)</v>
          </cell>
          <cell r="B682">
            <v>4910.3999999999996</v>
          </cell>
        </row>
        <row r="683">
          <cell r="A683" t="str">
            <v>3171505020 Desp Soc-Comemoraçoes e Eventos (Realizado)</v>
          </cell>
          <cell r="B683">
            <v>11307.71</v>
          </cell>
        </row>
        <row r="684">
          <cell r="A684" t="str">
            <v>3171505030 Desp Soc-Assistencia Social Funcionarios (Realiz)</v>
          </cell>
          <cell r="B684">
            <v>21626.12</v>
          </cell>
        </row>
        <row r="685">
          <cell r="A685" t="str">
            <v>3171505050 Desp Soc-Comunicaçao Interna (Realizado)</v>
          </cell>
          <cell r="B685">
            <v>3305</v>
          </cell>
        </row>
        <row r="686">
          <cell r="A686" t="str">
            <v>3171506010 Desp Transp-Conduçao Contratada (Realizado)</v>
          </cell>
          <cell r="B686">
            <v>934727.8</v>
          </cell>
        </row>
        <row r="687">
          <cell r="A687" t="str">
            <v>3171506015 Participaçao dos Empregados-Conduçao Contratada</v>
          </cell>
          <cell r="B687">
            <v>-12596.46</v>
          </cell>
        </row>
        <row r="688">
          <cell r="A688" t="str">
            <v>3171506020 Despesa Vale Transporte (Realizado)</v>
          </cell>
          <cell r="B688">
            <v>24022.92</v>
          </cell>
        </row>
        <row r="689">
          <cell r="A689" t="str">
            <v>3171506025 Participaçao dos Empregados-Vale Transporte</v>
          </cell>
          <cell r="B689">
            <v>-975.36</v>
          </cell>
        </row>
        <row r="690">
          <cell r="A690" t="str">
            <v>3171506030 Despesa Taxi e Conduçoes (Realizado)</v>
          </cell>
          <cell r="B690">
            <v>104408.32000000001</v>
          </cell>
        </row>
        <row r="691">
          <cell r="A691" t="str">
            <v>3171506040 Despesa Aluguel de Veiculos (Realizado)</v>
          </cell>
          <cell r="B691">
            <v>12760.45</v>
          </cell>
        </row>
        <row r="692">
          <cell r="A692" t="str">
            <v>3171507010 Despesa Refeiçoes Prontas (Realizado)</v>
          </cell>
          <cell r="B692">
            <v>467048.51</v>
          </cell>
        </row>
        <row r="693">
          <cell r="A693" t="str">
            <v>3171507015 Participaçao dos Empregados-Refeiçoes Prontas</v>
          </cell>
          <cell r="B693">
            <v>-49528.35</v>
          </cell>
        </row>
        <row r="694">
          <cell r="A694" t="str">
            <v>3171507020 Despesa Material de Consumo Refeitorio (Realiz)</v>
          </cell>
          <cell r="B694">
            <v>53753.599999999999</v>
          </cell>
        </row>
        <row r="695">
          <cell r="A695" t="str">
            <v>3171507025 Desp Material Consumo Refeitorio Descont Func-R</v>
          </cell>
          <cell r="B695">
            <v>6586.47</v>
          </cell>
        </row>
        <row r="696">
          <cell r="A696" t="str">
            <v>3171507030 Despesa Refeiçoes-Visita e Outras (Realizado)</v>
          </cell>
          <cell r="B696">
            <v>68941.7</v>
          </cell>
        </row>
        <row r="697">
          <cell r="A697" t="str">
            <v>3171507040 Despesa Refeiçoes-Lanches Externos (Realizado)</v>
          </cell>
          <cell r="B697">
            <v>42240.08</v>
          </cell>
        </row>
        <row r="698">
          <cell r="A698" t="str">
            <v>Encargos de depreciação e amortização na DGA</v>
          </cell>
          <cell r="B698">
            <v>4049709</v>
          </cell>
        </row>
        <row r="699">
          <cell r="A699" t="str">
            <v>3179001010 Encarg de Deprec e Amort-Depreciaçao (Realizado)</v>
          </cell>
          <cell r="B699">
            <v>439993.12</v>
          </cell>
        </row>
        <row r="700">
          <cell r="A700" t="str">
            <v>3179001011 Encarg de Depreciaçao Mais Valia (Realizado)</v>
          </cell>
          <cell r="B700">
            <v>92284.95</v>
          </cell>
        </row>
        <row r="701">
          <cell r="A701" t="str">
            <v>3179001012 Encs de Depreciaçao Mais Valia Comb Neg(Realizado)</v>
          </cell>
          <cell r="B701">
            <v>92284.95</v>
          </cell>
        </row>
        <row r="702">
          <cell r="A702" t="str">
            <v>3179001014 Encarg de Depreciaçao do AVP (Realizado)</v>
          </cell>
          <cell r="B702">
            <v>3293.76</v>
          </cell>
        </row>
        <row r="703">
          <cell r="A703" t="str">
            <v>3179001050 Encarg de Deprec e Amort-Amortizaçao (Realizado)</v>
          </cell>
          <cell r="B703">
            <v>1097666.57</v>
          </cell>
        </row>
        <row r="704">
          <cell r="A704" t="str">
            <v>3179001054 Encargs de Amortizaçao AVP (Realizado)</v>
          </cell>
          <cell r="B704">
            <v>4085.49</v>
          </cell>
        </row>
        <row r="705">
          <cell r="A705" t="str">
            <v>3179001104 Encargs de Amortizaçao Investimentos (Realizado)</v>
          </cell>
          <cell r="B705">
            <v>2320100.16</v>
          </cell>
        </row>
        <row r="706">
          <cell r="A706" t="str">
            <v>Serviços de terceiros nas DGAs</v>
          </cell>
          <cell r="B706">
            <v>5500844.8700000001</v>
          </cell>
        </row>
        <row r="707">
          <cell r="A707" t="str">
            <v>3172001010 Serviços Prestados Advocacia p/PJ (Realizado)</v>
          </cell>
          <cell r="B707">
            <v>2521996.4300000002</v>
          </cell>
        </row>
        <row r="708">
          <cell r="A708" t="str">
            <v>3172001015 Rec Desps c/Honorarios Advocaticios (Realizado)</v>
          </cell>
          <cell r="B708">
            <v>-73206.73</v>
          </cell>
        </row>
        <row r="709">
          <cell r="A709" t="str">
            <v>3172002010 Serviços Prestados Auditoria  p/PJ (Realizado)</v>
          </cell>
          <cell r="B709">
            <v>107000</v>
          </cell>
        </row>
        <row r="710">
          <cell r="A710" t="str">
            <v>3172003010 Serviços Prestados Consultoria p/PJ (Realizado)</v>
          </cell>
          <cell r="B710">
            <v>1298975.8799999999</v>
          </cell>
        </row>
        <row r="711">
          <cell r="A711" t="str">
            <v>3172003040 Serv Prest Consultoria p/PF s/Vinc Empr (Realiz)</v>
          </cell>
          <cell r="B711">
            <v>81345.77</v>
          </cell>
        </row>
        <row r="712">
          <cell r="A712" t="str">
            <v>3172007010 Serv Prest Informaçoes Cadastrais p/PJ (Realiz)</v>
          </cell>
          <cell r="B712">
            <v>88521.89</v>
          </cell>
        </row>
        <row r="713">
          <cell r="A713" t="str">
            <v>3172008010 Serv Prest Propaganda e Publicidade p/PJ (Realiz)</v>
          </cell>
          <cell r="B713">
            <v>28456</v>
          </cell>
        </row>
        <row r="714">
          <cell r="A714" t="str">
            <v>3172009010 Serv Prest Atualiz/Suporte Tecnico p/PJ (Realiz)</v>
          </cell>
          <cell r="B714">
            <v>435445.3</v>
          </cell>
        </row>
        <row r="715">
          <cell r="A715" t="str">
            <v>3172010010 Serviços Prestados Temporario p/PJ (Realizado)</v>
          </cell>
          <cell r="B715">
            <v>130197.65</v>
          </cell>
        </row>
        <row r="716">
          <cell r="A716" t="str">
            <v>3172011010 Serviços Prestados Limpeza p/ PJ (Realizado)</v>
          </cell>
          <cell r="B716">
            <v>62572.639999999999</v>
          </cell>
        </row>
        <row r="717">
          <cell r="A717" t="str">
            <v>3172012010 Serviços Prestados Vigilancia PJ (Realiz)</v>
          </cell>
          <cell r="B717">
            <v>568488.23</v>
          </cell>
        </row>
        <row r="718">
          <cell r="A718" t="str">
            <v>3172018010 Serv Prest Reparos Assist Tecnica p/PJ (Realiz)</v>
          </cell>
          <cell r="B718">
            <v>51444.53</v>
          </cell>
        </row>
        <row r="719">
          <cell r="A719" t="str">
            <v>3172099010 Prest Serv Tecnicos Profissionais p/PJ (Realiz)</v>
          </cell>
          <cell r="B719">
            <v>187586.86</v>
          </cell>
        </row>
        <row r="720">
          <cell r="A720" t="str">
            <v>3172099040 Serv Prest Tec Profissionais p/PF s/Vin Empr (R)</v>
          </cell>
          <cell r="B720">
            <v>1400</v>
          </cell>
        </row>
        <row r="721">
          <cell r="A721" t="str">
            <v>3172150010 Serv Prest Manutençao Civil p/PJ (Realizado)</v>
          </cell>
          <cell r="B721">
            <v>3682.64</v>
          </cell>
        </row>
        <row r="722">
          <cell r="A722" t="str">
            <v>3172199010 Serv Prest Manutençao Geral p/PJ (Realizado)</v>
          </cell>
          <cell r="B722">
            <v>6937.78</v>
          </cell>
        </row>
        <row r="723">
          <cell r="A723" t="str">
            <v>Outras despesas gerais administrativas</v>
          </cell>
          <cell r="B723">
            <v>3490990.96</v>
          </cell>
        </row>
        <row r="724">
          <cell r="A724" t="str">
            <v>3170801070 Mat Cons Oper-Reparo e Manutençao (Realiz)</v>
          </cell>
          <cell r="B724">
            <v>421.76</v>
          </cell>
        </row>
        <row r="725">
          <cell r="A725" t="str">
            <v>3170801090 Mat Cons Oper-Limpeza (Realizado)</v>
          </cell>
          <cell r="B725">
            <v>14.79</v>
          </cell>
        </row>
        <row r="726">
          <cell r="A726" t="str">
            <v>3170801100 Mat Cons Oper-Segurança (Realizado)</v>
          </cell>
          <cell r="B726">
            <v>1521.19</v>
          </cell>
        </row>
        <row r="727">
          <cell r="A727" t="str">
            <v>3170801130 Mat Cons Oper-Escritorio (Realizado)</v>
          </cell>
          <cell r="B727">
            <v>19954.36</v>
          </cell>
        </row>
        <row r="728">
          <cell r="A728" t="str">
            <v>3170801140 Mat Cons Oper-Imobilizado (Realizado)</v>
          </cell>
          <cell r="B728">
            <v>938.2</v>
          </cell>
        </row>
        <row r="729">
          <cell r="A729" t="str">
            <v>3170802990 Materias Consumo-Manutencao em Geral (Realiz)</v>
          </cell>
          <cell r="B729">
            <v>7911.73</v>
          </cell>
        </row>
        <row r="730">
          <cell r="A730" t="str">
            <v>3171901010 Sel Recrut-Servs de Tercrs p/Seleçao e Recrut (R)</v>
          </cell>
          <cell r="B730">
            <v>1860</v>
          </cell>
        </row>
        <row r="731">
          <cell r="A731" t="str">
            <v>3171902010 Despesa Viagens Nacionais (Realizado)</v>
          </cell>
          <cell r="B731">
            <v>123412.73</v>
          </cell>
        </row>
        <row r="732">
          <cell r="A732" t="str">
            <v>3171902020 Despesas Viagens Internacionais (Realizado)</v>
          </cell>
          <cell r="B732">
            <v>-10482.98</v>
          </cell>
        </row>
        <row r="733">
          <cell r="A733" t="str">
            <v>3173501010 Desp Correspondencia-Malote (Realizado)</v>
          </cell>
          <cell r="B733">
            <v>50598.82</v>
          </cell>
        </row>
        <row r="734">
          <cell r="A734" t="str">
            <v>3173501020 Desp Correspondencia-Postais (Realizado)</v>
          </cell>
          <cell r="B734">
            <v>8239.81</v>
          </cell>
        </row>
        <row r="735">
          <cell r="A735" t="str">
            <v>3173505010 Desp Telec-Desp c/Telefonia Fixa (Realizado)</v>
          </cell>
          <cell r="B735">
            <v>-4167.37</v>
          </cell>
        </row>
        <row r="736">
          <cell r="A736" t="str">
            <v>3173505020 Desp Telec-Desp c/Telefonia Movel (Realizado)</v>
          </cell>
          <cell r="B736">
            <v>55371.5</v>
          </cell>
        </row>
        <row r="737">
          <cell r="A737" t="str">
            <v>3173505030 Desp Telec-Desp Comun Dados EC/FC Internet(Realiz)</v>
          </cell>
          <cell r="B737">
            <v>57157.4</v>
          </cell>
        </row>
        <row r="738">
          <cell r="A738" t="str">
            <v>3173505040 Desp Telec-Desp Comum Dados Internet (Realizado)</v>
          </cell>
          <cell r="B738">
            <v>26135.43</v>
          </cell>
        </row>
        <row r="739">
          <cell r="A739" t="str">
            <v>3173505060 Desp Telec-Desp Comum Dados Banda Larga(Realizado)</v>
          </cell>
          <cell r="B739">
            <v>1873.73</v>
          </cell>
        </row>
        <row r="740">
          <cell r="A740" t="str">
            <v>3173505070 Desp Telec-Desp Comum Dados Video Conferen(Realiz)</v>
          </cell>
          <cell r="B740">
            <v>2483.02</v>
          </cell>
        </row>
        <row r="741">
          <cell r="A741" t="str">
            <v>3174001010 DLF-Desp c/Publicidade Atas e Balanços (Realizado)</v>
          </cell>
          <cell r="B741">
            <v>26965.31</v>
          </cell>
        </row>
        <row r="742">
          <cell r="A742" t="str">
            <v>3174001020 DLF-Desp Escritur Procuraçoes e Contratos (Realiz)</v>
          </cell>
          <cell r="B742">
            <v>99830.2</v>
          </cell>
        </row>
        <row r="743">
          <cell r="A743" t="str">
            <v>3174001030 DLF-Desp Autenticidade Reconhecde Firmas (Realiz)</v>
          </cell>
          <cell r="B743">
            <v>11217.02</v>
          </cell>
        </row>
        <row r="744">
          <cell r="A744" t="str">
            <v>3174001040 DLF-Desp c/ Custas Judiciais (Realizado)</v>
          </cell>
          <cell r="B744">
            <v>25204.63</v>
          </cell>
        </row>
        <row r="745">
          <cell r="A745" t="str">
            <v>3174001990 DLF-Outras Despesas Legais (Realizado)</v>
          </cell>
          <cell r="B745">
            <v>54128.65</v>
          </cell>
        </row>
        <row r="746">
          <cell r="A746" t="str">
            <v>3174002010 DITC-Contribuiçao Sindical Patronal (Realizado)</v>
          </cell>
          <cell r="B746">
            <v>3338.82</v>
          </cell>
        </row>
        <row r="747">
          <cell r="A747" t="str">
            <v>3174002020 DITC-Predial e Territorial (Realizado)</v>
          </cell>
          <cell r="B747">
            <v>750693.11</v>
          </cell>
        </row>
        <row r="748">
          <cell r="A748" t="str">
            <v>3174002021 DITC-Provisao Imposto Predial Territorial (Realiz)</v>
          </cell>
          <cell r="B748">
            <v>50936</v>
          </cell>
        </row>
        <row r="749">
          <cell r="A749" t="str">
            <v>3174002030 DITC-Licença e Funcionamento (Realizado)</v>
          </cell>
          <cell r="B749">
            <v>5339.2</v>
          </cell>
        </row>
        <row r="750">
          <cell r="A750" t="str">
            <v>3174002040 DITC-ICMS s/Aquisiçao de Imobilizado (Realizado)</v>
          </cell>
          <cell r="B750">
            <v>2172.91</v>
          </cell>
        </row>
        <row r="751">
          <cell r="A751" t="str">
            <v>3174002060 DITC-Txs Municipais,Estaduais,Federais (Realizado)</v>
          </cell>
          <cell r="B751">
            <v>4652.01</v>
          </cell>
        </row>
        <row r="752">
          <cell r="A752" t="str">
            <v>3175001010 Desp Seguro-Automoveis (Realizado)</v>
          </cell>
          <cell r="B752">
            <v>14749.79</v>
          </cell>
        </row>
        <row r="753">
          <cell r="A753" t="str">
            <v>3175001020 Desp Seguro-Responsabilidade Civil (Realizado)</v>
          </cell>
          <cell r="B753">
            <v>231510.04</v>
          </cell>
        </row>
        <row r="754">
          <cell r="A754" t="str">
            <v>3175001030 Desp Seguro-Risco Nomeado (Realizado)</v>
          </cell>
          <cell r="B754">
            <v>586709</v>
          </cell>
        </row>
        <row r="755">
          <cell r="A755" t="str">
            <v>3175001040 Desp Seguro-Riscos Diversos (Realizado)</v>
          </cell>
          <cell r="B755">
            <v>2072.48</v>
          </cell>
        </row>
        <row r="756">
          <cell r="A756" t="str">
            <v>3175001050 Desp Seguro-Ambiental (Realizado)</v>
          </cell>
          <cell r="B756">
            <v>64666.67</v>
          </cell>
        </row>
        <row r="757">
          <cell r="A757" t="str">
            <v>3176001010 Desp Real Even-Semi Fora da Cia Gestao (Realizado)</v>
          </cell>
          <cell r="B757">
            <v>8867.32</v>
          </cell>
        </row>
        <row r="758">
          <cell r="A758" t="str">
            <v>3176002010 Desp Eventos Marketing (Realizado)</v>
          </cell>
          <cell r="B758">
            <v>300</v>
          </cell>
        </row>
        <row r="759">
          <cell r="A759" t="str">
            <v>3176002020 Desp c/Marketing-Relaçoes Publicas (Realizado)</v>
          </cell>
          <cell r="B759">
            <v>26488.67</v>
          </cell>
        </row>
        <row r="760">
          <cell r="A760" t="str">
            <v>3176002030 Desp c/Marketing-Patrocinios (Realizado)</v>
          </cell>
          <cell r="B760">
            <v>11040</v>
          </cell>
        </row>
        <row r="761">
          <cell r="A761" t="str">
            <v>3176002040 Desp c/Marketing-Programa Fabrica Aberta (Realiz)</v>
          </cell>
          <cell r="B761">
            <v>6490</v>
          </cell>
        </row>
        <row r="762">
          <cell r="A762" t="str">
            <v>3177002020 EPCT-Estudos de Engenharia(Realizado)</v>
          </cell>
          <cell r="B762">
            <v>13840</v>
          </cell>
        </row>
        <row r="763">
          <cell r="A763" t="str">
            <v>3178001990 DPC Ind-Outras Contrib/Doaçoes Indeduts (Realiz)</v>
          </cell>
          <cell r="B763">
            <v>17286.34</v>
          </cell>
        </row>
        <row r="764">
          <cell r="A764" t="str">
            <v>3178002050 DPC Ded-Contrib a Entidades de Classes (Realizado)</v>
          </cell>
          <cell r="B764">
            <v>446156</v>
          </cell>
        </row>
        <row r="765">
          <cell r="A765" t="str">
            <v>3178002990 DPC Ded-Outras Contrib e Doaçoes Dedutivs (Realiz)</v>
          </cell>
          <cell r="B765">
            <v>35000</v>
          </cell>
        </row>
        <row r="766">
          <cell r="A766" t="str">
            <v>3179905040 Desp Alug/Loc.Oper-Equip Impressao/Copias(Realiz)</v>
          </cell>
          <cell r="B766">
            <v>81817.38</v>
          </cell>
        </row>
        <row r="767">
          <cell r="A767" t="str">
            <v>3179905050 Desp Alug/Loc.Oper-Loc de Equip Telefonia(Realiz)</v>
          </cell>
          <cell r="B767">
            <v>10938.81</v>
          </cell>
        </row>
        <row r="768">
          <cell r="A768" t="str">
            <v>3179905100 Desp Alug/Loc.Oper-Aluguel de Imovel (Realizado)</v>
          </cell>
          <cell r="B768">
            <v>410741.18</v>
          </cell>
        </row>
        <row r="769">
          <cell r="A769" t="str">
            <v>3179910010 Assin L.IT.J.R-Ass de Jornais e Revistas (Realiz)</v>
          </cell>
          <cell r="B769">
            <v>3405.46</v>
          </cell>
        </row>
        <row r="770">
          <cell r="A770" t="str">
            <v>3179910030 Assin L.IT.J.R-Ass Livros/Inform Tecnicos (Realiz)</v>
          </cell>
          <cell r="B770">
            <v>51395.72</v>
          </cell>
        </row>
        <row r="771">
          <cell r="A771" t="str">
            <v>3179915010 Desp c/Impressao e Copias fora da Cia (Realizado)</v>
          </cell>
          <cell r="B771">
            <v>10.8</v>
          </cell>
        </row>
        <row r="772">
          <cell r="A772" t="str">
            <v>3179920010 Desp c/Veiculos-Abastecimento (Realizado)</v>
          </cell>
          <cell r="B772">
            <v>15336.39</v>
          </cell>
        </row>
        <row r="773">
          <cell r="A773" t="str">
            <v>3179920020 Desp c/Veiculos-Reparos e Manutençoes (Realizado)</v>
          </cell>
          <cell r="B773">
            <v>2241.5</v>
          </cell>
        </row>
        <row r="774">
          <cell r="A774" t="str">
            <v>3179920030 Desp c/Veiculos-Peças e Acessorios (Realizado)</v>
          </cell>
          <cell r="B774">
            <v>3474.64</v>
          </cell>
        </row>
        <row r="775">
          <cell r="A775" t="str">
            <v>3179920040 Desp c/Veiculos-Lavagem e Lubrificaçao (Realizado)</v>
          </cell>
          <cell r="B775">
            <v>1035.0999999999999</v>
          </cell>
        </row>
        <row r="776">
          <cell r="A776" t="str">
            <v>3179920050 Desp c/Veiculos-Pedagio e Estacionam (Realizado)</v>
          </cell>
          <cell r="B776">
            <v>25222.61</v>
          </cell>
        </row>
        <row r="777">
          <cell r="A777" t="str">
            <v>3179920060 Desp c/Veiculos-Licenciamento (Realizado)</v>
          </cell>
          <cell r="B777">
            <v>42473.08</v>
          </cell>
        </row>
        <row r="778">
          <cell r="A778" t="str">
            <v>Outras despesas / receitas operacionais</v>
          </cell>
          <cell r="B778">
            <v>3514303.74</v>
          </cell>
        </row>
        <row r="779">
          <cell r="A779" t="str">
            <v>Outras receitas operacionais</v>
          </cell>
          <cell r="B779">
            <v>-61950.77</v>
          </cell>
        </row>
        <row r="780">
          <cell r="A780" t="str">
            <v>3310101010 Receita c/Dividendos Recebidos (Realizado)</v>
          </cell>
          <cell r="B780">
            <v>-13049.88</v>
          </cell>
        </row>
        <row r="781">
          <cell r="A781" t="str">
            <v>3310105010 Res Liq Bx At Fixo-Rec Alienaç B/D At.Perman (R)</v>
          </cell>
          <cell r="B781">
            <v>-17813.330000000002</v>
          </cell>
        </row>
        <row r="782">
          <cell r="A782" t="str">
            <v>3310105020 (-)R Liq Bx At Fix-Vlr Contabil B/D Baixados (R)</v>
          </cell>
          <cell r="B782">
            <v>99277.2</v>
          </cell>
        </row>
        <row r="783">
          <cell r="A783" t="str">
            <v>3310105021 (-)R Liq Bx A Fix-Vr Contab B/D Baixados MV(R)</v>
          </cell>
          <cell r="B783">
            <v>17149.62</v>
          </cell>
        </row>
        <row r="784">
          <cell r="A784" t="str">
            <v>3310105022 (-)R Liq Bx A Fix-Vr Contab B/D Baixados MVCN(R)</v>
          </cell>
          <cell r="B784">
            <v>17149.62</v>
          </cell>
        </row>
        <row r="785">
          <cell r="A785" t="str">
            <v>3310109990 Multas Contratuais Aplicadas</v>
          </cell>
          <cell r="B785">
            <v>-164664</v>
          </cell>
        </row>
        <row r="786">
          <cell r="A786" t="str">
            <v>Outras despesas operacionais</v>
          </cell>
          <cell r="B786">
            <v>3576254.51</v>
          </cell>
        </row>
        <row r="787">
          <cell r="A787" t="str">
            <v>3310110010 Desp c/Proc Jud-Tributarios (Realizado)</v>
          </cell>
          <cell r="B787">
            <v>150545.87</v>
          </cell>
        </row>
        <row r="788">
          <cell r="A788" t="str">
            <v>3310110020 Desp c/Proc Trabalhista (Realizado)</v>
          </cell>
          <cell r="B788">
            <v>44.26</v>
          </cell>
        </row>
        <row r="789">
          <cell r="A789" t="str">
            <v>3310110021 Desp c/Proc Trab-Constit Contingenc Trabalhistas</v>
          </cell>
          <cell r="B789">
            <v>1803062.2</v>
          </cell>
        </row>
        <row r="790">
          <cell r="A790" t="str">
            <v>3310110031 Desp c/Proc Civeis-Constit Contingencias Civeis</v>
          </cell>
          <cell r="B790">
            <v>748336.11</v>
          </cell>
        </row>
        <row r="791">
          <cell r="A791" t="str">
            <v>3310140010 Desp n Cor Multas Indedutiveis (Realizado)</v>
          </cell>
          <cell r="B791">
            <v>348480.72</v>
          </cell>
        </row>
        <row r="792">
          <cell r="A792" t="str">
            <v>3310190010 Perdas Operacoes de Credito Incobraveis (Realiz)</v>
          </cell>
          <cell r="B792">
            <v>600895.57999999996</v>
          </cell>
        </row>
        <row r="793">
          <cell r="A793" t="str">
            <v>3310190011 Provisao Perdas em Opercao Credito-PCLD</v>
          </cell>
          <cell r="B793">
            <v>488524.25</v>
          </cell>
        </row>
        <row r="794">
          <cell r="A794" t="str">
            <v>3310190012 Reversap Provisao p/ Perdas Operacoes Cred-PCLD</v>
          </cell>
          <cell r="B794">
            <v>-563634.48</v>
          </cell>
        </row>
        <row r="795">
          <cell r="A795" t="str">
            <v>Resultado de equivalência patrimonial</v>
          </cell>
          <cell r="B795">
            <v>8922940.8399999999</v>
          </cell>
        </row>
        <row r="796">
          <cell r="A796" t="str">
            <v>3310201020 Result Negativo Paticipacoes Societarias (R)</v>
          </cell>
          <cell r="B796">
            <v>8922940.8399999999</v>
          </cell>
        </row>
        <row r="797">
          <cell r="A797" t="str">
            <v>Resultado financeiro</v>
          </cell>
          <cell r="B797">
            <v>17442669.920000002</v>
          </cell>
        </row>
        <row r="798">
          <cell r="A798" t="str">
            <v>Receitas financeiras</v>
          </cell>
          <cell r="B798">
            <v>-13154906.439999999</v>
          </cell>
        </row>
        <row r="799">
          <cell r="A799" t="str">
            <v>Receita de equivalentes de caixa e TVM</v>
          </cell>
          <cell r="B799">
            <v>-11559126.619999999</v>
          </cell>
        </row>
        <row r="800">
          <cell r="A800" t="str">
            <v>3510101010 Rec Financ-Juros s/Aplic Financeiras (Realizado)</v>
          </cell>
          <cell r="B800">
            <v>-11559126.619999999</v>
          </cell>
        </row>
        <row r="801">
          <cell r="A801" t="str">
            <v>Variações cambiais ativas s/contr camb exter</v>
          </cell>
          <cell r="B801">
            <v>-39400.230000000003</v>
          </cell>
        </row>
        <row r="802">
          <cell r="A802" t="str">
            <v>3530101010 Var C Liq At-Ganho Var Camb s/Receb Exterior (R)</v>
          </cell>
          <cell r="B802">
            <v>-41359.89</v>
          </cell>
        </row>
        <row r="803">
          <cell r="A803" t="str">
            <v>3530101020 Var C Liq At-Perda Var Camb s/Receb Exterior (R)</v>
          </cell>
          <cell r="B803">
            <v>1959.66</v>
          </cell>
        </row>
        <row r="804">
          <cell r="A804" t="str">
            <v>Outras receitas financeiras</v>
          </cell>
          <cell r="B804">
            <v>-1556379.59</v>
          </cell>
        </row>
        <row r="805">
          <cell r="A805" t="str">
            <v>3510101090 Rec Financ-Juros s/Capital Proprio (Realizado)</v>
          </cell>
          <cell r="B805">
            <v>-36323.69</v>
          </cell>
        </row>
        <row r="806">
          <cell r="A806" t="str">
            <v>3510101990 Rec Financ-Juros s/Outros Ativos (Realizado)</v>
          </cell>
          <cell r="B806">
            <v>-4025.32</v>
          </cell>
        </row>
        <row r="807">
          <cell r="A807" t="str">
            <v>3510102010 Rec Financ-Var Monet s/Deposit Judic (Realizado)</v>
          </cell>
          <cell r="B807">
            <v>-2638.55</v>
          </cell>
        </row>
        <row r="808">
          <cell r="A808" t="str">
            <v>3510102011 Rec Financ-Prov Var Monet s/ Depositos Judiciais</v>
          </cell>
          <cell r="B808">
            <v>-991644.38</v>
          </cell>
        </row>
        <row r="809">
          <cell r="A809" t="str">
            <v>3510102020 Rec Financ-Var Monet s/Impostos a Recup. (Realiza)</v>
          </cell>
          <cell r="B809">
            <v>-92006.2</v>
          </cell>
        </row>
        <row r="810">
          <cell r="A810" t="str">
            <v>3510102990 Rec Finan-Var Monetaria s/Outros Ativos(Realizado)</v>
          </cell>
          <cell r="B810">
            <v>-173845.34</v>
          </cell>
        </row>
        <row r="811">
          <cell r="A811" t="str">
            <v>3510103010 Rec Financ-Encargos s/Cobrança Duplic(Realizado)</v>
          </cell>
          <cell r="B811">
            <v>-82647.42</v>
          </cell>
        </row>
        <row r="812">
          <cell r="A812" t="str">
            <v>3510103030 Rec Financ-Descontos Obtidos (Realizado)</v>
          </cell>
          <cell r="B812">
            <v>-17430.13</v>
          </cell>
        </row>
        <row r="813">
          <cell r="A813" t="str">
            <v>3510105010 Rec Financ-Bonificaçoes s/Adm Apolice (Realizado)</v>
          </cell>
          <cell r="B813">
            <v>-623.98</v>
          </cell>
        </row>
        <row r="814">
          <cell r="A814" t="str">
            <v>3510106014 Rec Financ-Cont.AVP/ICMS Recup s/Aquis de At.Fixo</v>
          </cell>
          <cell r="B814">
            <v>-137749.72</v>
          </cell>
        </row>
        <row r="815">
          <cell r="A815" t="str">
            <v>3510199990 Rec Financ-Demais Receitas Financeiras (Realizado)</v>
          </cell>
          <cell r="B815">
            <v>-17444.86</v>
          </cell>
        </row>
        <row r="816">
          <cell r="A816" t="str">
            <v>Despesas financeiras</v>
          </cell>
          <cell r="B816">
            <v>30597576.359999999</v>
          </cell>
        </row>
        <row r="817">
          <cell r="A817" t="str">
            <v>Juros de empréstimos e financiamentos</v>
          </cell>
          <cell r="B817">
            <v>29133685.670000002</v>
          </cell>
        </row>
        <row r="818">
          <cell r="A818" t="str">
            <v>3510201010 (-)Desp Financ-Juros s/Emprestimos (Realizado)</v>
          </cell>
          <cell r="B818">
            <v>29133685.670000002</v>
          </cell>
        </row>
        <row r="819">
          <cell r="A819" t="str">
            <v>Variações cambiais passivas sobre empréstimos</v>
          </cell>
          <cell r="B819">
            <v>918154.4</v>
          </cell>
        </row>
        <row r="820">
          <cell r="A820" t="str">
            <v>3530102030 Var C Liq Pas-Ganho Var Camb s/Empres Exterior(R)</v>
          </cell>
          <cell r="B820">
            <v>-555520.74</v>
          </cell>
        </row>
        <row r="821">
          <cell r="A821" t="str">
            <v>3530102040 Var C Liq Pas-Perda Va rCamb s/Empres Exterior(R)</v>
          </cell>
          <cell r="B821">
            <v>1473675.14</v>
          </cell>
        </row>
        <row r="822">
          <cell r="A822" t="str">
            <v>Variações cambiais passivas s/ exig. exterior</v>
          </cell>
          <cell r="B822">
            <v>-496040.91</v>
          </cell>
        </row>
        <row r="823">
          <cell r="A823" t="str">
            <v>3530102010 Var C Liq Pas-Ganho Var Camb s/Exigiv Exterior(R)</v>
          </cell>
          <cell r="B823">
            <v>-672975.42</v>
          </cell>
        </row>
        <row r="824">
          <cell r="A824" t="str">
            <v>3530102020 Var C Liq Pas-Perda Var Camb s/Exigiv Exterior(R)</v>
          </cell>
          <cell r="B824">
            <v>176934.51</v>
          </cell>
        </row>
        <row r="825">
          <cell r="A825" t="str">
            <v>Outras despesas financeiras</v>
          </cell>
          <cell r="B825">
            <v>1041777.2</v>
          </cell>
        </row>
        <row r="826">
          <cell r="A826" t="str">
            <v>3510201020 (-)Desp Financ-Juros s/Pgtos em Atraso (Realizado)</v>
          </cell>
          <cell r="B826">
            <v>26703.24</v>
          </cell>
        </row>
        <row r="827">
          <cell r="A827" t="str">
            <v>3510201990 (-)Desp Financ-Juros s/Outros Passivos (Realizado)</v>
          </cell>
          <cell r="B827">
            <v>1299.83</v>
          </cell>
        </row>
        <row r="828">
          <cell r="A828" t="str">
            <v>3510202030 Desp Financ-Var Monet s/Pgto Imposto em Atraso(R)</v>
          </cell>
          <cell r="B828">
            <v>198.21</v>
          </cell>
        </row>
        <row r="829">
          <cell r="A829" t="str">
            <v>3510202990 Desp Financ-Var Monet s/Outros Passivos(Realizado)</v>
          </cell>
          <cell r="B829">
            <v>119.31</v>
          </cell>
        </row>
        <row r="830">
          <cell r="A830" t="str">
            <v>3510202991 Desp Financ-Prov Var Monetaria s/Contingencias</v>
          </cell>
          <cell r="B830">
            <v>67616.899999999994</v>
          </cell>
        </row>
        <row r="831">
          <cell r="A831" t="str">
            <v>3510203020 Desp Financ-Encarg/Outros-Custas Judiciais(Realiz)</v>
          </cell>
          <cell r="B831">
            <v>514.13</v>
          </cell>
        </row>
        <row r="832">
          <cell r="A832" t="str">
            <v>3510203500 Desp Financ-Encarg/Outros-I.O.C / I.O.F(Realizado)</v>
          </cell>
          <cell r="B832">
            <v>113.47</v>
          </cell>
        </row>
        <row r="833">
          <cell r="A833" t="str">
            <v>3510204010 Desp Financ-EFE-Comissoes s/Aquis Empres Amort(R)</v>
          </cell>
          <cell r="B833">
            <v>747880.62</v>
          </cell>
        </row>
        <row r="834">
          <cell r="A834" t="str">
            <v>3510205020 Desp Financ-Bancarias-Corretagens (Realiz)</v>
          </cell>
          <cell r="B834">
            <v>1556.25</v>
          </cell>
        </row>
        <row r="835">
          <cell r="A835" t="str">
            <v>3510205030 Desp Financ-Bancarias-Comissoes Fiança (Realiz)</v>
          </cell>
          <cell r="B835">
            <v>173657.7</v>
          </cell>
        </row>
        <row r="836">
          <cell r="A836" t="str">
            <v>3510205040 Desp Financ-Bancaria-Txa Expediente (Realiz)</v>
          </cell>
          <cell r="B836">
            <v>22113.11</v>
          </cell>
        </row>
        <row r="837">
          <cell r="A837" t="str">
            <v>3510299990 Demais Despesas Financeiras (Realizado)</v>
          </cell>
          <cell r="B837">
            <v>4.43</v>
          </cell>
        </row>
        <row r="838">
          <cell r="A838" t="str">
            <v>Imposto de renda e constribuição social</v>
          </cell>
          <cell r="B838">
            <v>18653121.140000001</v>
          </cell>
        </row>
        <row r="839">
          <cell r="A839" t="str">
            <v>Corrente</v>
          </cell>
          <cell r="B839">
            <v>20209136.59</v>
          </cell>
        </row>
        <row r="840">
          <cell r="A840" t="str">
            <v>3910101011 (-)Prov CSLL/Exerc.Corrente-CSLL Ajustado (Realiz)</v>
          </cell>
          <cell r="B840">
            <v>5307681.4000000004</v>
          </cell>
        </row>
        <row r="841">
          <cell r="A841" t="str">
            <v>3920101011 (-)Prov IRPJ/Exerc.Correne-IRPJ s/Lucro Real</v>
          </cell>
          <cell r="B841">
            <v>14901455.189999999</v>
          </cell>
        </row>
        <row r="842">
          <cell r="A842" t="str">
            <v>Diferido</v>
          </cell>
          <cell r="B842">
            <v>-1556015.45</v>
          </cell>
        </row>
        <row r="843">
          <cell r="A843" t="str">
            <v>3910101021 (-)Prov CSLL/Exerc.Corrente-CSLL Diferido Ativos</v>
          </cell>
          <cell r="B843">
            <v>-411884.68</v>
          </cell>
        </row>
        <row r="844">
          <cell r="A844" t="str">
            <v>3920101021 (-)Prov IRPJ/Exerc.Corrente-IRPJ Diferido Ativos</v>
          </cell>
          <cell r="B844">
            <v>-1144130.77</v>
          </cell>
        </row>
      </sheetData>
      <sheetData sheetId="4" refreshError="1">
        <row r="2">
          <cell r="A2" t="str">
            <v>ATIVO</v>
          </cell>
          <cell r="B2">
            <v>1678126390.71</v>
          </cell>
        </row>
        <row r="3">
          <cell r="A3" t="str">
            <v>CIRCULANTE</v>
          </cell>
          <cell r="B3">
            <v>344402771.01999998</v>
          </cell>
        </row>
        <row r="4">
          <cell r="A4" t="str">
            <v>CAIXA E EQUIVALENTE DE CAIXA</v>
          </cell>
          <cell r="B4">
            <v>111377784.69</v>
          </cell>
        </row>
        <row r="5">
          <cell r="A5" t="str">
            <v>Recursos em caixa e contas correntes bancária</v>
          </cell>
          <cell r="B5">
            <v>390652.37</v>
          </cell>
        </row>
        <row r="6">
          <cell r="A6" t="str">
            <v>1110102030 Banco Itau (Realizado)</v>
          </cell>
          <cell r="B6">
            <v>156182.21</v>
          </cell>
        </row>
        <row r="7">
          <cell r="A7" t="str">
            <v>1110102040 Banco Santander (Realizado)</v>
          </cell>
          <cell r="B7">
            <v>119318.7</v>
          </cell>
        </row>
        <row r="8">
          <cell r="A8" t="str">
            <v>1110102080 Banco Votorantin (Realizado)</v>
          </cell>
          <cell r="B8">
            <v>308.85000000000002</v>
          </cell>
        </row>
        <row r="9">
          <cell r="A9" t="str">
            <v>1110102100 Banco Pactual S.A.(Realizado)</v>
          </cell>
          <cell r="B9">
            <v>1759.2</v>
          </cell>
        </row>
        <row r="10">
          <cell r="A10" t="str">
            <v>1110102120 Banco Alfa de Investimentos S.A. (Realizado)</v>
          </cell>
          <cell r="B10">
            <v>5772.25</v>
          </cell>
        </row>
        <row r="11">
          <cell r="A11" t="str">
            <v>1110102210 Banco do Brasil  (Realizado)</v>
          </cell>
          <cell r="B11">
            <v>93314.29</v>
          </cell>
        </row>
        <row r="12">
          <cell r="A12" t="str">
            <v>1110102220 Banco Bradesco (Realizado)</v>
          </cell>
          <cell r="B12">
            <v>822.37</v>
          </cell>
        </row>
        <row r="13">
          <cell r="A13" t="str">
            <v>1110102240 Banco Santander (Realizado)</v>
          </cell>
          <cell r="B13">
            <v>8233.2000000000007</v>
          </cell>
        </row>
        <row r="14">
          <cell r="A14" t="str">
            <v>1110102250 Caixa Economica Federal (Realizado)</v>
          </cell>
          <cell r="B14">
            <v>456.3</v>
          </cell>
        </row>
        <row r="15">
          <cell r="A15" t="str">
            <v>1110102270 Banco Safra (Realizado)</v>
          </cell>
          <cell r="B15">
            <v>2138.4899999999998</v>
          </cell>
        </row>
        <row r="16">
          <cell r="A16" t="str">
            <v>1110102290 Banco Paulista (Realizado)</v>
          </cell>
          <cell r="B16">
            <v>1124.4100000000001</v>
          </cell>
        </row>
        <row r="17">
          <cell r="A17" t="str">
            <v>1110102320 Banco Bradesco (Realizado)</v>
          </cell>
          <cell r="B17">
            <v>474.11</v>
          </cell>
        </row>
        <row r="18">
          <cell r="A18" t="str">
            <v>1110102350 Caixa Economica Federal (Realizado)</v>
          </cell>
          <cell r="B18">
            <v>747.99</v>
          </cell>
        </row>
        <row r="19">
          <cell r="A19" t="str">
            <v>Aplicações Financeiras (CDBs)</v>
          </cell>
          <cell r="B19">
            <v>110987132.31999999</v>
          </cell>
        </row>
        <row r="20">
          <cell r="A20" t="str">
            <v>1110105010 Aplicaçoes Financeiras (Realizado)</v>
          </cell>
          <cell r="B20">
            <v>110987132.31999999</v>
          </cell>
        </row>
        <row r="21">
          <cell r="A21" t="str">
            <v>APLICAÇÕES FINANCEIRAS</v>
          </cell>
          <cell r="B21">
            <v>92989785.840000004</v>
          </cell>
        </row>
        <row r="22">
          <cell r="A22" t="str">
            <v>Mantidos para negociação</v>
          </cell>
          <cell r="B22">
            <v>92989785.840000004</v>
          </cell>
        </row>
        <row r="23">
          <cell r="A23" t="str">
            <v>1110201010 Tits do Merc de Cap Inter Mant p/ Neg (Realizado)</v>
          </cell>
          <cell r="B23">
            <v>92989785.840000004</v>
          </cell>
        </row>
        <row r="24">
          <cell r="A24" t="str">
            <v>DUPLICATAS A RECEBER DE CLIENTES</v>
          </cell>
          <cell r="B24">
            <v>82512662.200000003</v>
          </cell>
        </row>
        <row r="25">
          <cell r="A25" t="str">
            <v>Clientes nacionais</v>
          </cell>
          <cell r="B25">
            <v>96468711.540000007</v>
          </cell>
        </row>
        <row r="26">
          <cell r="A26" t="str">
            <v>1110501010 Duplicatas a Receber no MI  (Realizado)</v>
          </cell>
          <cell r="B26">
            <v>97670419.659999996</v>
          </cell>
        </row>
        <row r="27">
          <cell r="A27" t="str">
            <v>1110501011 Duplicatas a Receber no MI (Parcela de CP / LP)</v>
          </cell>
          <cell r="B27">
            <v>-1067419.8600000001</v>
          </cell>
        </row>
        <row r="28">
          <cell r="A28" t="str">
            <v>1110501014 (-)Rec Financeira a apropriar s/Dups a Rec no MI</v>
          </cell>
          <cell r="B28">
            <v>-134288.26</v>
          </cell>
        </row>
        <row r="29">
          <cell r="A29" t="str">
            <v>PCLD</v>
          </cell>
          <cell r="B29">
            <v>-13956049.34</v>
          </cell>
        </row>
        <row r="30">
          <cell r="A30" t="str">
            <v>1110501900 (-) Provisões para Créditos de Liquidação Duvidosa</v>
          </cell>
          <cell r="B30">
            <v>-13956049.34</v>
          </cell>
        </row>
        <row r="31">
          <cell r="A31" t="str">
            <v>IMPOSTOS A RECUPERAR</v>
          </cell>
          <cell r="B31">
            <v>14908699.789999999</v>
          </cell>
        </row>
        <row r="32">
          <cell r="A32" t="str">
            <v>Impostos de renda e CSLL</v>
          </cell>
          <cell r="B32">
            <v>3379088.53</v>
          </cell>
        </row>
        <row r="33">
          <cell r="A33" t="str">
            <v>1111506020 IRRF sobre Aplicaçoes Financeiras (Realizado)</v>
          </cell>
          <cell r="B33">
            <v>3339676</v>
          </cell>
        </row>
        <row r="34">
          <cell r="A34" t="str">
            <v>1111506990 Cred Fisc IRPJ Sdo Negativo Per Anterior (Realiz)</v>
          </cell>
          <cell r="B34">
            <v>39412.53</v>
          </cell>
        </row>
        <row r="35">
          <cell r="A35" t="str">
            <v>ICMS a recuperar</v>
          </cell>
          <cell r="B35">
            <v>1945852.64</v>
          </cell>
        </row>
        <row r="36">
          <cell r="A36" t="str">
            <v>1111507010 ICMS a Recup sobre Ativo Permanente (Realizado)</v>
          </cell>
          <cell r="B36">
            <v>2212576.98</v>
          </cell>
        </row>
        <row r="37">
          <cell r="A37" t="str">
            <v>1111507014 (-)AVP sobre ICMS a Recup sobre Ativo Permanente</v>
          </cell>
          <cell r="B37">
            <v>-266724.34000000003</v>
          </cell>
        </row>
        <row r="38">
          <cell r="A38" t="str">
            <v>INSS a compensar</v>
          </cell>
          <cell r="B38">
            <v>4519062.9000000004</v>
          </cell>
        </row>
        <row r="39">
          <cell r="A39" t="str">
            <v>1111599070 INSS a Compensar  - Decisão Judicial (Realizado)</v>
          </cell>
          <cell r="B39">
            <v>4519062.9000000004</v>
          </cell>
        </row>
        <row r="40">
          <cell r="A40" t="str">
            <v>PIS a compensar Lei nº 9.715</v>
          </cell>
          <cell r="B40">
            <v>3164493.73</v>
          </cell>
        </row>
        <row r="41">
          <cell r="A41" t="str">
            <v>1111599000 PIS a Compensar Lei 9715 (Realizado)</v>
          </cell>
          <cell r="B41">
            <v>3164493.73</v>
          </cell>
        </row>
        <row r="42">
          <cell r="A42" t="str">
            <v>Outros</v>
          </cell>
          <cell r="B42">
            <v>1900201.99</v>
          </cell>
        </row>
        <row r="43">
          <cell r="A43" t="str">
            <v>1111599010 Imp Import a Rec-Recolhimento em Dupl (Realiz)</v>
          </cell>
          <cell r="B43">
            <v>232231.19</v>
          </cell>
        </row>
        <row r="44">
          <cell r="A44" t="str">
            <v>1111599020 INSS a Rec-Recolhimento em Duplicidade (Realizado)</v>
          </cell>
          <cell r="B44">
            <v>343643.14</v>
          </cell>
        </row>
        <row r="45">
          <cell r="A45" t="str">
            <v>1111599030 Adic Estadual doImposto de Renda a Rec (Realizado)</v>
          </cell>
          <cell r="B45">
            <v>1251533.5</v>
          </cell>
        </row>
        <row r="46">
          <cell r="A46" t="str">
            <v>1111599040 FINSOCIAL 1982/83 (Realizado)</v>
          </cell>
          <cell r="B46">
            <v>67054.64</v>
          </cell>
        </row>
        <row r="47">
          <cell r="A47" t="str">
            <v>1111599080 ISS a restituir</v>
          </cell>
          <cell r="B47">
            <v>5739.52</v>
          </cell>
        </row>
        <row r="48">
          <cell r="A48" t="str">
            <v>1111599100 Recuperação de Impostos Federais - Reintegra</v>
          </cell>
          <cell r="B48">
            <v>0</v>
          </cell>
        </row>
        <row r="49">
          <cell r="A49" t="str">
            <v>ESTOQUES</v>
          </cell>
          <cell r="B49">
            <v>30930413.579999998</v>
          </cell>
        </row>
        <row r="50">
          <cell r="A50" t="str">
            <v>Matérias-primas</v>
          </cell>
          <cell r="B50">
            <v>48672.09</v>
          </cell>
        </row>
        <row r="51">
          <cell r="A51" t="str">
            <v>1112090010 Importaçoes em And de Materias Primas (Realizado)</v>
          </cell>
          <cell r="B51">
            <v>48672.09</v>
          </cell>
        </row>
        <row r="52">
          <cell r="A52" t="str">
            <v>Produtos em processo</v>
          </cell>
          <cell r="B52">
            <v>17834013.18</v>
          </cell>
        </row>
        <row r="53">
          <cell r="A53" t="str">
            <v>1112003010 Estoques de Produtos em Elaboraçao (Realizado)</v>
          </cell>
          <cell r="B53">
            <v>17834013.18</v>
          </cell>
        </row>
        <row r="54">
          <cell r="A54" t="str">
            <v>Produtos Acabados</v>
          </cell>
          <cell r="B54">
            <v>5744389.96</v>
          </cell>
        </row>
        <row r="55">
          <cell r="A55" t="str">
            <v>1112010010 Estoques de Produtos Acabados (Realizado)</v>
          </cell>
          <cell r="B55">
            <v>5709221.0700000003</v>
          </cell>
        </row>
        <row r="56">
          <cell r="A56" t="str">
            <v>1112050010 Estoques de Mercadorias Rev Nacionais (Realizado)</v>
          </cell>
          <cell r="B56">
            <v>34096.17</v>
          </cell>
        </row>
        <row r="57">
          <cell r="A57" t="str">
            <v>1112050020 Estoques de Mercadorias Rev Importadas (Realizado)</v>
          </cell>
          <cell r="B57">
            <v>1072.72</v>
          </cell>
        </row>
        <row r="58">
          <cell r="A58" t="str">
            <v>Provisão para desvalorização</v>
          </cell>
          <cell r="B58">
            <v>-1571860.55</v>
          </cell>
        </row>
        <row r="59">
          <cell r="A59" t="str">
            <v>1112010014 (-)Prov p/ Aj. do Est ao Vlr de Merc - Prods Acab</v>
          </cell>
          <cell r="B59">
            <v>-1571860.55</v>
          </cell>
        </row>
        <row r="60">
          <cell r="A60" t="str">
            <v>Materiais auxiliares e embalagens</v>
          </cell>
          <cell r="B60">
            <v>3037990.84</v>
          </cell>
        </row>
        <row r="61">
          <cell r="A61" t="str">
            <v>1112005010 Estoques de Insumos (Mat-Aux) (Realiz)</v>
          </cell>
          <cell r="B61">
            <v>2769700.55</v>
          </cell>
        </row>
        <row r="62">
          <cell r="A62" t="str">
            <v>1112008010 Estoques de Materiais de Embalagens (Realizado)</v>
          </cell>
          <cell r="B62">
            <v>268290.28999999998</v>
          </cell>
        </row>
        <row r="63">
          <cell r="A63" t="str">
            <v>Materiais de manutenção e outros</v>
          </cell>
          <cell r="B63">
            <v>5837208.0599999996</v>
          </cell>
        </row>
        <row r="64">
          <cell r="A64" t="str">
            <v>1112020020 Estoque Almoxarif CP-Manutençao Eletrica (Realiz)</v>
          </cell>
          <cell r="B64">
            <v>1814878.74</v>
          </cell>
        </row>
        <row r="65">
          <cell r="A65" t="str">
            <v>1112020030 Estoque Almoxarif CP-Manutençao Mecanica (Realiz)</v>
          </cell>
          <cell r="B65">
            <v>5831761.4500000002</v>
          </cell>
        </row>
        <row r="66">
          <cell r="A66" t="str">
            <v>1112020050 Estoq Alm CP-Manut Calderaria e Tubulaçao (Realiz)</v>
          </cell>
          <cell r="B66">
            <v>4651028.0599999996</v>
          </cell>
        </row>
        <row r="67">
          <cell r="A67" t="str">
            <v>1112020060 Estoque Alm CP-Manutençao Instrumentaçao (Realiz)</v>
          </cell>
          <cell r="B67">
            <v>4514273.2300000004</v>
          </cell>
        </row>
        <row r="68">
          <cell r="A68" t="str">
            <v>1112020070 Estoque Alm CP-Manutençao Celula HG (Realizado)</v>
          </cell>
          <cell r="B68">
            <v>640395.64</v>
          </cell>
        </row>
        <row r="69">
          <cell r="A69" t="str">
            <v>1112020080 Estoque Almo CP-Manut Celula Diafragma (Realizado)</v>
          </cell>
          <cell r="B69">
            <v>1072339.78</v>
          </cell>
        </row>
        <row r="70">
          <cell r="A70" t="str">
            <v>1112020090 Estoque Alm CP-Manutençao Celula Membrana (Realiz)</v>
          </cell>
          <cell r="B70">
            <v>12528.35</v>
          </cell>
        </row>
        <row r="71">
          <cell r="A71" t="str">
            <v>1112020100 Estoque Alm CP-Manut.de Cilindros e Carretas R</v>
          </cell>
          <cell r="B71">
            <v>134059.18</v>
          </cell>
        </row>
        <row r="72">
          <cell r="A72" t="str">
            <v>1112020490 Estoque Almo CP-Manutençao em Geral (Realizado)</v>
          </cell>
          <cell r="B72">
            <v>1322.31</v>
          </cell>
        </row>
        <row r="73">
          <cell r="A73" t="str">
            <v>1112020500 Estoque Alm CP-Almoxarifado de Uso Geral (Realiz)</v>
          </cell>
          <cell r="B73">
            <v>316981.73</v>
          </cell>
        </row>
        <row r="74">
          <cell r="A74" t="str">
            <v>1112020991 Estoque Almoxarifado Transf. Parcela Realizada L.P</v>
          </cell>
          <cell r="B74">
            <v>-13255700.75</v>
          </cell>
        </row>
        <row r="75">
          <cell r="A75" t="str">
            <v>1112080200 Etq de Outros Mats-Almox em Poder de Ters (Realiz)</v>
          </cell>
          <cell r="B75">
            <v>103340.34</v>
          </cell>
        </row>
        <row r="76">
          <cell r="A76" t="str">
            <v>DESPESAS DE EXERCICIO SEGUINTE</v>
          </cell>
          <cell r="B76">
            <v>2542483.54</v>
          </cell>
        </row>
        <row r="77">
          <cell r="A77" t="str">
            <v>Pagamentos Antecipados</v>
          </cell>
          <cell r="B77">
            <v>2542483.54</v>
          </cell>
        </row>
        <row r="78">
          <cell r="A78" t="str">
            <v>1119001010 Pagamentos Antecipados-Seguros (Realizado)</v>
          </cell>
          <cell r="B78">
            <v>609329.29</v>
          </cell>
        </row>
        <row r="79">
          <cell r="A79" t="str">
            <v>1119001030 Pagamentos Antecip-Serv Tecnicos Prof (Realizado)</v>
          </cell>
          <cell r="B79">
            <v>519772.63</v>
          </cell>
        </row>
        <row r="80">
          <cell r="A80" t="str">
            <v>1119001040 Pagamentos Antecipados-Impostos (Realizado)</v>
          </cell>
          <cell r="B80">
            <v>1142057.26</v>
          </cell>
        </row>
        <row r="81">
          <cell r="A81" t="str">
            <v>1119001900 Pagtos Antecip-Outras Desps/Custos(Realizado)</v>
          </cell>
          <cell r="B81">
            <v>271324.36</v>
          </cell>
        </row>
        <row r="82">
          <cell r="A82" t="str">
            <v>OUTROS ATIVOS CIRCULANTE</v>
          </cell>
          <cell r="B82">
            <v>9140941.3800000008</v>
          </cell>
        </row>
        <row r="83">
          <cell r="A83" t="str">
            <v>Adiantamento a Fornecedores</v>
          </cell>
          <cell r="B83">
            <v>3045052.82</v>
          </cell>
        </row>
        <row r="84">
          <cell r="A84" t="str">
            <v>1118001010 Adiantamentos a Fornec de Serviços (Realizado)</v>
          </cell>
          <cell r="B84">
            <v>109952.06</v>
          </cell>
        </row>
        <row r="85">
          <cell r="A85" t="str">
            <v>1118001020 Adiantamentos a Fornecedores de MP (Realizado)</v>
          </cell>
          <cell r="B85">
            <v>2697127.28</v>
          </cell>
        </row>
        <row r="86">
          <cell r="A86" t="str">
            <v>1118001040 Adiant  Fornecs de Materias de Consumo (Realizado)</v>
          </cell>
          <cell r="B86">
            <v>142086.67000000001</v>
          </cell>
        </row>
        <row r="87">
          <cell r="A87" t="str">
            <v>1118001050 Adiant Fornecs de Funcionarios (Realizado)</v>
          </cell>
          <cell r="B87">
            <v>2542.5</v>
          </cell>
        </row>
        <row r="88">
          <cell r="A88" t="str">
            <v>1118001060 Adiantamentos a Fornecedores de Fretes</v>
          </cell>
          <cell r="B88">
            <v>0</v>
          </cell>
        </row>
        <row r="89">
          <cell r="A89" t="str">
            <v>1118001070 Adiantamentos a Fornecedores do Exterior</v>
          </cell>
          <cell r="B89">
            <v>93344.31</v>
          </cell>
        </row>
        <row r="90">
          <cell r="A90" t="str">
            <v>1118001080 Adiantamentos a Fornecedores Impostos e Contribuiç</v>
          </cell>
          <cell r="B90">
            <v>0</v>
          </cell>
        </row>
        <row r="91">
          <cell r="A91" t="str">
            <v>Créditos a receber na venda de ativos</v>
          </cell>
          <cell r="B91">
            <v>5362173.1900000004</v>
          </cell>
        </row>
        <row r="92">
          <cell r="A92" t="str">
            <v>1118099060 Outros Créditos- Contratos a Receber (Realizado)</v>
          </cell>
          <cell r="B92">
            <v>5362173.1900000004</v>
          </cell>
        </row>
        <row r="93">
          <cell r="A93" t="str">
            <v>Outros Créditos</v>
          </cell>
          <cell r="B93">
            <v>733715.37</v>
          </cell>
        </row>
        <row r="94">
          <cell r="A94" t="str">
            <v>1118002020 Adiantamentos a Empregados 13º Salario (Realizado)</v>
          </cell>
          <cell r="B94">
            <v>441904.68</v>
          </cell>
        </row>
        <row r="95">
          <cell r="A95" t="str">
            <v>1118002030 Adiantamentos a Empregados Ferias (Realizado)</v>
          </cell>
          <cell r="B95">
            <v>94846.09</v>
          </cell>
        </row>
        <row r="96">
          <cell r="A96" t="str">
            <v>1118002050 Adiant a Empregados Plano Auxilio Doen (Realizado)</v>
          </cell>
          <cell r="B96">
            <v>6950</v>
          </cell>
        </row>
        <row r="97">
          <cell r="A97" t="str">
            <v>1118002060 Adto a Empregados Cobertura de Sdo Devedor (R)</v>
          </cell>
          <cell r="B97">
            <v>16175.77</v>
          </cell>
        </row>
        <row r="98">
          <cell r="A98" t="str">
            <v>1118002090 Adto a Empregados Desp de Resp de Funcionario (R)</v>
          </cell>
          <cell r="B98">
            <v>4308.33</v>
          </cell>
        </row>
        <row r="99">
          <cell r="A99" t="str">
            <v>1118099020 Outros Creditos-Depositos e Cauçoes (Realizado)</v>
          </cell>
          <cell r="B99">
            <v>169530.5</v>
          </cell>
        </row>
        <row r="100">
          <cell r="A100" t="str">
            <v>NÃO CIRCULANTE</v>
          </cell>
          <cell r="B100">
            <v>103189906.97</v>
          </cell>
        </row>
        <row r="101">
          <cell r="A101" t="str">
            <v>APLICAÇÕES FINANCEIRAS</v>
          </cell>
          <cell r="B101">
            <v>38346121.859999999</v>
          </cell>
        </row>
        <row r="102">
          <cell r="A102" t="str">
            <v>Mantidos para negociação</v>
          </cell>
          <cell r="B102">
            <v>38346121.859999999</v>
          </cell>
        </row>
        <row r="103">
          <cell r="A103" t="str">
            <v>1710201010 Tits do Merc de Cap Inter Mant p/ Neg  LP(R)</v>
          </cell>
          <cell r="B103">
            <v>38346121.859999999</v>
          </cell>
        </row>
        <row r="104">
          <cell r="A104" t="str">
            <v>DUPLICATAS A RECEBER DE CLIENTES</v>
          </cell>
          <cell r="B104">
            <v>1037241.78</v>
          </cell>
        </row>
        <row r="105">
          <cell r="A105" t="str">
            <v>Clientes nacionais</v>
          </cell>
          <cell r="B105">
            <v>1037241.78</v>
          </cell>
        </row>
        <row r="106">
          <cell r="A106" t="str">
            <v>1710501011 Duplicatas a Receber no MI LP (Parcela de CP / LP)</v>
          </cell>
          <cell r="B106">
            <v>1067419.8600000001</v>
          </cell>
        </row>
        <row r="107">
          <cell r="A107" t="str">
            <v>1710501014 (-)Rec Fin a apr s/ Dups a Rec no MI LP (P CP/LP)</v>
          </cell>
          <cell r="B107">
            <v>-30178.080000000002</v>
          </cell>
        </row>
        <row r="108">
          <cell r="A108" t="str">
            <v>IMPOSTOS A RECUPERAR</v>
          </cell>
          <cell r="B108">
            <v>2903174.17</v>
          </cell>
        </row>
        <row r="109">
          <cell r="A109" t="str">
            <v>ICMS a Recuperar</v>
          </cell>
          <cell r="B109">
            <v>2634955.61</v>
          </cell>
        </row>
        <row r="110">
          <cell r="A110" t="str">
            <v>1711507010 ICMS a Recuperar s/e Ativo Permanet LP (Realizado)</v>
          </cell>
          <cell r="B110">
            <v>2717796.64</v>
          </cell>
        </row>
        <row r="111">
          <cell r="A111" t="str">
            <v>1711507014 (-)AVP s/ ICMS a Recuperar s/ Ativo Permanente LP</v>
          </cell>
          <cell r="B111">
            <v>-82841.03</v>
          </cell>
        </row>
        <row r="112">
          <cell r="A112" t="str">
            <v>Outros</v>
          </cell>
          <cell r="B112">
            <v>268218.56</v>
          </cell>
        </row>
        <row r="113">
          <cell r="A113" t="str">
            <v>1711599040 FINSOCIAL 1982/83 (Realizado)</v>
          </cell>
          <cell r="B113">
            <v>268218.56</v>
          </cell>
        </row>
        <row r="114">
          <cell r="A114" t="str">
            <v>ESTOQUES</v>
          </cell>
          <cell r="B114">
            <v>13255700.75</v>
          </cell>
        </row>
        <row r="115">
          <cell r="A115" t="str">
            <v>Materiais de Almoxarifado de Giro Baixo</v>
          </cell>
          <cell r="B115">
            <v>13255700.75</v>
          </cell>
        </row>
        <row r="116">
          <cell r="A116" t="str">
            <v>1712020991 Estoque Almoxarifado Parcela Realizada LP</v>
          </cell>
          <cell r="B116">
            <v>13255700.75</v>
          </cell>
        </row>
        <row r="117">
          <cell r="A117" t="str">
            <v>DEPÓSITOS JUDICIAIS</v>
          </cell>
          <cell r="B117">
            <v>47647668.409999996</v>
          </cell>
        </row>
        <row r="118">
          <cell r="A118" t="str">
            <v>Tributários</v>
          </cell>
          <cell r="B118">
            <v>9079194.9600000009</v>
          </cell>
        </row>
        <row r="119">
          <cell r="A119" t="str">
            <v>1719001010 Dep Jud s/Res Trib Fed R</v>
          </cell>
          <cell r="B119">
            <v>7884493.1200000001</v>
          </cell>
        </row>
        <row r="120">
          <cell r="A120" t="str">
            <v>1719001011 ATM Dep Jud s/Res Trib Fed R</v>
          </cell>
          <cell r="B120">
            <v>836435.83</v>
          </cell>
        </row>
        <row r="121">
          <cell r="A121" t="str">
            <v>1719001030 Depos Jud s/Reserva-Imp, Taxas e Contrib Munic (R)</v>
          </cell>
          <cell r="B121">
            <v>358266.01</v>
          </cell>
        </row>
        <row r="122">
          <cell r="A122" t="str">
            <v>Trabalhistas</v>
          </cell>
          <cell r="B122">
            <v>5068933.1500000004</v>
          </cell>
        </row>
        <row r="123">
          <cell r="A123" t="str">
            <v>1719002010 Depos Jud s/Reserva-Reclamaçoes Trab (Realizado)</v>
          </cell>
          <cell r="B123">
            <v>3269601.95</v>
          </cell>
        </row>
        <row r="124">
          <cell r="A124" t="str">
            <v>1719002030 Dep Judiciais s/Res -Previdenciarios (Realizado)</v>
          </cell>
          <cell r="B124">
            <v>1799331.2</v>
          </cell>
        </row>
        <row r="125">
          <cell r="A125" t="str">
            <v>Outros depósitos judiciais</v>
          </cell>
          <cell r="B125">
            <v>33499540.300000001</v>
          </cell>
        </row>
        <row r="126">
          <cell r="A126" t="str">
            <v>1719003990 Outros Dep Judic s/Reserva de Nat Oper (Realizado)</v>
          </cell>
          <cell r="B126">
            <v>28307938.91</v>
          </cell>
        </row>
        <row r="127">
          <cell r="A127" t="str">
            <v>1719003991 ATM Outros Dep Judic s/Reserva Nat Oper (Realiz)</v>
          </cell>
          <cell r="B127">
            <v>5191601.3899999997</v>
          </cell>
        </row>
        <row r="128">
          <cell r="A128" t="str">
            <v>INVESTIMENTOS</v>
          </cell>
          <cell r="B128">
            <v>49238199.420000002</v>
          </cell>
        </row>
        <row r="129">
          <cell r="A129" t="str">
            <v>PARTICIPAÇÃO EM COLIGADA</v>
          </cell>
          <cell r="B129">
            <v>49238199.420000002</v>
          </cell>
        </row>
        <row r="130">
          <cell r="A130" t="str">
            <v>Tecsis tecnologia e sistemas avançados</v>
          </cell>
          <cell r="B130">
            <v>49238199.420000002</v>
          </cell>
        </row>
        <row r="131">
          <cell r="A131" t="str">
            <v>1720201010 Cto Part Per em Coligada ou ControladaTecsis</v>
          </cell>
          <cell r="B131">
            <v>1742170.1</v>
          </cell>
        </row>
        <row r="132">
          <cell r="A132" t="str">
            <v>1720201012 Agios em Partic Per Colig ou Control - Tecsis</v>
          </cell>
          <cell r="B132">
            <v>26896601.149999999</v>
          </cell>
        </row>
        <row r="133">
          <cell r="A133" t="str">
            <v>1720201014 Vlr Justo Ativos em Part Per Col Cont Tecsis</v>
          </cell>
          <cell r="B133">
            <v>58505815.5</v>
          </cell>
        </row>
        <row r="134">
          <cell r="A134" t="str">
            <v>1720201015 Realização Vlr Justo em Part Per Col Cont -Tecsis</v>
          </cell>
          <cell r="B134">
            <v>-14164211.609999999</v>
          </cell>
        </row>
        <row r="135">
          <cell r="A135" t="str">
            <v>1720201018 Ajust Aval Patrimonial em Part Per Col Cont Tecsis</v>
          </cell>
          <cell r="B135">
            <v>-23742175.719999999</v>
          </cell>
        </row>
        <row r="136">
          <cell r="A136" t="str">
            <v>IMOBILIZADO</v>
          </cell>
          <cell r="B136">
            <v>894528577.34000003</v>
          </cell>
        </row>
        <row r="137">
          <cell r="A137" t="str">
            <v>CUSTO</v>
          </cell>
          <cell r="B137">
            <v>1496330741.1300001</v>
          </cell>
        </row>
        <row r="138">
          <cell r="A138" t="str">
            <v>Terrenos</v>
          </cell>
          <cell r="B138">
            <v>247550000.00999999</v>
          </cell>
        </row>
        <row r="139">
          <cell r="A139" t="str">
            <v>1740101010 Imobilizado-Custo dos Terrenos</v>
          </cell>
          <cell r="B139">
            <v>2292264.9900000002</v>
          </cell>
        </row>
        <row r="140">
          <cell r="A140" t="str">
            <v>1740101011 Imobilizado-Mais Valia dos Terrenos</v>
          </cell>
          <cell r="B140">
            <v>122628867.51000001</v>
          </cell>
        </row>
        <row r="141">
          <cell r="A141" t="str">
            <v>1740101012 Imobilizado-Mais Valia Comb Neg dos Terrenos</v>
          </cell>
          <cell r="B141">
            <v>122628867.51000001</v>
          </cell>
        </row>
        <row r="142">
          <cell r="A142" t="str">
            <v>Edificações e construções</v>
          </cell>
          <cell r="B142">
            <v>146182324.72999999</v>
          </cell>
        </row>
        <row r="143">
          <cell r="A143" t="str">
            <v>1740102010 Imobilizado-Custo dos Edificios</v>
          </cell>
          <cell r="B143">
            <v>126107078.44</v>
          </cell>
        </row>
        <row r="144">
          <cell r="A144" t="str">
            <v>1740102011 Imobilizado-Mais Valia dos Edificios</v>
          </cell>
          <cell r="B144">
            <v>2867318.76</v>
          </cell>
        </row>
        <row r="145">
          <cell r="A145" t="str">
            <v>1740102012 Imobilizado-Mais Valia Comb Negocios dos Edificios</v>
          </cell>
          <cell r="B145">
            <v>2867318.76</v>
          </cell>
        </row>
        <row r="146">
          <cell r="A146" t="str">
            <v>1740102014 Imobilizado-Contrapartida do AVP de Edificios</v>
          </cell>
          <cell r="B146">
            <v>246130.39</v>
          </cell>
        </row>
        <row r="147">
          <cell r="A147" t="str">
            <v>1740102020 Imobilizado-Custo das Benfeitorias</v>
          </cell>
          <cell r="B147">
            <v>9745640.0999999996</v>
          </cell>
        </row>
        <row r="148">
          <cell r="A148" t="str">
            <v>1740102021 Imobilizado-Mais Valia Benfeitorias</v>
          </cell>
          <cell r="B148">
            <v>2173636.4</v>
          </cell>
        </row>
        <row r="149">
          <cell r="A149" t="str">
            <v>1740102022 Imobilizado-Mais Valia Comb Neg Benfeitorias</v>
          </cell>
          <cell r="B149">
            <v>2173636.4</v>
          </cell>
        </row>
        <row r="150">
          <cell r="A150" t="str">
            <v>1740102024 Imobilizado-Contrapartida do AVP de Beneficios</v>
          </cell>
          <cell r="B150">
            <v>1565.48</v>
          </cell>
        </row>
        <row r="151">
          <cell r="A151" t="str">
            <v>Equipamentos e Instalações</v>
          </cell>
          <cell r="B151">
            <v>1047608759.75</v>
          </cell>
        </row>
        <row r="152">
          <cell r="A152" t="str">
            <v>1740103010 Imobilizado-Custo de Equipamentos</v>
          </cell>
          <cell r="B152">
            <v>822181380.96000004</v>
          </cell>
        </row>
        <row r="153">
          <cell r="A153" t="str">
            <v>1740103011 Imobilizado-Mais Valia Equipamentos</v>
          </cell>
          <cell r="B153">
            <v>97193934.709999993</v>
          </cell>
        </row>
        <row r="154">
          <cell r="A154" t="str">
            <v>1740103012 Imobilizado-Mais Valia Comb Neg Equipamentos</v>
          </cell>
          <cell r="B154">
            <v>97193934.709999993</v>
          </cell>
        </row>
        <row r="155">
          <cell r="A155" t="str">
            <v>1740103014 Imobilizado-AVP Equipamentos</v>
          </cell>
          <cell r="B155">
            <v>8886376.2699999996</v>
          </cell>
        </row>
        <row r="156">
          <cell r="A156" t="str">
            <v>1740103020 Imobilizado-Custo dos Sobressalentes</v>
          </cell>
          <cell r="B156">
            <v>17608026.75</v>
          </cell>
        </row>
        <row r="157">
          <cell r="A157" t="str">
            <v>1740103021 Imobilizado-Mais Valia dos Sobressalentes</v>
          </cell>
          <cell r="B157">
            <v>2255648.7999999998</v>
          </cell>
        </row>
        <row r="158">
          <cell r="A158" t="str">
            <v>1740103022 Imobilizado-Custo dos Sobressalentes</v>
          </cell>
          <cell r="B158">
            <v>2255648.7999999998</v>
          </cell>
        </row>
        <row r="159">
          <cell r="A159" t="str">
            <v>1740105020 Imobilizado-Custo de Veiculos Fora de Estrada</v>
          </cell>
          <cell r="B159">
            <v>33808.75</v>
          </cell>
        </row>
        <row r="160">
          <cell r="A160" t="str">
            <v>Veículos</v>
          </cell>
          <cell r="B160">
            <v>1125940.8799999999</v>
          </cell>
        </row>
        <row r="161">
          <cell r="A161" t="str">
            <v>1740105010 Imob-Custo de Veiculos de Passageiros e Carga</v>
          </cell>
          <cell r="B161">
            <v>1122489.74</v>
          </cell>
        </row>
        <row r="162">
          <cell r="A162" t="str">
            <v>1740105011 Imob-Mais Valia de Veiculos de Passageiros e Carga</v>
          </cell>
          <cell r="B162">
            <v>1584.93</v>
          </cell>
        </row>
        <row r="163">
          <cell r="A163" t="str">
            <v>1740105012 Imob-Mais Valia de Veiculos de Passageiros e Carga</v>
          </cell>
          <cell r="B163">
            <v>1584.93</v>
          </cell>
        </row>
        <row r="164">
          <cell r="A164" t="str">
            <v>1740105014 Imob-AVP de Veiculos de Passageiros e Carga</v>
          </cell>
          <cell r="B164">
            <v>281.27999999999997</v>
          </cell>
        </row>
        <row r="165">
          <cell r="A165" t="str">
            <v>Móveis e utensílios</v>
          </cell>
          <cell r="B165">
            <v>12095920.23</v>
          </cell>
        </row>
        <row r="166">
          <cell r="A166" t="str">
            <v>1740104010 Imob-Custo de Moveis, Utensilios e Inst Comerciais</v>
          </cell>
          <cell r="B166">
            <v>12051097.390000001</v>
          </cell>
        </row>
        <row r="167">
          <cell r="A167" t="str">
            <v>1740104014 Imob-AVP de Moveis, Utensilios e Inst Comerciais</v>
          </cell>
          <cell r="B167">
            <v>44822.84</v>
          </cell>
        </row>
        <row r="168">
          <cell r="A168" t="str">
            <v>Demais bens</v>
          </cell>
          <cell r="B168">
            <v>11091064.52</v>
          </cell>
        </row>
        <row r="169">
          <cell r="A169" t="str">
            <v>1740199010 Imobilizado-Custo de Material Auxiliar Permanente</v>
          </cell>
          <cell r="B169">
            <v>2511016.21</v>
          </cell>
        </row>
        <row r="170">
          <cell r="A170" t="str">
            <v>1740199070 Imobilizado-Custo de Computadores e Perifericos</v>
          </cell>
          <cell r="B170">
            <v>8543726.6899999995</v>
          </cell>
        </row>
        <row r="171">
          <cell r="A171" t="str">
            <v>1740199074 Imobilizado- AVP de Computadores e Perifericos</v>
          </cell>
          <cell r="B171">
            <v>36321.620000000003</v>
          </cell>
        </row>
        <row r="172">
          <cell r="A172" t="str">
            <v>imobilizado em andamento</v>
          </cell>
          <cell r="B172">
            <v>30676731.010000002</v>
          </cell>
        </row>
        <row r="173">
          <cell r="A173" t="str">
            <v>1745001010 Imob Andament-Custo das Aquisiçoes p/Imob (Receb)</v>
          </cell>
          <cell r="B173">
            <v>24670464.649999999</v>
          </cell>
        </row>
        <row r="174">
          <cell r="A174" t="str">
            <v>1745001014 Contrapartida dos Aj a Vr Presente de IeA</v>
          </cell>
          <cell r="B174">
            <v>112391.91</v>
          </cell>
        </row>
        <row r="175">
          <cell r="A175" t="str">
            <v>1745001020 Imob And-Cto das Aquisiç de Sobres de Imob (Receb)</v>
          </cell>
          <cell r="B175">
            <v>569044.41</v>
          </cell>
        </row>
        <row r="176">
          <cell r="A176" t="str">
            <v>1745002030 Imob And-Cto dos Adiants p/Aquis de Imobiliz (T)</v>
          </cell>
          <cell r="B176">
            <v>550121.36</v>
          </cell>
        </row>
        <row r="177">
          <cell r="A177" t="str">
            <v>1745099010 Imob And-Encar Fin s/ Aquis de Imob-Juros (Realiz)</v>
          </cell>
          <cell r="B177">
            <v>2754919.23</v>
          </cell>
        </row>
        <row r="178">
          <cell r="A178" t="str">
            <v>1745099030 Imob And-Encar Fin s/ Aquis de Imob-Var Cam (R)</v>
          </cell>
          <cell r="B178">
            <v>2019789.45</v>
          </cell>
        </row>
        <row r="179">
          <cell r="A179" t="str">
            <v>DEPRECIAÇÃO</v>
          </cell>
          <cell r="B179">
            <v>-601802163.78999996</v>
          </cell>
        </row>
        <row r="180">
          <cell r="A180" t="str">
            <v>Edificações e construções</v>
          </cell>
          <cell r="B180">
            <v>-46939396.240000002</v>
          </cell>
        </row>
        <row r="181">
          <cell r="A181" t="str">
            <v>1740502010 (-)Depreciaçao-Custo dos Edificios</v>
          </cell>
          <cell r="B181">
            <v>-39856678</v>
          </cell>
        </row>
        <row r="182">
          <cell r="A182" t="str">
            <v>1740502011 (-)Depreciaçao-Mais Valia Edificios</v>
          </cell>
          <cell r="B182">
            <v>-172805.14</v>
          </cell>
        </row>
        <row r="183">
          <cell r="A183" t="str">
            <v>1740502012 (-)Depreciaçao-Mais Valia Combin Neg Edificios</v>
          </cell>
          <cell r="B183">
            <v>-172805.14</v>
          </cell>
        </row>
        <row r="184">
          <cell r="A184" t="str">
            <v>1740502014 (-)Depr-Contrapartida do AVP de Edificios</v>
          </cell>
          <cell r="B184">
            <v>-33526.26</v>
          </cell>
        </row>
        <row r="185">
          <cell r="A185" t="str">
            <v>1740502020 (-)Depreciaçao-Custo das Benfeitorias</v>
          </cell>
          <cell r="B185">
            <v>-6198644.3899999997</v>
          </cell>
        </row>
        <row r="186">
          <cell r="A186" t="str">
            <v>1740502021 (-)Depreciaçao-Mais Valia Benfeitorias</v>
          </cell>
          <cell r="B186">
            <v>-252293.59</v>
          </cell>
        </row>
        <row r="187">
          <cell r="A187" t="str">
            <v>1740502022 (-)Depreciaçao-Mais Valia Combin Neg Benfeitorias</v>
          </cell>
          <cell r="B187">
            <v>-252293.59</v>
          </cell>
        </row>
        <row r="188">
          <cell r="A188" t="str">
            <v>1740502024 (-)Depr-Contrapartida do AVP de Benfeitorias</v>
          </cell>
          <cell r="B188">
            <v>-350.13</v>
          </cell>
        </row>
        <row r="189">
          <cell r="A189" t="str">
            <v>Equipamentos e Instalações</v>
          </cell>
          <cell r="B189">
            <v>-538282082.65999997</v>
          </cell>
        </row>
        <row r="190">
          <cell r="A190" t="str">
            <v>1740503010 (-)Depreciaçao-Custo de Equipamentos</v>
          </cell>
          <cell r="B190">
            <v>-504202445.81</v>
          </cell>
        </row>
        <row r="191">
          <cell r="A191" t="str">
            <v>1740503011 (-)Depreciaçao-Mais Valia Equipamentos</v>
          </cell>
          <cell r="B191">
            <v>-10615757.470000001</v>
          </cell>
        </row>
        <row r="192">
          <cell r="A192" t="str">
            <v>1740503012 (-)Depreciaçao-Mais Valia Combin Neg Equipamentos</v>
          </cell>
          <cell r="B192">
            <v>-10615757.470000001</v>
          </cell>
        </row>
        <row r="193">
          <cell r="A193" t="str">
            <v>1740503014 (-)Depr-Contrapartida do AVP de Equipamentos</v>
          </cell>
          <cell r="B193">
            <v>-2828075.05</v>
          </cell>
        </row>
        <row r="194">
          <cell r="A194" t="str">
            <v>1740503020 (-)Depreciaçao-Custo dos Sobressalentes</v>
          </cell>
          <cell r="B194">
            <v>-9508741.25</v>
          </cell>
        </row>
        <row r="195">
          <cell r="A195" t="str">
            <v>1740503021 (-)Depreciaçao-Mais Valia Sobressalentes</v>
          </cell>
          <cell r="B195">
            <v>-246675.23</v>
          </cell>
        </row>
        <row r="196">
          <cell r="A196" t="str">
            <v>1740503022 (-)Depreciaçao-Mais Valia Combin Neg Sobressalente</v>
          </cell>
          <cell r="B196">
            <v>-246675.23</v>
          </cell>
        </row>
        <row r="197">
          <cell r="A197" t="str">
            <v>1740505020 (-)Depreciaçao-Custo de Veiculos Fora da Estrada</v>
          </cell>
          <cell r="B197">
            <v>-17955.150000000001</v>
          </cell>
        </row>
        <row r="198">
          <cell r="A198" t="str">
            <v>Veículos</v>
          </cell>
          <cell r="B198">
            <v>-698351.02</v>
          </cell>
        </row>
        <row r="199">
          <cell r="A199" t="str">
            <v>1740505010 (-)Depr-Custo de Veiculos de Passageiros e Carga</v>
          </cell>
          <cell r="B199">
            <v>-696220.66</v>
          </cell>
        </row>
        <row r="200">
          <cell r="A200" t="str">
            <v>1740505011 (-)Depreciaçao-Mais Valia Veiculos</v>
          </cell>
          <cell r="B200">
            <v>-924.54</v>
          </cell>
        </row>
        <row r="201">
          <cell r="A201" t="str">
            <v>1740505012 (-)Depreciaçao-Mais Valia Combin Neg Veiculos</v>
          </cell>
          <cell r="B201">
            <v>-924.54</v>
          </cell>
        </row>
        <row r="202">
          <cell r="A202" t="str">
            <v>1740505014 (-)Depr-Contrapartida do AVP de Veículos</v>
          </cell>
          <cell r="B202">
            <v>-281.27999999999997</v>
          </cell>
        </row>
        <row r="203">
          <cell r="A203" t="str">
            <v>Móveis e utensílios</v>
          </cell>
          <cell r="B203">
            <v>-8696205.5999999996</v>
          </cell>
        </row>
        <row r="204">
          <cell r="A204" t="str">
            <v>1740504010 (-)Depreciaçao-Custo dos Móveis, Utens e Inst Com</v>
          </cell>
          <cell r="B204">
            <v>-8681478.3800000008</v>
          </cell>
        </row>
        <row r="205">
          <cell r="A205" t="str">
            <v>1740504014 (-)Depr-Contrapartida do AVP de Móveis, Utens</v>
          </cell>
          <cell r="B205">
            <v>-14727.22</v>
          </cell>
        </row>
        <row r="206">
          <cell r="A206" t="str">
            <v>Demais bens</v>
          </cell>
          <cell r="B206">
            <v>-7186128.2699999996</v>
          </cell>
        </row>
        <row r="207">
          <cell r="A207" t="str">
            <v>1740599070 (-)Depreciaçao-Custo de Computadores e Perifericos</v>
          </cell>
          <cell r="B207">
            <v>-7161501.9000000004</v>
          </cell>
        </row>
        <row r="208">
          <cell r="A208" t="str">
            <v>1740599074 (-)Depr-Contrap do AVP dos Computad Perifericos</v>
          </cell>
          <cell r="B208">
            <v>-24626.37</v>
          </cell>
        </row>
        <row r="209">
          <cell r="A209" t="str">
            <v>INTANGÍVEL</v>
          </cell>
          <cell r="B209">
            <v>286766935.95999998</v>
          </cell>
        </row>
        <row r="210">
          <cell r="A210" t="str">
            <v>INTANGÍVEL EM OPERAÇÃO</v>
          </cell>
          <cell r="B210">
            <v>286766935.95999998</v>
          </cell>
        </row>
        <row r="211">
          <cell r="A211" t="str">
            <v>Ágio - combinação de negócio em estágios</v>
          </cell>
          <cell r="B211">
            <v>195808784.34999999</v>
          </cell>
        </row>
        <row r="212">
          <cell r="A212" t="str">
            <v>1750190012 Intangivel Op-Mais Valia C N Ativ n Alocados</v>
          </cell>
          <cell r="B212">
            <v>195808784.34999999</v>
          </cell>
        </row>
        <row r="213">
          <cell r="A213" t="str">
            <v>Carteira de clientes</v>
          </cell>
          <cell r="B213">
            <v>0</v>
          </cell>
        </row>
        <row r="214">
          <cell r="A214" t="str">
            <v>1750103011 Intangivel Op-Mais Valia de Carteira de Clientes</v>
          </cell>
          <cell r="B214">
            <v>106000</v>
          </cell>
        </row>
        <row r="215">
          <cell r="A215" t="str">
            <v>1750103012 Intangivel Op-Mais Valia de Carteira Clientes C N</v>
          </cell>
          <cell r="B215">
            <v>106000</v>
          </cell>
        </row>
        <row r="216">
          <cell r="A216" t="str">
            <v>1750603011 (-)Amort-Mais Valia Carteira de Clientes</v>
          </cell>
          <cell r="B216">
            <v>-106000</v>
          </cell>
        </row>
        <row r="217">
          <cell r="A217" t="str">
            <v>1750603012 (-)Amort-Mais Valia C N Carteira de Clientes</v>
          </cell>
          <cell r="B217">
            <v>-106000</v>
          </cell>
        </row>
        <row r="218">
          <cell r="A218" t="str">
            <v>Direito de uso de software e pesquisa e desen</v>
          </cell>
          <cell r="B218">
            <v>13784178.35</v>
          </cell>
        </row>
        <row r="219">
          <cell r="A219" t="str">
            <v>1750101010 Intangivel Op-Custo das Marcas e Patentes</v>
          </cell>
          <cell r="B219">
            <v>1385.16</v>
          </cell>
        </row>
        <row r="220">
          <cell r="A220" t="str">
            <v>1750102010 Intangivel Op-Cto das Software ou Prog de Comput</v>
          </cell>
          <cell r="B220">
            <v>19883267.920000002</v>
          </cell>
        </row>
        <row r="221">
          <cell r="A221" t="str">
            <v>1750102014 Intangivel Op-AV de Software ou Prog de Comput</v>
          </cell>
          <cell r="B221">
            <v>61858.13</v>
          </cell>
        </row>
        <row r="222">
          <cell r="A222" t="str">
            <v>1750602010 (-)Amort-Cto dos Software ou Programas de Comput</v>
          </cell>
          <cell r="B222">
            <v>-6150376.2300000004</v>
          </cell>
        </row>
        <row r="223">
          <cell r="A223" t="str">
            <v>1750602014 (-)Amort-Contrapartida do AVP de Softwares</v>
          </cell>
          <cell r="B223">
            <v>-11956.63</v>
          </cell>
        </row>
        <row r="224">
          <cell r="A224" t="str">
            <v>Ágio Goodwill</v>
          </cell>
          <cell r="B224">
            <v>116930262.52</v>
          </cell>
        </row>
        <row r="225">
          <cell r="A225" t="str">
            <v>1750190011 Intangivel Op-Mais Valia Ativ n Alocados</v>
          </cell>
          <cell r="B225">
            <v>116930262.52</v>
          </cell>
        </row>
        <row r="226">
          <cell r="A226" t="str">
            <v>Tributos diferidos s/ágio não alocado</v>
          </cell>
          <cell r="B226">
            <v>-39756289.259999998</v>
          </cell>
        </row>
        <row r="227">
          <cell r="A227" t="str">
            <v>1750190021 Intangivel Op-Tribs Dif S/Mais Valia de Ativos (R)</v>
          </cell>
          <cell r="B227">
            <v>-39756289.259999998</v>
          </cell>
        </row>
        <row r="228">
          <cell r="A228" t="str">
            <v>1754901020 Trib Diferidos s/Mais Valia CN Ativos Imob (Realiz</v>
          </cell>
          <cell r="B228">
            <v>-73383066.489999995</v>
          </cell>
        </row>
        <row r="229">
          <cell r="A229" t="str">
            <v>1754901021 Trib Diferidos s/Mais Valia CN At Imob (Tr Passivo</v>
          </cell>
          <cell r="B229">
            <v>73383066.489999995</v>
          </cell>
        </row>
        <row r="230">
          <cell r="A230" t="str">
            <v>PASSIVO E PATRIMÔNIO LÍQUIDO</v>
          </cell>
          <cell r="B230">
            <v>-1678126390.71</v>
          </cell>
        </row>
        <row r="231">
          <cell r="A231" t="str">
            <v>CIRCULANTE</v>
          </cell>
          <cell r="B231">
            <v>-269118084.36000001</v>
          </cell>
        </row>
        <row r="232">
          <cell r="A232" t="str">
            <v>FORNECEDORES</v>
          </cell>
          <cell r="B232">
            <v>-22095082.609999999</v>
          </cell>
        </row>
        <row r="233">
          <cell r="A233" t="str">
            <v>Serviços</v>
          </cell>
          <cell r="B233">
            <v>-1765002.3</v>
          </cell>
        </row>
        <row r="234">
          <cell r="A234" t="str">
            <v>2110101010 Fornecedores Nacionais de Serviços (Realizado)</v>
          </cell>
          <cell r="B234">
            <v>-1765002.3</v>
          </cell>
        </row>
        <row r="235">
          <cell r="A235" t="str">
            <v>Matérias Primas</v>
          </cell>
          <cell r="B235">
            <v>-3833348.99</v>
          </cell>
        </row>
        <row r="236">
          <cell r="A236" t="str">
            <v>2110101020 Fornecedores Nacionais de MP (Realizado)</v>
          </cell>
          <cell r="B236">
            <v>-3828902.5</v>
          </cell>
        </row>
        <row r="237">
          <cell r="A237" t="str">
            <v>2110102020 Fornecedores do Exterior de MP (Realizado)</v>
          </cell>
          <cell r="B237">
            <v>-4446.49</v>
          </cell>
        </row>
        <row r="238">
          <cell r="A238" t="str">
            <v>Fretes</v>
          </cell>
          <cell r="B238">
            <v>-4820763.8</v>
          </cell>
        </row>
        <row r="239">
          <cell r="A239" t="str">
            <v>2110101070 Fornecedores Nacionais de Fretes (Realizado)</v>
          </cell>
          <cell r="B239">
            <v>-4820763.8</v>
          </cell>
        </row>
        <row r="240">
          <cell r="A240" t="str">
            <v>Materiais de Consumo</v>
          </cell>
          <cell r="B240">
            <v>-1263487.69</v>
          </cell>
        </row>
        <row r="241">
          <cell r="A241" t="str">
            <v>2110101040 Fornecedores Nacionais de Mat de Cons(Realizado)</v>
          </cell>
          <cell r="B241">
            <v>-1219803.31</v>
          </cell>
        </row>
        <row r="242">
          <cell r="A242" t="str">
            <v>2110102040 Fornecedores do Ext de Mat de Cons (Realizado)</v>
          </cell>
          <cell r="B242">
            <v>-43684.38</v>
          </cell>
        </row>
        <row r="243">
          <cell r="A243" t="str">
            <v>Demais tipos de fornecedores</v>
          </cell>
          <cell r="B243">
            <v>-10412479.83</v>
          </cell>
        </row>
        <row r="244">
          <cell r="A244" t="str">
            <v>2110101030 Fornecedores Nacionais de Energia (Realizado)</v>
          </cell>
          <cell r="B244">
            <v>-7615977.5300000003</v>
          </cell>
        </row>
        <row r="245">
          <cell r="A245" t="str">
            <v>2110101050 Fornecedores Nacionais Funcionarios (Realizado)</v>
          </cell>
          <cell r="B245">
            <v>19636.990000000002</v>
          </cell>
        </row>
        <row r="246">
          <cell r="A246" t="str">
            <v>2110101060 Fornecedores Nacionais Imps e Contrib (Realizado)</v>
          </cell>
          <cell r="B246">
            <v>-1372855.85</v>
          </cell>
        </row>
        <row r="247">
          <cell r="A247" t="str">
            <v>2110199010 Entrada de Mercadoria e de Fat (EM/EF) (Realizado)</v>
          </cell>
          <cell r="B247">
            <v>0</v>
          </cell>
        </row>
        <row r="248">
          <cell r="A248" t="str">
            <v>2110199011 Provisao de Entrada de Mercad e de Fatura (EM/EF)</v>
          </cell>
          <cell r="B248">
            <v>-1443283.44</v>
          </cell>
        </row>
        <row r="249">
          <cell r="A249" t="str">
            <v>EMPRÉSTIMOS</v>
          </cell>
          <cell r="B249">
            <v>-179625185.40000001</v>
          </cell>
        </row>
        <row r="250">
          <cell r="A250" t="str">
            <v>Moeda nacional</v>
          </cell>
          <cell r="B250">
            <v>-177337607.58000001</v>
          </cell>
        </row>
        <row r="251">
          <cell r="A251" t="str">
            <v>2110502010 Emprest e Financs em Moeda Nacional CP (Realizado)</v>
          </cell>
          <cell r="B251">
            <v>-153572841.96000001</v>
          </cell>
        </row>
        <row r="252">
          <cell r="A252" t="str">
            <v>2110502020 Juros s/Empr Fin em Moeda Nacional CP (Realizado)</v>
          </cell>
          <cell r="B252">
            <v>-18261561.41</v>
          </cell>
        </row>
        <row r="253">
          <cell r="A253" t="str">
            <v>2110502500 Custo de Emprest e Finan Amort em MN CP (Realiz)</v>
          </cell>
          <cell r="B253">
            <v>-5503204.21</v>
          </cell>
        </row>
        <row r="254">
          <cell r="A254" t="str">
            <v>Moeda estrangeira</v>
          </cell>
          <cell r="B254">
            <v>-2287577.8199999998</v>
          </cell>
        </row>
        <row r="255">
          <cell r="A255" t="str">
            <v>2110502600 Emprestimos e Finan em Moeda Estrang CP (Realiz)</v>
          </cell>
          <cell r="B255">
            <v>-2266647.44</v>
          </cell>
        </row>
        <row r="256">
          <cell r="A256" t="str">
            <v>2110502610 Jur s/Emprest e Finan Moeda Estrang CP (Realizado)</v>
          </cell>
          <cell r="B256">
            <v>-20930.38</v>
          </cell>
        </row>
        <row r="257">
          <cell r="A257" t="str">
            <v>SALÁRIOS E ENCARGOS SOCIAIS</v>
          </cell>
          <cell r="B257">
            <v>-20545857.170000002</v>
          </cell>
        </row>
        <row r="258">
          <cell r="A258" t="str">
            <v>Salários, Férias e Gratificações</v>
          </cell>
          <cell r="B258">
            <v>-16671238.289999999</v>
          </cell>
        </row>
        <row r="259">
          <cell r="A259" t="str">
            <v>2111001010 Salarios a Pagar (Realizado)</v>
          </cell>
          <cell r="B259">
            <v>-3.78</v>
          </cell>
        </row>
        <row r="260">
          <cell r="A260" t="str">
            <v>2111001050 Provisao de 13º Salario (Realizado)</v>
          </cell>
          <cell r="B260">
            <v>-1811034.78</v>
          </cell>
        </row>
        <row r="261">
          <cell r="A261" t="str">
            <v>2111001060 Provisao de Ferias (Realizado)</v>
          </cell>
          <cell r="B261">
            <v>-5347333.63</v>
          </cell>
        </row>
        <row r="262">
          <cell r="A262" t="str">
            <v>2111001080 Provisao de Gratificaçoes Ferias (Realizado)</v>
          </cell>
          <cell r="B262">
            <v>-3263738.1</v>
          </cell>
        </row>
        <row r="263">
          <cell r="A263" t="str">
            <v>2111001090 Provisao de Gratificaçoes Diretores Estatutários</v>
          </cell>
          <cell r="B263">
            <v>-2642358</v>
          </cell>
        </row>
        <row r="264">
          <cell r="A264" t="str">
            <v>2111001100 Provisão de Gratificações  - CLT</v>
          </cell>
          <cell r="B264">
            <v>-3606770</v>
          </cell>
        </row>
        <row r="265">
          <cell r="A265" t="str">
            <v>INSS</v>
          </cell>
          <cell r="B265">
            <v>-2999284.23</v>
          </cell>
        </row>
        <row r="266">
          <cell r="A266" t="str">
            <v>2111005010 Contrib Prev a Recolher-INSS s/Folha (Realizado)</v>
          </cell>
          <cell r="B266">
            <v>-1215533.5900000001</v>
          </cell>
        </row>
        <row r="267">
          <cell r="A267" t="str">
            <v>2111005020 Contrib Prev a Recolher-INSS s/Autonomos (Realiz)</v>
          </cell>
          <cell r="B267">
            <v>-13080.74</v>
          </cell>
        </row>
        <row r="268">
          <cell r="A268" t="str">
            <v>2111005030 Contrib Prev a Recolher-INSS s/Cooperativas (Real)</v>
          </cell>
          <cell r="B268">
            <v>-312.42</v>
          </cell>
        </row>
        <row r="269">
          <cell r="A269" t="str">
            <v>2111005040 Contrib Prev a Recolher-INSS Termo Coop SENAI (R)</v>
          </cell>
          <cell r="B269">
            <v>-11321.86</v>
          </cell>
        </row>
        <row r="270">
          <cell r="A270" t="str">
            <v>2111005050 Prov de Contrib Prev-INSS sobre 13º Salario (R)</v>
          </cell>
          <cell r="B270">
            <v>-444928.23</v>
          </cell>
        </row>
        <row r="271">
          <cell r="A271" t="str">
            <v>2111005060 Prov de Contrib Prev-INSS sobre Ferias (Realizado)</v>
          </cell>
          <cell r="B271">
            <v>-1314107.3899999999</v>
          </cell>
        </row>
        <row r="272">
          <cell r="A272" t="str">
            <v>FGTS</v>
          </cell>
          <cell r="B272">
            <v>-875334.65</v>
          </cell>
        </row>
        <row r="273">
          <cell r="A273" t="str">
            <v>2111006010 Contrib Prev a Recolher-FGTS s/Folha (Realizado)</v>
          </cell>
          <cell r="B273">
            <v>-303503.89</v>
          </cell>
        </row>
        <row r="274">
          <cell r="A274" t="str">
            <v>2111006050 Prov Contrib Prev-FGTS s/ 13º Salario (Realizado)</v>
          </cell>
          <cell r="B274">
            <v>-144524.18</v>
          </cell>
        </row>
        <row r="275">
          <cell r="A275" t="str">
            <v>2111006060 Prov Contrib Prev-FGTS sobre Ferias (Realizado)</v>
          </cell>
          <cell r="B275">
            <v>-427306.58</v>
          </cell>
        </row>
        <row r="276">
          <cell r="A276" t="str">
            <v>IMPOSTOS DE RENDA E CONTRIBUIÇÃO SOCIAL</v>
          </cell>
          <cell r="B276">
            <v>-5602119.1500000004</v>
          </cell>
        </row>
        <row r="277">
          <cell r="A277" t="str">
            <v>IRPJ e CSLL</v>
          </cell>
          <cell r="B277">
            <v>-5602119.1500000004</v>
          </cell>
        </row>
        <row r="278">
          <cell r="A278" t="str">
            <v>1111001010 Antecipaçoes de CSLL (Realizado)</v>
          </cell>
          <cell r="B278">
            <v>2841920.59</v>
          </cell>
        </row>
        <row r="279">
          <cell r="A279" t="str">
            <v>1111001020 Antecipaçoes de IRPJ (Realizado)</v>
          </cell>
          <cell r="B279">
            <v>6663699.2999999998</v>
          </cell>
        </row>
        <row r="280">
          <cell r="A280" t="str">
            <v>2112001010 Prov p/ CSLL s/Resultado Operacional (Realizado)</v>
          </cell>
          <cell r="B280">
            <v>-7918242.4100000001</v>
          </cell>
        </row>
        <row r="281">
          <cell r="A281" t="str">
            <v>2112001020 Provisao p/ CSLL Diferida (Realizado)</v>
          </cell>
          <cell r="B281">
            <v>52529.95</v>
          </cell>
        </row>
        <row r="282">
          <cell r="A282" t="str">
            <v>2112001030 Provisao p/ CSLL Diferida s/Depreciaçao Fiscal (R)</v>
          </cell>
          <cell r="B282">
            <v>2331070.98</v>
          </cell>
        </row>
        <row r="283">
          <cell r="A283" t="str">
            <v>2112001040 Contribuição Social s/Compensação Base Negativa (R</v>
          </cell>
          <cell r="B283">
            <v>1660392.3</v>
          </cell>
        </row>
        <row r="284">
          <cell r="A284" t="str">
            <v>2112002010 Prov p/  IR s/Resultando Operacional (Realizado)</v>
          </cell>
          <cell r="B284">
            <v>-22447899.75</v>
          </cell>
        </row>
        <row r="285">
          <cell r="A285" t="str">
            <v>2112002020 Provisao para IR Diferida (Realizado)</v>
          </cell>
          <cell r="B285">
            <v>-138548.28</v>
          </cell>
        </row>
        <row r="286">
          <cell r="A286" t="str">
            <v>2112002030 Provisao p/ IR Diferida s/Depreciaçao Fiscal (R)</v>
          </cell>
          <cell r="B286">
            <v>6475192.9000000004</v>
          </cell>
        </row>
        <row r="287">
          <cell r="A287" t="str">
            <v>2112002040 Imposto de Renda s/ Compensação Prejuízo Fiscal (R</v>
          </cell>
          <cell r="B287">
            <v>4877765.2699999996</v>
          </cell>
        </row>
        <row r="288">
          <cell r="A288" t="str">
            <v>OUTROS IMPOSTOS E CONTRIBUIÇÕES A PAGAR</v>
          </cell>
          <cell r="B288">
            <v>-10574191.18</v>
          </cell>
        </row>
        <row r="289">
          <cell r="A289" t="str">
            <v>ICMS a recolher</v>
          </cell>
          <cell r="B289">
            <v>-6513950.96</v>
          </cell>
        </row>
        <row r="290">
          <cell r="A290" t="str">
            <v>2113005300 ICMS a Recolher (Realizado)</v>
          </cell>
          <cell r="B290">
            <v>-6513950.96</v>
          </cell>
        </row>
        <row r="291">
          <cell r="A291" t="str">
            <v>PIS a recolher</v>
          </cell>
          <cell r="B291">
            <v>-534775.49</v>
          </cell>
        </row>
        <row r="292">
          <cell r="A292" t="str">
            <v>2113005010 PIS a Recolher (Realizado)</v>
          </cell>
          <cell r="B292">
            <v>-534775.49</v>
          </cell>
        </row>
        <row r="293">
          <cell r="A293" t="str">
            <v>ISS a recolher</v>
          </cell>
          <cell r="B293">
            <v>0</v>
          </cell>
        </row>
        <row r="294">
          <cell r="A294" t="str">
            <v>2113005600 ISS a Recolher (Realizado)</v>
          </cell>
          <cell r="B294">
            <v>0</v>
          </cell>
        </row>
        <row r="295">
          <cell r="A295" t="str">
            <v>Cofins a recolher</v>
          </cell>
          <cell r="B295">
            <v>-2464662.3199999998</v>
          </cell>
        </row>
        <row r="296">
          <cell r="A296" t="str">
            <v>2113005020 COFINS a Recolher (Realizado)</v>
          </cell>
          <cell r="B296">
            <v>-2464662.3199999998</v>
          </cell>
        </row>
        <row r="297">
          <cell r="A297" t="str">
            <v>Obrigações tributárias s/ servs.de terceiros</v>
          </cell>
          <cell r="B297">
            <v>-1060802.3799999999</v>
          </cell>
        </row>
        <row r="298">
          <cell r="A298" t="str">
            <v>2113001010 IR de Funcionarios (Realizado)</v>
          </cell>
          <cell r="B298">
            <v>-693949.59</v>
          </cell>
        </row>
        <row r="299">
          <cell r="A299" t="str">
            <v>2113001200 Imposto Sindical de Funcionarios (Realizado)</v>
          </cell>
          <cell r="B299">
            <v>-2107.6</v>
          </cell>
        </row>
        <row r="300">
          <cell r="A300" t="str">
            <v>2113001300 Imposto de Renda s/Servs de Terceiros (Realizado)</v>
          </cell>
          <cell r="B300">
            <v>-42516.639999999999</v>
          </cell>
        </row>
        <row r="301">
          <cell r="A301" t="str">
            <v>2113001310 INSS s/Serviços de Terceiros PF</v>
          </cell>
          <cell r="B301">
            <v>-1778.37</v>
          </cell>
        </row>
        <row r="302">
          <cell r="A302" t="str">
            <v>2113001320 INSS s/Serviços de Terceiros PJ</v>
          </cell>
          <cell r="B302">
            <v>-131153.29999999999</v>
          </cell>
        </row>
        <row r="303">
          <cell r="A303" t="str">
            <v>2113001350 CSLL s/Serviços de Terceiros (Realizado)</v>
          </cell>
          <cell r="B303">
            <v>-13552.88</v>
          </cell>
        </row>
        <row r="304">
          <cell r="A304" t="str">
            <v>2113001360 PIS s/Serviços de Terceiros (Realizado)</v>
          </cell>
          <cell r="B304">
            <v>-8992.43</v>
          </cell>
        </row>
        <row r="305">
          <cell r="A305" t="str">
            <v>2113001370 COFINS s/Serviços de Terceiros (Realizado)</v>
          </cell>
          <cell r="B305">
            <v>-41502.92</v>
          </cell>
        </row>
        <row r="306">
          <cell r="A306" t="str">
            <v>2113001400 ISS s/Serviços de Terceiros (Realizado)</v>
          </cell>
          <cell r="B306">
            <v>-125248.65</v>
          </cell>
        </row>
        <row r="307">
          <cell r="A307" t="str">
            <v>Outros</v>
          </cell>
          <cell r="B307">
            <v>-0.03</v>
          </cell>
        </row>
        <row r="308">
          <cell r="A308" t="str">
            <v>2113099010 CIDE s/Remessas ao Exterior a Recolher (Realizado)</v>
          </cell>
          <cell r="B308">
            <v>-0.02</v>
          </cell>
        </row>
        <row r="309">
          <cell r="A309" t="str">
            <v>2113099020 IOF s/Remessas ao Exterior a Recolher (Realizado)</v>
          </cell>
          <cell r="B309">
            <v>-0.01</v>
          </cell>
        </row>
        <row r="310">
          <cell r="A310" t="str">
            <v>DIVIDENDOS E JUROS S/ CAPITAL PROPRIO A PAGAR</v>
          </cell>
          <cell r="B310">
            <v>-1710041.51</v>
          </cell>
        </row>
        <row r="311">
          <cell r="A311" t="str">
            <v>Dividendos a pagar</v>
          </cell>
          <cell r="B311">
            <v>-1710041.51</v>
          </cell>
        </row>
        <row r="312">
          <cell r="A312" t="str">
            <v>2114001010 Dividendos a Pagar (Realizado)</v>
          </cell>
          <cell r="B312">
            <v>-1710041.51</v>
          </cell>
        </row>
        <row r="313">
          <cell r="A313" t="str">
            <v>DEMANDAS JUDICIAIS</v>
          </cell>
          <cell r="B313">
            <v>-3291915.39</v>
          </cell>
        </row>
        <row r="314">
          <cell r="A314" t="str">
            <v>Fiscais</v>
          </cell>
          <cell r="B314">
            <v>-3291915.39</v>
          </cell>
        </row>
        <row r="315">
          <cell r="A315" t="str">
            <v>2119001010 Prov Nat Trib s/Dep Gar CP-Imp,Taxas Contr Fed (R)</v>
          </cell>
          <cell r="B315">
            <v>-3291915.39</v>
          </cell>
        </row>
        <row r="316">
          <cell r="A316" t="str">
            <v>ENERGIA ELÉTRICA</v>
          </cell>
          <cell r="B316">
            <v>-14715971.189999999</v>
          </cell>
        </row>
        <row r="317">
          <cell r="A317" t="str">
            <v>Energia elétrica provisionada</v>
          </cell>
          <cell r="B317">
            <v>-14715971.189999999</v>
          </cell>
        </row>
        <row r="318">
          <cell r="A318" t="str">
            <v>2118005010 Fornec e nao Faturado-Energia Eletrica (Realizado)</v>
          </cell>
          <cell r="B318">
            <v>-10969238.24</v>
          </cell>
        </row>
        <row r="319">
          <cell r="A319" t="str">
            <v>2118005011 Fornec e nao Faturado-Energia Eletrica(Conting.)</v>
          </cell>
          <cell r="B319">
            <v>-3746732.95</v>
          </cell>
        </row>
        <row r="320">
          <cell r="A320" t="str">
            <v>OUTROS PASSIVOS CIRCULANTES</v>
          </cell>
          <cell r="B320">
            <v>-10957720.76</v>
          </cell>
        </row>
        <row r="321">
          <cell r="A321" t="str">
            <v>Serviços Técnicos profissionais</v>
          </cell>
          <cell r="B321">
            <v>-90371.44</v>
          </cell>
        </row>
        <row r="322">
          <cell r="A322" t="str">
            <v>2119003020 Prov Nat Op Desp c/ Servs Tecn e Prof CP (Realiz)</v>
          </cell>
          <cell r="B322">
            <v>-90371.44</v>
          </cell>
        </row>
        <row r="323">
          <cell r="A323" t="str">
            <v>Fretes sobre vendas</v>
          </cell>
          <cell r="B323">
            <v>-3214733.32</v>
          </cell>
        </row>
        <row r="324">
          <cell r="A324" t="str">
            <v>2119003010 Prov Nat Op Desp c/ Fretes s/Vendas CP (Realizado)</v>
          </cell>
          <cell r="B324">
            <v>-3214733.32</v>
          </cell>
        </row>
        <row r="325">
          <cell r="A325" t="str">
            <v>Desembaraço alfandegário</v>
          </cell>
          <cell r="B325">
            <v>-3853258.72</v>
          </cell>
        </row>
        <row r="326">
          <cell r="A326" t="str">
            <v>2118005040 Fornec e nao Faturado-Materiais de Cons (Realiz)</v>
          </cell>
          <cell r="B326">
            <v>-3853258.72</v>
          </cell>
        </row>
        <row r="327">
          <cell r="A327" t="str">
            <v>Obrigações de natureza fiscais</v>
          </cell>
          <cell r="B327">
            <v>-1960507</v>
          </cell>
        </row>
        <row r="328">
          <cell r="A328" t="str">
            <v>2119001030 Prov Nat Trib s/Dep Gar CP-Imp,Taxas Cont Mun (R)</v>
          </cell>
          <cell r="B328">
            <v>-1960507</v>
          </cell>
        </row>
        <row r="329">
          <cell r="A329" t="str">
            <v>Outras obrigações e compromissos</v>
          </cell>
          <cell r="B329">
            <v>-1838850.28</v>
          </cell>
        </row>
        <row r="330">
          <cell r="A330" t="str">
            <v>2118005020 Fornec e nao Faturado-Agua (Realizado)</v>
          </cell>
          <cell r="B330">
            <v>-41000</v>
          </cell>
        </row>
        <row r="331">
          <cell r="A331" t="str">
            <v>2118005090 Fornec e nao Faturado-Servs Prestados (Realizado)</v>
          </cell>
          <cell r="B331">
            <v>-185179.01</v>
          </cell>
        </row>
        <row r="332">
          <cell r="A332" t="str">
            <v>2118010010 Retençoes s/Contratos de Compras (Realizado)</v>
          </cell>
          <cell r="B332">
            <v>-16416.61</v>
          </cell>
        </row>
        <row r="333">
          <cell r="A333" t="str">
            <v>2118050010 Adiantamentos de Clientes (Realizado)</v>
          </cell>
          <cell r="B333">
            <v>-774448.2</v>
          </cell>
        </row>
        <row r="334">
          <cell r="A334" t="str">
            <v>2119003030 Prov Nat Op Desp c/Servs de Auditoria CP (Realiz)</v>
          </cell>
          <cell r="B334">
            <v>-257587.04</v>
          </cell>
        </row>
        <row r="335">
          <cell r="A335" t="str">
            <v>2119003040 Prov Nat Op Desp c/Seguros Gerais CP (Realizado)</v>
          </cell>
          <cell r="B335">
            <v>-60000</v>
          </cell>
        </row>
        <row r="336">
          <cell r="A336" t="str">
            <v>2119003990 Prov Nat Op Outras Desp Provisionadas CP (Realiz)</v>
          </cell>
          <cell r="B336">
            <v>-504219.42</v>
          </cell>
        </row>
        <row r="337">
          <cell r="A337" t="str">
            <v>NÃO CIRCULANTE</v>
          </cell>
          <cell r="B337">
            <v>-603037045.83000004</v>
          </cell>
        </row>
        <row r="338">
          <cell r="A338" t="str">
            <v>EMPRÉSTIMOS</v>
          </cell>
          <cell r="B338">
            <v>-495202738.57999998</v>
          </cell>
        </row>
        <row r="339">
          <cell r="A339" t="str">
            <v>Moeda nacional</v>
          </cell>
          <cell r="B339">
            <v>-489913894.45999998</v>
          </cell>
        </row>
        <row r="340">
          <cell r="A340" t="str">
            <v>2310502010 Emprest Finan Bancarios Moeda Nacional LP (R)</v>
          </cell>
          <cell r="B340">
            <v>-489913894.45999998</v>
          </cell>
        </row>
        <row r="341">
          <cell r="A341" t="str">
            <v>Moeda estrangeira</v>
          </cell>
          <cell r="B341">
            <v>-5288844.12</v>
          </cell>
        </row>
        <row r="342">
          <cell r="A342" t="str">
            <v>2310502600 Empr Financiamentos Moeda Estrangeira LP (Realiz)</v>
          </cell>
          <cell r="B342">
            <v>-5288844.12</v>
          </cell>
        </row>
        <row r="343">
          <cell r="A343" t="str">
            <v>IR E CONTRIBUIÇÃO SOCIAL DIFERIDOS</v>
          </cell>
          <cell r="B343">
            <v>-54105403.719999999</v>
          </cell>
        </row>
        <row r="344">
          <cell r="A344" t="str">
            <v>Ativo de imposto diferido</v>
          </cell>
          <cell r="B344">
            <v>87627745.280000001</v>
          </cell>
        </row>
        <row r="345">
          <cell r="A345" t="str">
            <v>1711505000 Cred Fisc CSLL-Bas de Cal Negativa LP (Real)</v>
          </cell>
          <cell r="B345">
            <v>6476693.5999999996</v>
          </cell>
        </row>
        <row r="346">
          <cell r="A346" t="str">
            <v>1711505010 Cred Fisc CSLL-Dif Temp (Real)</v>
          </cell>
          <cell r="B346">
            <v>17127097.5</v>
          </cell>
        </row>
        <row r="347">
          <cell r="A347" t="str">
            <v>1711506000 Cred Fisc IRPJL-Prejuizo Fiscal LP (Real)</v>
          </cell>
          <cell r="B347">
            <v>17109274.050000001</v>
          </cell>
        </row>
        <row r="348">
          <cell r="A348" t="str">
            <v>1711506010 Cred Fisc IRPJ-Dif Temp (Realizado)</v>
          </cell>
          <cell r="B348">
            <v>46914680.130000003</v>
          </cell>
        </row>
        <row r="349">
          <cell r="A349" t="str">
            <v>Passivo de imposto diferido</v>
          </cell>
          <cell r="B349">
            <v>-141733149</v>
          </cell>
        </row>
        <row r="350">
          <cell r="A350" t="str">
            <v>2312001030 Prov p/CSLL Diferida s/Depr Fiscal LP (Realiz)</v>
          </cell>
          <cell r="B350">
            <v>-37517598</v>
          </cell>
        </row>
        <row r="351">
          <cell r="A351" t="str">
            <v>2312002030 Prov p/IR Diferida s/Depr Fiscal LP (Realiz)</v>
          </cell>
          <cell r="B351">
            <v>-104215551</v>
          </cell>
        </row>
        <row r="352">
          <cell r="A352" t="str">
            <v>OBRIGAÇÕES COM BENEFICIOS AOS EMPREGADOS</v>
          </cell>
          <cell r="B352">
            <v>-20174828.32</v>
          </cell>
        </row>
        <row r="353">
          <cell r="A353" t="str">
            <v>Provisão para previdência privada</v>
          </cell>
          <cell r="B353">
            <v>-60911.08</v>
          </cell>
        </row>
        <row r="354">
          <cell r="A354" t="str">
            <v>2318001010 Previdencia Privada-CVM 371 LP (Realizado)</v>
          </cell>
          <cell r="B354">
            <v>-60911.08</v>
          </cell>
        </row>
        <row r="355">
          <cell r="A355" t="str">
            <v>Provisão para assistência médica</v>
          </cell>
          <cell r="B355">
            <v>-2235814.08</v>
          </cell>
        </row>
        <row r="356">
          <cell r="A356" t="str">
            <v>2319002150 Prov Nat Trab Assist Medica Aposent LP (Realizado)</v>
          </cell>
          <cell r="B356">
            <v>-2235814.08</v>
          </cell>
        </row>
        <row r="357">
          <cell r="A357" t="str">
            <v>Provisão para aposentadoria compulsória</v>
          </cell>
          <cell r="B357">
            <v>-15992765.470000001</v>
          </cell>
        </row>
        <row r="358">
          <cell r="A358" t="str">
            <v>2319002100 Prov Nat Trab FGTS Aviso Prev s/Aposen Comp LP (R)</v>
          </cell>
          <cell r="B358">
            <v>-15992765.470000001</v>
          </cell>
        </row>
        <row r="359">
          <cell r="A359" t="str">
            <v>Provisão para gratificação tempo de casa</v>
          </cell>
          <cell r="B359">
            <v>-1885337.69</v>
          </cell>
        </row>
        <row r="360">
          <cell r="A360" t="str">
            <v>2319002200 Prov Nat Trab Gratif Tempo Serv LP-Quinq (Realiz)</v>
          </cell>
          <cell r="B360">
            <v>-1885337.69</v>
          </cell>
        </row>
        <row r="361">
          <cell r="A361" t="str">
            <v>DEMANDAS JUDICIAIS</v>
          </cell>
          <cell r="B361">
            <v>-33554075.210000001</v>
          </cell>
        </row>
        <row r="362">
          <cell r="A362" t="str">
            <v>Fiscais</v>
          </cell>
          <cell r="B362">
            <v>-14489282.560000001</v>
          </cell>
        </row>
        <row r="363">
          <cell r="A363" t="str">
            <v>2319001010 Prov Nat Trib s/Dep Gar LP-Imp,Taxs Cont Fed (R)</v>
          </cell>
          <cell r="B363">
            <v>-509477.94</v>
          </cell>
        </row>
        <row r="364">
          <cell r="A364" t="str">
            <v>2319001020 Prov Nat Trib s/Dep Gar LP-Imp,Taxs Cont Est (R)</v>
          </cell>
          <cell r="B364">
            <v>-718750.47</v>
          </cell>
        </row>
        <row r="365">
          <cell r="A365" t="str">
            <v>2319101010 Prov Nat Trib c/Dep Gar LP-Imp,Taxas Cont Fed (R)</v>
          </cell>
          <cell r="B365">
            <v>-11418224.300000001</v>
          </cell>
        </row>
        <row r="366">
          <cell r="A366" t="str">
            <v>2319101030 Prov Nat Trib c/Dep em Gar LP-Imps Taxs Ctrb M (R)</v>
          </cell>
          <cell r="B366">
            <v>-1842829.85</v>
          </cell>
        </row>
        <row r="367">
          <cell r="A367" t="str">
            <v>Trabalhistas</v>
          </cell>
          <cell r="B367">
            <v>-9208453.9399999995</v>
          </cell>
        </row>
        <row r="368">
          <cell r="A368" t="str">
            <v>2319002010 Prov Nat Trab s/Dep em Gar LP-Recl Trabalh (Real)</v>
          </cell>
          <cell r="B368">
            <v>-8311383.5899999999</v>
          </cell>
        </row>
        <row r="369">
          <cell r="A369" t="str">
            <v>2319102030 Prov Nat Trab c/Dep em Gar LP - Previd (Realizado)</v>
          </cell>
          <cell r="B369">
            <v>-897070.35</v>
          </cell>
        </row>
        <row r="370">
          <cell r="A370" t="str">
            <v>Cíveis</v>
          </cell>
          <cell r="B370">
            <v>-24083256.469999999</v>
          </cell>
        </row>
        <row r="371">
          <cell r="A371" t="str">
            <v>2319000010 Prov Nat Cível s/Dep Gar LP (R)</v>
          </cell>
          <cell r="B371">
            <v>-24083256.469999999</v>
          </cell>
        </row>
        <row r="372">
          <cell r="A372" t="str">
            <v>Depósitos judiciais</v>
          </cell>
          <cell r="B372">
            <v>14226917.76</v>
          </cell>
        </row>
        <row r="373">
          <cell r="A373" t="str">
            <v>1719100010 Dep Jud c/ Reserv-Cíveis (Realiz)</v>
          </cell>
          <cell r="B373">
            <v>68793.259999999995</v>
          </cell>
        </row>
        <row r="374">
          <cell r="A374" t="str">
            <v>1719101010 Dep Jud c/ Reserv-Imp,Taxas e Contrib Fed (Realiz)</v>
          </cell>
          <cell r="B374">
            <v>11418224.300000001</v>
          </cell>
        </row>
        <row r="375">
          <cell r="A375" t="str">
            <v>1719101030 Dep Jud c/Res-Imp, Taxas e Contrib Munic (Realiz)</v>
          </cell>
          <cell r="B375">
            <v>1842829.85</v>
          </cell>
        </row>
        <row r="376">
          <cell r="A376" t="str">
            <v>1719102030 Dep Judiciais c/Res -Previdenciarios (Realizado)</v>
          </cell>
          <cell r="B376">
            <v>897070.35</v>
          </cell>
        </row>
        <row r="377">
          <cell r="A377" t="str">
            <v>PATRIMÔNIO LÍQUIDO</v>
          </cell>
          <cell r="B377">
            <v>-805971260.51999998</v>
          </cell>
        </row>
        <row r="378">
          <cell r="A378" t="str">
            <v>CAPITAL SOCIAL</v>
          </cell>
          <cell r="B378">
            <v>-384330953.12</v>
          </cell>
        </row>
        <row r="379">
          <cell r="A379" t="str">
            <v>Capital Subscrito</v>
          </cell>
          <cell r="B379">
            <v>-384330953.12</v>
          </cell>
        </row>
        <row r="380">
          <cell r="A380" t="str">
            <v>2710101010 Capital  Subs Domic e Resids no Pais (Realizado)</v>
          </cell>
          <cell r="B380">
            <v>-384330953.12</v>
          </cell>
        </row>
        <row r="381">
          <cell r="A381" t="str">
            <v>AÇÕES EM TESOURARIA</v>
          </cell>
          <cell r="B381">
            <v>14879117.300000001</v>
          </cell>
        </row>
        <row r="382">
          <cell r="A382" t="str">
            <v>Preferenciais</v>
          </cell>
          <cell r="B382">
            <v>14397516.449999999</v>
          </cell>
        </row>
        <row r="383">
          <cell r="A383" t="str">
            <v>2760101010 Acoes Preferenciais em Tesouraria</v>
          </cell>
          <cell r="B383">
            <v>14397516.449999999</v>
          </cell>
        </row>
        <row r="384">
          <cell r="A384" t="str">
            <v>Ordinárias</v>
          </cell>
          <cell r="B384">
            <v>481600.85</v>
          </cell>
        </row>
        <row r="385">
          <cell r="A385" t="str">
            <v>2760101020 Acoes Ordinarias em Tesouraria</v>
          </cell>
          <cell r="B385">
            <v>481600.85</v>
          </cell>
        </row>
        <row r="386">
          <cell r="A386" t="str">
            <v>RESERVA DE CAPITAL</v>
          </cell>
          <cell r="B386">
            <v>-79.84</v>
          </cell>
        </row>
        <row r="387">
          <cell r="A387" t="str">
            <v>Reserva de capital</v>
          </cell>
          <cell r="B387">
            <v>-79.84</v>
          </cell>
        </row>
        <row r="388">
          <cell r="A388" t="str">
            <v>2740101010 Reservas de Capital (Realizado)</v>
          </cell>
          <cell r="B388">
            <v>-79.84</v>
          </cell>
        </row>
        <row r="389">
          <cell r="A389" t="str">
            <v>RESERVAS DE LUCROS</v>
          </cell>
          <cell r="B389">
            <v>-418127013.91000003</v>
          </cell>
        </row>
        <row r="390">
          <cell r="A390" t="str">
            <v>Reserva legal</v>
          </cell>
          <cell r="B390">
            <v>-23131218.949999999</v>
          </cell>
        </row>
        <row r="391">
          <cell r="A391" t="str">
            <v>2740201010 Reserva Legal (Realizado)</v>
          </cell>
          <cell r="B391">
            <v>-23131218.949999999</v>
          </cell>
        </row>
        <row r="392">
          <cell r="A392" t="str">
            <v>Reserva especial para dividendos</v>
          </cell>
          <cell r="B392">
            <v>-23131218.949999999</v>
          </cell>
        </row>
        <row r="393">
          <cell r="A393" t="str">
            <v>2740203010 Reserva Especial p/Dividendos (Realizado)</v>
          </cell>
          <cell r="B393">
            <v>-23131218.949999999</v>
          </cell>
        </row>
        <row r="394">
          <cell r="A394" t="str">
            <v>Reserva de retenção de lucros</v>
          </cell>
          <cell r="B394">
            <v>-108955206.18000001</v>
          </cell>
        </row>
        <row r="395">
          <cell r="A395" t="str">
            <v>2740202100 Reserva Est-Ret de Lucros Exer de 2.014 (Realiz)</v>
          </cell>
          <cell r="B395">
            <v>-43454068.93</v>
          </cell>
        </row>
        <row r="396">
          <cell r="A396" t="str">
            <v>2740205010 Reserva de Lucros para Investimentos</v>
          </cell>
          <cell r="B396">
            <v>-65501137.25</v>
          </cell>
        </row>
        <row r="397">
          <cell r="A397" t="str">
            <v>Reserva de lucros a realizar</v>
          </cell>
          <cell r="B397">
            <v>-262909369.83000001</v>
          </cell>
        </row>
        <row r="398">
          <cell r="A398" t="str">
            <v>2740204010 Reserva de Lucros a Realizar (Realizado)</v>
          </cell>
          <cell r="B398">
            <v>-262909369.83000001</v>
          </cell>
        </row>
        <row r="399">
          <cell r="A399" t="str">
            <v>OUTROS RESULTADOS ABRANGENTES DO PERIODO</v>
          </cell>
          <cell r="B399">
            <v>25890690.719999999</v>
          </cell>
        </row>
        <row r="400">
          <cell r="A400" t="str">
            <v>Ajuste às normas internacionais de contab.</v>
          </cell>
          <cell r="B400">
            <v>25890690.719999999</v>
          </cell>
        </row>
        <row r="401">
          <cell r="A401" t="str">
            <v>2750101010 Ajs as Normas Internac de Contab (Realizado)</v>
          </cell>
          <cell r="B401">
            <v>-2125786</v>
          </cell>
        </row>
        <row r="402">
          <cell r="A402" t="str">
            <v>2750102010 (-)Ajs as Normas Internac de Contab (Realizado)</v>
          </cell>
          <cell r="B402">
            <v>28016476.719999999</v>
          </cell>
        </row>
        <row r="403">
          <cell r="A403" t="str">
            <v>LUCROS ACUMULADOS</v>
          </cell>
          <cell r="B403">
            <v>-44283021.670000002</v>
          </cell>
        </row>
        <row r="404">
          <cell r="A404" t="str">
            <v>Resultado líquido do periodo</v>
          </cell>
          <cell r="B404">
            <v>-44283021.670000002</v>
          </cell>
        </row>
        <row r="405">
          <cell r="A405" t="str">
            <v>Resultado antes dos tributos sobre o lucro</v>
          </cell>
          <cell r="B405">
            <v>-72534378.079999998</v>
          </cell>
        </row>
        <row r="406">
          <cell r="A406" t="str">
            <v>Resultado antes do resultado financeiro</v>
          </cell>
          <cell r="B406">
            <v>-100909145.97</v>
          </cell>
        </row>
        <row r="407">
          <cell r="A407" t="str">
            <v>Lucro bruto</v>
          </cell>
          <cell r="B407">
            <v>-196151009.41999999</v>
          </cell>
        </row>
        <row r="408">
          <cell r="A408" t="str">
            <v>Receita líquida de vendas</v>
          </cell>
          <cell r="B408">
            <v>-407603675.24000001</v>
          </cell>
        </row>
        <row r="409">
          <cell r="A409" t="str">
            <v>Receita bruta de vendas</v>
          </cell>
          <cell r="B409">
            <v>-531172850.10000002</v>
          </cell>
        </row>
        <row r="410">
          <cell r="A410" t="str">
            <v>Mercado interno</v>
          </cell>
          <cell r="B410">
            <v>-531172850.10000002</v>
          </cell>
        </row>
        <row r="411">
          <cell r="A411" t="str">
            <v>3110101030 Rec Brt-Vendas de Produtos no MI (Realizado)</v>
          </cell>
          <cell r="B411">
            <v>-518908873.08999997</v>
          </cell>
        </row>
        <row r="412">
          <cell r="A412" t="str">
            <v>3110105030 Rec Brt-Rev de Mercs Nacionais no MI (Realizado)</v>
          </cell>
          <cell r="B412">
            <v>-11758995.779999999</v>
          </cell>
        </row>
        <row r="413">
          <cell r="A413" t="str">
            <v>3110106030 Rec Brt-Rev de Mercs Importadas MI ( Realizado)</v>
          </cell>
          <cell r="B413">
            <v>-832389.65</v>
          </cell>
        </row>
        <row r="414">
          <cell r="A414" t="str">
            <v>3110108030 Rec Brt-Rev de Mercs Diversas no MI (Realizado)</v>
          </cell>
          <cell r="B414">
            <v>-62583.95</v>
          </cell>
        </row>
        <row r="415">
          <cell r="A415" t="str">
            <v>3110130030 Rec Brt-Venda de Serviços no MI (Realizado)</v>
          </cell>
          <cell r="B415">
            <v>-223506.29</v>
          </cell>
        </row>
        <row r="416">
          <cell r="A416" t="str">
            <v>3110301030 (-)Vendas Canc e Dev de Prod no MI (Realizado)</v>
          </cell>
          <cell r="B416">
            <v>597191.81999999995</v>
          </cell>
        </row>
        <row r="417">
          <cell r="A417" t="str">
            <v>3110305030 (-)Rev Canc e Dev de Merc Nac no MI (Realizado)</v>
          </cell>
          <cell r="B417">
            <v>16306.84</v>
          </cell>
        </row>
        <row r="418">
          <cell r="A418" t="str">
            <v>Impostos incidentes s/ vendas e abatimentos</v>
          </cell>
          <cell r="B418">
            <v>123569174.86</v>
          </cell>
        </row>
        <row r="419">
          <cell r="A419" t="str">
            <v>3110401030 (-)Desc Incond s/Vend de Prod FP no MI (Realizado)</v>
          </cell>
          <cell r="B419">
            <v>281565.99</v>
          </cell>
        </row>
        <row r="420">
          <cell r="A420" t="str">
            <v>3110405030 (-)Desc Incond s/Rev Merc Nacional no MI (Realiz)</v>
          </cell>
          <cell r="B420">
            <v>2300.87</v>
          </cell>
        </row>
        <row r="421">
          <cell r="A421" t="str">
            <v>3110408030 (-)Desc Incond s/Rev Merc Diversas no MI (Realiz)</v>
          </cell>
          <cell r="B421">
            <v>50.4</v>
          </cell>
        </row>
        <row r="422">
          <cell r="A422" t="str">
            <v>3110501030 (-)ICMS s/Vendas de Produtos FP no MI (Realiz)</v>
          </cell>
          <cell r="B422">
            <v>76834375.140000001</v>
          </cell>
        </row>
        <row r="423">
          <cell r="A423" t="str">
            <v>3110505030 (-)ICMS s/Rev de Mercs Nacionais no MI (Realiz)</v>
          </cell>
          <cell r="B423">
            <v>1910673.18</v>
          </cell>
        </row>
        <row r="424">
          <cell r="A424" t="str">
            <v>3110506030 (-)ICMS s/Rev de Merc Imports no MI (Realiz)</v>
          </cell>
          <cell r="B424">
            <v>146314.51999999999</v>
          </cell>
        </row>
        <row r="425">
          <cell r="A425" t="str">
            <v>3110508030 (-)ICMS s/Rev Mercadorias Divs no MI (Realizado)</v>
          </cell>
          <cell r="B425">
            <v>11172.87</v>
          </cell>
        </row>
        <row r="426">
          <cell r="A426" t="str">
            <v>3110590900 (-)ICMS s/Remessas Mercadorias Div no MI (Realiz)</v>
          </cell>
          <cell r="B426">
            <v>2819.83</v>
          </cell>
        </row>
        <row r="427">
          <cell r="A427" t="str">
            <v>3110601030 (-)Cofins s/Venda Produtos FP no MI (R)</v>
          </cell>
          <cell r="B427">
            <v>35501692.600000001</v>
          </cell>
        </row>
        <row r="428">
          <cell r="A428" t="str">
            <v>3110605030 (-)Cofins s/Revenda Merc Nacionais no MI (Realiz)</v>
          </cell>
          <cell r="B428">
            <v>867608.09</v>
          </cell>
        </row>
        <row r="429">
          <cell r="A429" t="str">
            <v>3110606030 (-)Cofins s/Revenda Merc Importadas no MI (Realiz)</v>
          </cell>
          <cell r="B429">
            <v>63261.65</v>
          </cell>
        </row>
        <row r="430">
          <cell r="A430" t="str">
            <v>3110608030 (-)Cofins s/Revenda Mercad Divs no MI (Realiz)</v>
          </cell>
          <cell r="B430">
            <v>4756.3599999999997</v>
          </cell>
        </row>
        <row r="431">
          <cell r="A431" t="str">
            <v>3110630030 (-)Cofins s/Venda de Serviços no MI (Realiz)</v>
          </cell>
          <cell r="B431">
            <v>16986.48</v>
          </cell>
        </row>
        <row r="432">
          <cell r="A432" t="str">
            <v>3110701030 (-)PIS/Pasep s/Vendas Produtos FP no MI (Realiz)</v>
          </cell>
          <cell r="B432">
            <v>7707604.5199999996</v>
          </cell>
        </row>
        <row r="433">
          <cell r="A433" t="str">
            <v>3110705030 (-)PIS/Pasep s/Rev Merc Nacionais no MI (Realiz)</v>
          </cell>
          <cell r="B433">
            <v>188362.14</v>
          </cell>
        </row>
        <row r="434">
          <cell r="A434" t="str">
            <v>3110706030 (-)PIS/Pasep s/Rev Merc Importadas no MI (Realiz)</v>
          </cell>
          <cell r="B434">
            <v>13734.44</v>
          </cell>
        </row>
        <row r="435">
          <cell r="A435" t="str">
            <v>3110708030 (-)PIS/Pasep s/Revenda Merc Divs no MI (Realiz)</v>
          </cell>
          <cell r="B435">
            <v>1032.6300000000001</v>
          </cell>
        </row>
        <row r="436">
          <cell r="A436" t="str">
            <v>3110730030 (-)PIS/Pasep s/Venda Serviços no MI (Realiz)</v>
          </cell>
          <cell r="B436">
            <v>3687.85</v>
          </cell>
        </row>
        <row r="437">
          <cell r="A437" t="str">
            <v>3110830030 (-)ISS s/Venda de Serviços no MI (Realiz)</v>
          </cell>
          <cell r="B437">
            <v>11175.3</v>
          </cell>
        </row>
        <row r="438">
          <cell r="A438" t="str">
            <v>Custo dos bens e serviços vendidos</v>
          </cell>
          <cell r="B438">
            <v>211452665.81999999</v>
          </cell>
        </row>
        <row r="439">
          <cell r="A439" t="str">
            <v>Variações nos estoques de Materiais</v>
          </cell>
          <cell r="B439">
            <v>74479804.480000004</v>
          </cell>
        </row>
        <row r="440">
          <cell r="A440" t="str">
            <v>3130101012 Rev Prov p/ Desv de Exportaçao Direta de Produtos</v>
          </cell>
          <cell r="B440">
            <v>-9930024.3000000007</v>
          </cell>
        </row>
        <row r="441">
          <cell r="A441" t="str">
            <v>3130101015 Prov p/Desv de Exportaçao Direta de Produtos</v>
          </cell>
          <cell r="B441">
            <v>10633014.880000001</v>
          </cell>
        </row>
        <row r="442">
          <cell r="A442" t="str">
            <v>3130101030 Custo das Vendas de Produtos MI (Realizado)</v>
          </cell>
          <cell r="B442">
            <v>206539959.13</v>
          </cell>
        </row>
        <row r="443">
          <cell r="A443" t="str">
            <v>3130101031 Custo Vendas de Produtos MI - AJ</v>
          </cell>
          <cell r="B443">
            <v>-109.66</v>
          </cell>
        </row>
        <row r="444">
          <cell r="A444" t="str">
            <v>3130101039 Custo das Vendas de Produtos MI Serv (Realizado)</v>
          </cell>
          <cell r="B444">
            <v>11332.22</v>
          </cell>
        </row>
        <row r="445">
          <cell r="A445" t="str">
            <v>3130105030 Custo das Revendas de Mercadorias no MI (Realiz)</v>
          </cell>
          <cell r="B445">
            <v>3553635.82</v>
          </cell>
        </row>
        <row r="446">
          <cell r="A446" t="str">
            <v>3130105031 Custo Revendas de Produtos MI - AJ</v>
          </cell>
          <cell r="B446">
            <v>-13998.06</v>
          </cell>
        </row>
        <row r="447">
          <cell r="A447" t="str">
            <v>3130106030 Custo da Revenda de Merc Importadas no MI (Realiz)</v>
          </cell>
          <cell r="B447">
            <v>624852.23</v>
          </cell>
        </row>
        <row r="448">
          <cell r="A448" t="str">
            <v>3130130030 Custo das Vendas de Serviços no MI (Realizado)</v>
          </cell>
          <cell r="B448">
            <v>34003.56</v>
          </cell>
        </row>
        <row r="449">
          <cell r="A449" t="str">
            <v>5110101010 Estoq Consumido Prod-Materia Prima SAL (Realizado)</v>
          </cell>
          <cell r="B449">
            <v>35010705.850000001</v>
          </cell>
        </row>
        <row r="450">
          <cell r="A450" t="str">
            <v>5110101011 Estoq Consumido Prod-Materia Prima SAL (Aj Real)</v>
          </cell>
          <cell r="B450">
            <v>2651998.75</v>
          </cell>
        </row>
        <row r="451">
          <cell r="A451" t="str">
            <v>5110101020 Estoq Consumido Prod-MP-Etileno (Realizado)</v>
          </cell>
          <cell r="B451">
            <v>15262183.4</v>
          </cell>
        </row>
        <row r="452">
          <cell r="A452" t="str">
            <v>5110101021 Estoq Consumido Prod-MP-Etileno (Aj Real)</v>
          </cell>
          <cell r="B452">
            <v>-2023003.05</v>
          </cell>
        </row>
        <row r="453">
          <cell r="A453" t="str">
            <v>5110101300 Estoq Consumido Prod-Mat Aux Gas Natural (Realiz)</v>
          </cell>
          <cell r="B453">
            <v>13954444.119999999</v>
          </cell>
        </row>
        <row r="454">
          <cell r="A454" t="str">
            <v>5110101301 Estoq Consumido Prod-Mat Aux Gas Natural (Aj Real)</v>
          </cell>
          <cell r="B454">
            <v>-1479233.81</v>
          </cell>
        </row>
        <row r="455">
          <cell r="A455" t="str">
            <v>5110101310 Estoq Consumido Prod-M Aux Vapor Petroc (Realiz)</v>
          </cell>
          <cell r="B455">
            <v>6449578.4299999997</v>
          </cell>
        </row>
        <row r="456">
          <cell r="A456" t="str">
            <v>5110101311 Estoq Consumido Prod-M Aux Vapor Petroc (Aj Real)</v>
          </cell>
          <cell r="B456">
            <v>-141558.31</v>
          </cell>
        </row>
        <row r="457">
          <cell r="A457" t="str">
            <v>5110101490 Estoq Consumido Prod-M Aux Demais (Realizado)</v>
          </cell>
          <cell r="B457">
            <v>4428242.5199999996</v>
          </cell>
        </row>
        <row r="458">
          <cell r="A458" t="str">
            <v>5110101491 Estoq Consumido Prod-M Aux Demais (Aj Real)</v>
          </cell>
          <cell r="B458">
            <v>243908.51</v>
          </cell>
        </row>
        <row r="459">
          <cell r="A459" t="str">
            <v>5110101500 Estoq Consumido Prod-Embalagens (Realizado)</v>
          </cell>
          <cell r="B459">
            <v>1669105.11</v>
          </cell>
        </row>
        <row r="460">
          <cell r="A460" t="str">
            <v>5110101501 Estoq Consumido Prod-Embalagens (Aj Real)</v>
          </cell>
          <cell r="B460">
            <v>-66602.899999999994</v>
          </cell>
        </row>
        <row r="461">
          <cell r="A461" t="str">
            <v>5110102010 Cons.Insumo-Revestimentos de Anodos (Realizado)</v>
          </cell>
          <cell r="B461">
            <v>549250.56999999995</v>
          </cell>
        </row>
        <row r="462">
          <cell r="A462" t="str">
            <v>5110504070 Aj Preço-Var Preço Dif C Mud Nivel-Semi Acab (KDV)</v>
          </cell>
          <cell r="B462">
            <v>3.6</v>
          </cell>
        </row>
        <row r="463">
          <cell r="A463" t="str">
            <v>5110504080 Aj Preço-Var Preço Dif C Mud Nivel-Acabados (KDV)</v>
          </cell>
          <cell r="B463">
            <v>0.08</v>
          </cell>
        </row>
        <row r="464">
          <cell r="A464" t="str">
            <v>5110505010 Aj Preço-Dif Preço Nivel Único-Sal (PRD)</v>
          </cell>
          <cell r="B464">
            <v>1955038.48</v>
          </cell>
        </row>
        <row r="465">
          <cell r="A465" t="str">
            <v>5110505020 Aj Preço-Dif Preço Nivel Único-Etileno (PRD)</v>
          </cell>
          <cell r="B465">
            <v>-2022889.77</v>
          </cell>
        </row>
        <row r="466">
          <cell r="A466" t="str">
            <v>5110505030 Aj Preço-Dif Preço Nivel Único-Gás Natural (PRD)</v>
          </cell>
          <cell r="B466">
            <v>-1479233.81</v>
          </cell>
        </row>
        <row r="467">
          <cell r="A467" t="str">
            <v>5110505040 Aj Preço-Dif Preço Nivel Único-Vapor (PRD)</v>
          </cell>
          <cell r="B467">
            <v>-141558.31</v>
          </cell>
        </row>
        <row r="468">
          <cell r="A468" t="str">
            <v>5110505050 Aj Preço-Dif Preço Nivel Único-Mat Auxiliares(PRD)</v>
          </cell>
          <cell r="B468">
            <v>547809.88</v>
          </cell>
        </row>
        <row r="469">
          <cell r="A469" t="str">
            <v>5110505060 Aj Preço-Dif Preço Nivel Único-Embalagens (PRD)</v>
          </cell>
          <cell r="B469">
            <v>-64729.59</v>
          </cell>
        </row>
        <row r="470">
          <cell r="A470" t="str">
            <v>5110505070 Aj Preço-Dif Preço Nivel Único-Semi Acabados (PRD)</v>
          </cell>
          <cell r="B470">
            <v>17216486.27</v>
          </cell>
        </row>
        <row r="471">
          <cell r="A471" t="str">
            <v>5110505080 Aj Preço-Dif Preço Nivel Único-Acabados (PRD)</v>
          </cell>
          <cell r="B471">
            <v>978502.01</v>
          </cell>
        </row>
        <row r="472">
          <cell r="A472" t="str">
            <v>5110505090 Aj Preço-Dif Preço Nivel Único-Revenda (PRD)</v>
          </cell>
          <cell r="B472">
            <v>229129.57</v>
          </cell>
        </row>
        <row r="473">
          <cell r="A473" t="str">
            <v>5110505100 Aj Preço-Dif Preço Nivel Único-Revenda Imp (PRD)</v>
          </cell>
          <cell r="B473">
            <v>58410.81</v>
          </cell>
        </row>
        <row r="474">
          <cell r="A474" t="str">
            <v>5110506070 Aj Preço-Dif Preço Multinivel-Semi Acabado (PRV)</v>
          </cell>
          <cell r="B474">
            <v>3.34</v>
          </cell>
        </row>
        <row r="475">
          <cell r="A475" t="str">
            <v>5110506080 Aj Preço-Dif Preço Multinivel-Acabado (PRV)</v>
          </cell>
          <cell r="B475">
            <v>-0.01</v>
          </cell>
        </row>
        <row r="476">
          <cell r="A476" t="str">
            <v>5110507010 Aj Preço-Dif Preço Fechamento ML-Sal (PRY)</v>
          </cell>
          <cell r="B476">
            <v>-1955038.48</v>
          </cell>
        </row>
        <row r="477">
          <cell r="A477" t="str">
            <v>5110507020 Aj Preço-Dif Preço Fechamento ML-Etileno (PRY)</v>
          </cell>
          <cell r="B477">
            <v>2022889.77</v>
          </cell>
        </row>
        <row r="478">
          <cell r="A478" t="str">
            <v>5110507030 Aj Preço-Dif Preço Fechamento ML-Gas Natural (PRY)</v>
          </cell>
          <cell r="B478">
            <v>1479233.81</v>
          </cell>
        </row>
        <row r="479">
          <cell r="A479" t="str">
            <v>5110507040 Aj Preço-Dif Preço Fechamento ML-Vapor (PRY)</v>
          </cell>
          <cell r="B479">
            <v>141558.31</v>
          </cell>
        </row>
        <row r="480">
          <cell r="A480" t="str">
            <v>5110507050 Aj Preço-Dif Preço Fechamento ML-Mat Auxiliar(PRY)</v>
          </cell>
          <cell r="B480">
            <v>-547809.85</v>
          </cell>
        </row>
        <row r="481">
          <cell r="A481" t="str">
            <v>5110507060 Aj Preço-Dif Preço Fechamento ML-Embalagens (PRY)</v>
          </cell>
          <cell r="B481">
            <v>64729.59</v>
          </cell>
        </row>
        <row r="482">
          <cell r="A482" t="str">
            <v>5110507070 Aj Preço-Dif Preço Fechamento ML-Semi Acabad (PRY)</v>
          </cell>
          <cell r="B482">
            <v>-17216486.260000002</v>
          </cell>
        </row>
        <row r="483">
          <cell r="A483" t="str">
            <v>5110507080 Aj Preço-Dif Preço Fechamento ML-Acabados (PRY)</v>
          </cell>
          <cell r="B483">
            <v>-978502.01</v>
          </cell>
        </row>
        <row r="484">
          <cell r="A484" t="str">
            <v>5110507090 Aj Preço-Dif Preço Fechamento ML-Revenda (PRY)</v>
          </cell>
          <cell r="B484">
            <v>-229129.57</v>
          </cell>
        </row>
        <row r="485">
          <cell r="A485" t="str">
            <v>5110507100 Aj Preço-Dif Preço Fechamento ML-Revenda Imp (PRY)</v>
          </cell>
          <cell r="B485">
            <v>-58410.81</v>
          </cell>
        </row>
        <row r="486">
          <cell r="A486" t="str">
            <v>5110508080 Aj Preço-Var Preço Revaloriz Estoq-Acabados (UMB)</v>
          </cell>
          <cell r="B486">
            <v>-28.38</v>
          </cell>
        </row>
        <row r="487">
          <cell r="A487" t="str">
            <v>5110599010 Ajustes do Grupo Material Ledger - Realizado</v>
          </cell>
          <cell r="B487">
            <v>21.33</v>
          </cell>
        </row>
        <row r="488">
          <cell r="A488" t="str">
            <v>5110608010 Proj Inv.Est.Pesq-Mat Cons-Imobilizado (Realizado)</v>
          </cell>
          <cell r="B488">
            <v>2773074.45</v>
          </cell>
        </row>
        <row r="489">
          <cell r="A489" t="str">
            <v>5110620010 Proj Inv.Est.Pesq-S.Prest Terc-Imobiliz PJ(Realiz)</v>
          </cell>
          <cell r="B489">
            <v>4294904.91</v>
          </cell>
        </row>
        <row r="490">
          <cell r="A490" t="str">
            <v>5110620020 Proj Inv.Est.Pesq-S.Prest Terc-Estudo PJ (Realiz)</v>
          </cell>
          <cell r="B490">
            <v>20760</v>
          </cell>
        </row>
        <row r="491">
          <cell r="A491" t="str">
            <v>5110635010 Proj Inv.Est.Pesq-Encarg Financ-Imobiliz (Realiz)</v>
          </cell>
          <cell r="B491">
            <v>159104.57999999999</v>
          </cell>
        </row>
        <row r="492">
          <cell r="A492" t="str">
            <v>5110690050 (-)Proj Inv.Est.Pesq-Imp Aq-ICMS s/Aquis Imob (R)</v>
          </cell>
          <cell r="B492">
            <v>438927.9</v>
          </cell>
        </row>
        <row r="493">
          <cell r="A493" t="str">
            <v>5110690060 (-)Proj Inv.Est.Pesq-Imp Aq-COFINS Aquis Imob (R)</v>
          </cell>
          <cell r="B493">
            <v>572594.56999999995</v>
          </cell>
        </row>
        <row r="494">
          <cell r="A494" t="str">
            <v>5110690070 (-)Proj Inv.Est.Pesq-Imp Aquis-PIS Aquis Imob (R)</v>
          </cell>
          <cell r="B494">
            <v>124313.48</v>
          </cell>
        </row>
        <row r="495">
          <cell r="A495" t="str">
            <v>5110699010 Proj Inv.Est.Pesq-Transf p/Imob em Andamento (R)</v>
          </cell>
          <cell r="B495">
            <v>-8362919.8899999997</v>
          </cell>
        </row>
        <row r="496">
          <cell r="A496" t="str">
            <v>5110699020 Proj Inv.Est.Pesq-Transf p/Estudos/Pesq (Realiz)</v>
          </cell>
          <cell r="B496">
            <v>-20760</v>
          </cell>
        </row>
        <row r="497">
          <cell r="A497" t="str">
            <v>5120101010 Cst P.Fab Próp Transf p/S.Acabado(F.Fab)-(Aj.Real)</v>
          </cell>
          <cell r="B497">
            <v>-648985698.88999999</v>
          </cell>
        </row>
        <row r="498">
          <cell r="A498" t="str">
            <v>5120101011 Cst P.Fab Próp Transf p/S.Acab(AjOrdProd)-(Planej)</v>
          </cell>
          <cell r="B498">
            <v>-17216486.280000001</v>
          </cell>
        </row>
        <row r="499">
          <cell r="A499" t="str">
            <v>5120101012 Cst P.Fab Próp Transf p/S.Acab(Zerar Centro Cst)</v>
          </cell>
          <cell r="B499">
            <v>9563972.3100000005</v>
          </cell>
        </row>
        <row r="500">
          <cell r="A500" t="str">
            <v>5120101013 Cst P.Fab Próp Consumo S.Acab (Realizado)</v>
          </cell>
          <cell r="B500">
            <v>646058373.55999994</v>
          </cell>
        </row>
        <row r="501">
          <cell r="A501" t="str">
            <v>5120101020 Cst P.Fab Próp Transf p/P.Acabado(F.Fab)-(Aj.Real)</v>
          </cell>
          <cell r="B501">
            <v>-198805529.94999999</v>
          </cell>
        </row>
        <row r="502">
          <cell r="A502" t="str">
            <v>5120101021 Cst P.Fab Próp Transf p/P.Acabado(F.Fab)-(Planej)</v>
          </cell>
          <cell r="B502">
            <v>-978502.01</v>
          </cell>
        </row>
        <row r="503">
          <cell r="A503" t="str">
            <v>5120101022 Cst P.Fab Próp Transf p/P.Acabado(Zerar CentroCst)</v>
          </cell>
          <cell r="B503">
            <v>-3932475.13</v>
          </cell>
        </row>
        <row r="504">
          <cell r="A504" t="str">
            <v>5120101030 Cst P.Fab Próp Transf p/P.Acabado(Aj Cons Real)</v>
          </cell>
          <cell r="B504">
            <v>814465.86</v>
          </cell>
        </row>
        <row r="505">
          <cell r="A505" t="str">
            <v>Energia Elétrica</v>
          </cell>
          <cell r="B505">
            <v>62731310.649999999</v>
          </cell>
        </row>
        <row r="506">
          <cell r="A506" t="str">
            <v>5110105010 Cons Insumo E Eletrica Cons Energia Eletrica (R)</v>
          </cell>
          <cell r="B506">
            <v>58984577.700000003</v>
          </cell>
        </row>
        <row r="507">
          <cell r="A507" t="str">
            <v>5110105011 Cons Insumo-E Eletrica-Prov Cons. Energia Eletrica</v>
          </cell>
          <cell r="B507">
            <v>3746732.95</v>
          </cell>
        </row>
        <row r="508">
          <cell r="A508" t="str">
            <v>Despesas com salários e benefícios a empregad</v>
          </cell>
          <cell r="B508">
            <v>33576955.469999999</v>
          </cell>
        </row>
        <row r="509">
          <cell r="A509" t="str">
            <v>5111001030 FLPG-Ordena.Sal.Outras Remune Empreg(R)</v>
          </cell>
          <cell r="B509">
            <v>16291937.98</v>
          </cell>
        </row>
        <row r="510">
          <cell r="A510" t="str">
            <v>5111001040 FLPG-13º Salario (Realizado)</v>
          </cell>
          <cell r="B510">
            <v>117217.83</v>
          </cell>
        </row>
        <row r="511">
          <cell r="A511" t="str">
            <v>5111001041 FLPG-Provisao de 13º Salario</v>
          </cell>
          <cell r="B511">
            <v>1342519.29</v>
          </cell>
        </row>
        <row r="512">
          <cell r="A512" t="str">
            <v>5111001042 FLPG-Reversao da Provisao de 13º Salario</v>
          </cell>
          <cell r="B512">
            <v>-64762.26</v>
          </cell>
        </row>
        <row r="513">
          <cell r="A513" t="str">
            <v>5111001050 FLPG-Ferias (Realizado)</v>
          </cell>
          <cell r="B513">
            <v>3494641.03</v>
          </cell>
        </row>
        <row r="514">
          <cell r="A514" t="str">
            <v>5111001051 FLPG-Provisao de Ferias</v>
          </cell>
          <cell r="B514">
            <v>1645842.92</v>
          </cell>
        </row>
        <row r="515">
          <cell r="A515" t="str">
            <v>5111001052 FLPG-Reversao da Provisao de Ferias</v>
          </cell>
          <cell r="B515">
            <v>-1665245.92</v>
          </cell>
        </row>
        <row r="516">
          <cell r="A516" t="str">
            <v>5111001080 FLPG-Gratificaçoes de Ferias(Realizado)</v>
          </cell>
          <cell r="B516">
            <v>1082912.82</v>
          </cell>
        </row>
        <row r="517">
          <cell r="A517" t="str">
            <v>5111001081 FLPG-Provisao de Gratificaçoes de Ferias</v>
          </cell>
          <cell r="B517">
            <v>1069862.04</v>
          </cell>
        </row>
        <row r="518">
          <cell r="A518" t="str">
            <v>5111001082 FLPG-Rever Provi Gratificaçoes de Ferias</v>
          </cell>
          <cell r="B518">
            <v>-1082912.82</v>
          </cell>
        </row>
        <row r="519">
          <cell r="A519" t="str">
            <v>5111001090 FLPG-Gratificaçoes (Realizado)</v>
          </cell>
          <cell r="B519">
            <v>363226.03</v>
          </cell>
        </row>
        <row r="520">
          <cell r="A520" t="str">
            <v>5111001091 FLPG-Provisao de Gratificaçoes</v>
          </cell>
          <cell r="B520">
            <v>2176944.84</v>
          </cell>
        </row>
        <row r="521">
          <cell r="A521" t="str">
            <v>5111001092 FLPG-Rever da Provisao de Gratificaçoes</v>
          </cell>
          <cell r="B521">
            <v>-185898.34</v>
          </cell>
        </row>
        <row r="522">
          <cell r="A522" t="str">
            <v>5111001100 FLPG-Gratificaçoes Quinquenios (Realizado)</v>
          </cell>
          <cell r="B522">
            <v>670309.72</v>
          </cell>
        </row>
        <row r="523">
          <cell r="A523" t="str">
            <v>5111001101 FLPG-Prov Gratificaçoes Quinquenios</v>
          </cell>
          <cell r="B523">
            <v>-152595.04999999999</v>
          </cell>
        </row>
        <row r="524">
          <cell r="A524" t="str">
            <v>5111001102 FLPG-Rever Prov Gratificaçoes Quinquenios</v>
          </cell>
          <cell r="B524">
            <v>-670309.72</v>
          </cell>
        </row>
        <row r="525">
          <cell r="A525" t="str">
            <v>5111001120 FLPG-Aviso Previo (Realizado)</v>
          </cell>
          <cell r="B525">
            <v>755474.8</v>
          </cell>
        </row>
        <row r="526">
          <cell r="A526" t="str">
            <v>5111001122 FLPG-Reversao da Provisao de Aviso Previo</v>
          </cell>
          <cell r="B526">
            <v>-755474.8</v>
          </cell>
        </row>
        <row r="527">
          <cell r="A527" t="str">
            <v>5111001240 FLPG-Auxilio Doença (Realizado)</v>
          </cell>
          <cell r="B527">
            <v>62619.41</v>
          </cell>
        </row>
        <row r="528">
          <cell r="A528" t="str">
            <v>5111001250 FLPG-Auxilio Ensino (Realizado)</v>
          </cell>
          <cell r="B528">
            <v>212563.04</v>
          </cell>
        </row>
        <row r="529">
          <cell r="A529" t="str">
            <v>5111001300 FLPG-Bolsa Estudos de Estagiarios (Realizado)</v>
          </cell>
          <cell r="B529">
            <v>133913.17000000001</v>
          </cell>
        </row>
        <row r="530">
          <cell r="A530" t="str">
            <v>5111001990 Rateio da Mão de Obra da Manutenção</v>
          </cell>
          <cell r="B530">
            <v>-6637.34</v>
          </cell>
        </row>
        <row r="531">
          <cell r="A531" t="str">
            <v>5111002010 FGTS-Folha de Pagamento (Realizado)</v>
          </cell>
          <cell r="B531">
            <v>1353738.26</v>
          </cell>
        </row>
        <row r="532">
          <cell r="A532" t="str">
            <v>5111002020 FGTS-Ferias (Realizado)</v>
          </cell>
          <cell r="B532">
            <v>97298.08</v>
          </cell>
        </row>
        <row r="533">
          <cell r="A533" t="str">
            <v>5111002021 FGTS-Provisao de FGTS s/Ferias</v>
          </cell>
          <cell r="B533">
            <v>124765.18</v>
          </cell>
        </row>
        <row r="534">
          <cell r="A534" t="str">
            <v>5111002022 FGTS-Reversao da Provisao de FGTS s/Ferias</v>
          </cell>
          <cell r="B534">
            <v>-126072.7</v>
          </cell>
        </row>
        <row r="535">
          <cell r="A535" t="str">
            <v>5111002030 FGTS-13º Salario (Realizado)</v>
          </cell>
          <cell r="B535">
            <v>36210.19</v>
          </cell>
        </row>
        <row r="536">
          <cell r="A536" t="str">
            <v>5111002031 FGTS-Provisao de FGTS S/13º Salario</v>
          </cell>
          <cell r="B536">
            <v>142954.65</v>
          </cell>
        </row>
        <row r="537">
          <cell r="A537" t="str">
            <v>5111002032 FGTS-Reversao da Provisao FGTS S/13º Salario</v>
          </cell>
          <cell r="B537">
            <v>-41066.75</v>
          </cell>
        </row>
        <row r="538">
          <cell r="A538" t="str">
            <v>5111002040 FGTS-Desligamento de Funcionarios (Realizado)</v>
          </cell>
          <cell r="B538">
            <v>2366235.48</v>
          </cell>
        </row>
        <row r="539">
          <cell r="A539" t="str">
            <v>5111002041 FGTS-Provisao FGTS s/Desligamento Funcionario</v>
          </cell>
          <cell r="B539">
            <v>1007790</v>
          </cell>
        </row>
        <row r="540">
          <cell r="A540" t="str">
            <v>5111002042 FGTS-Rever Prov FGTS s/Desligamento Funcionario</v>
          </cell>
          <cell r="B540">
            <v>-2366235.48</v>
          </cell>
        </row>
        <row r="541">
          <cell r="A541" t="str">
            <v>5111003010 INSS-Folha de Pagamento (Realizado)</v>
          </cell>
          <cell r="B541">
            <v>5313280.1900000004</v>
          </cell>
        </row>
        <row r="542">
          <cell r="A542" t="str">
            <v>5111003021 INSS-Provisao de INSS s/Ferias</v>
          </cell>
          <cell r="B542">
            <v>105585.17</v>
          </cell>
        </row>
        <row r="543">
          <cell r="A543" t="str">
            <v>5111003022 INSS-Reversao da Provisao de INSS s/Ferias</v>
          </cell>
          <cell r="B543">
            <v>-243764.51</v>
          </cell>
        </row>
        <row r="544">
          <cell r="A544" t="str">
            <v>5111003031 INSS-Provisao de INSS s/13º Salario</v>
          </cell>
          <cell r="B544">
            <v>328478.69</v>
          </cell>
        </row>
        <row r="545">
          <cell r="A545" t="str">
            <v>5111003032 INSS-Reversao Provisao de INSS s/13º Salario</v>
          </cell>
          <cell r="B545">
            <v>-16379.76</v>
          </cell>
        </row>
        <row r="546">
          <cell r="A546" t="str">
            <v>5111503040 Desp Medicas Hospitalares (Realizado)</v>
          </cell>
          <cell r="B546">
            <v>166767.82999999999</v>
          </cell>
        </row>
        <row r="547">
          <cell r="A547" t="str">
            <v>5111504020 Desenv Prof-Material de Consumo em Cursos (Realiz)</v>
          </cell>
          <cell r="B547">
            <v>38.9</v>
          </cell>
        </row>
        <row r="548">
          <cell r="A548" t="str">
            <v>5111504050 Desenv Prof-Transportes em Cursos (Realizado)</v>
          </cell>
          <cell r="B548">
            <v>158.4</v>
          </cell>
        </row>
        <row r="549">
          <cell r="A549" t="str">
            <v>5111504060 Desenv Prof-Refeiçoes em Cursos (Realizado)</v>
          </cell>
          <cell r="B549">
            <v>78.03</v>
          </cell>
        </row>
        <row r="550">
          <cell r="A550" t="str">
            <v>5111504070 Desenv Prof-Aprendiz de Menores em Cursos (Realiz)</v>
          </cell>
          <cell r="B550">
            <v>75017.61</v>
          </cell>
        </row>
        <row r="551">
          <cell r="A551" t="str">
            <v>5111505010 Desp Soc-Contrib Associaçao Desportiva (Realizado)</v>
          </cell>
          <cell r="B551">
            <v>210480</v>
          </cell>
        </row>
        <row r="552">
          <cell r="A552" t="str">
            <v>5111505020 Desp Soc-Comemoraçoes e Eventos (Realizado)</v>
          </cell>
          <cell r="B552">
            <v>9981.65</v>
          </cell>
        </row>
        <row r="553">
          <cell r="A553" t="str">
            <v>5111505040 Desp Soc-Vestuario (Realizado)</v>
          </cell>
          <cell r="B553">
            <v>953.37</v>
          </cell>
        </row>
        <row r="554">
          <cell r="A554" t="str">
            <v>5111506020 Despesa Vale Transporte (Realizado)</v>
          </cell>
          <cell r="B554">
            <v>43.2</v>
          </cell>
        </row>
        <row r="555">
          <cell r="A555" t="str">
            <v>5111506030 Despesa Taxi e Conduçoes (Realizado)</v>
          </cell>
          <cell r="B555">
            <v>155259.67000000001</v>
          </cell>
        </row>
        <row r="556">
          <cell r="A556" t="str">
            <v>5111506040 Despesa Aluguel de Veiculos (Realizado)</v>
          </cell>
          <cell r="B556">
            <v>252</v>
          </cell>
        </row>
        <row r="557">
          <cell r="A557" t="str">
            <v>5111507010 Despesa Refeiçoes Prontas (Realizado)</v>
          </cell>
          <cell r="B557">
            <v>1628.24</v>
          </cell>
        </row>
        <row r="558">
          <cell r="A558" t="str">
            <v>5111507030 Despesa Refeiçoes-Visita e Outras (Realizado)</v>
          </cell>
          <cell r="B558">
            <v>28575.3</v>
          </cell>
        </row>
        <row r="559">
          <cell r="A559" t="str">
            <v>5111507040 Despesa Refeiçoes-Lanches Externos (Realizado)</v>
          </cell>
          <cell r="B559">
            <v>8755.91</v>
          </cell>
        </row>
        <row r="560">
          <cell r="A560" t="str">
            <v>Encargos de depreciação e amortização</v>
          </cell>
          <cell r="B560">
            <v>19754362.469999999</v>
          </cell>
        </row>
        <row r="561">
          <cell r="A561" t="str">
            <v>5119001010 Encarg de Deprec e Amort-Depreciaçao (Realizado)</v>
          </cell>
          <cell r="B561">
            <v>13060620.470000001</v>
          </cell>
        </row>
        <row r="562">
          <cell r="A562" t="str">
            <v>5119001011 Encarg de Depreciaçao Mais Valia (Realizado)</v>
          </cell>
          <cell r="B562">
            <v>3220414.87</v>
          </cell>
        </row>
        <row r="563">
          <cell r="A563" t="str">
            <v>5119001012 Encarg de Depreciaçao Mais Valia CN (Realizado)</v>
          </cell>
          <cell r="B563">
            <v>3220414.87</v>
          </cell>
        </row>
        <row r="564">
          <cell r="A564" t="str">
            <v>5119001014 Encarg de Depreciaçao AVP (Realizado)</v>
          </cell>
          <cell r="B564">
            <v>233324.62</v>
          </cell>
        </row>
        <row r="565">
          <cell r="A565" t="str">
            <v>5119001050 Encarg de Deprec e Amort-Amortizaçao (Realizado)</v>
          </cell>
          <cell r="B565">
            <v>19485.02</v>
          </cell>
        </row>
        <row r="566">
          <cell r="A566" t="str">
            <v>5119001054 Amortizaçao AVP (Realizado)</v>
          </cell>
          <cell r="B566">
            <v>102.62</v>
          </cell>
        </row>
        <row r="567">
          <cell r="A567" t="str">
            <v>Serviços de terceiros</v>
          </cell>
          <cell r="B567">
            <v>12135229.189999999</v>
          </cell>
        </row>
        <row r="568">
          <cell r="A568" t="str">
            <v>5112002010 Serviços Prestados Auditoria  p/PJ (Realizado)</v>
          </cell>
          <cell r="B568">
            <v>40142.379999999997</v>
          </cell>
        </row>
        <row r="569">
          <cell r="A569" t="str">
            <v>5112003010 Serviços Prestados Consultoria p/PJ (Realizado)</v>
          </cell>
          <cell r="B569">
            <v>335756.12</v>
          </cell>
        </row>
        <row r="570">
          <cell r="A570" t="str">
            <v>5112003040 Serv Prest Consultoria p/PF s/Vinc Empr (Realiz)</v>
          </cell>
          <cell r="B570">
            <v>25818.68</v>
          </cell>
        </row>
        <row r="571">
          <cell r="A571" t="str">
            <v>5112008010 Serv Prest Propaganda e Publicidade p/PJ (Realiz)</v>
          </cell>
          <cell r="B571">
            <v>2500</v>
          </cell>
        </row>
        <row r="572">
          <cell r="A572" t="str">
            <v>5112009010 Serv Prest Atualiz/Suporte Tecnico p/PJ (Realiz)</v>
          </cell>
          <cell r="B572">
            <v>13772.91</v>
          </cell>
        </row>
        <row r="573">
          <cell r="A573" t="str">
            <v>5112010010 Serviços Prestados Temporario p/PJ (Realizado)</v>
          </cell>
          <cell r="B573">
            <v>16213.87</v>
          </cell>
        </row>
        <row r="574">
          <cell r="A574" t="str">
            <v>5112011010 Serviços Prestados Limpeza p/ PJ (Realizado)</v>
          </cell>
          <cell r="B574">
            <v>501082.2</v>
          </cell>
        </row>
        <row r="575">
          <cell r="A575" t="str">
            <v>5112012010 Serviços Prestados Vigilancia PJ (Realiz)</v>
          </cell>
          <cell r="B575">
            <v>842433.3</v>
          </cell>
        </row>
        <row r="576">
          <cell r="A576" t="str">
            <v>5112013010 Serviços Prestados Jardinagem p/PJ (Realizado)</v>
          </cell>
          <cell r="B576">
            <v>195820.21</v>
          </cell>
        </row>
        <row r="577">
          <cell r="A577" t="str">
            <v>5112014010 Serv Prest Estacionamento de Caminhoes PJ (Realiz)</v>
          </cell>
          <cell r="B577">
            <v>490050</v>
          </cell>
        </row>
        <row r="578">
          <cell r="A578" t="str">
            <v>5112015010 Serv Prest Fretes Carretos s/Compras p/PJ (Realiz)</v>
          </cell>
          <cell r="B578">
            <v>4913263.18</v>
          </cell>
        </row>
        <row r="579">
          <cell r="A579" t="str">
            <v>5112017010 Serviços Prestados Engenharia p/PJ (Realiz)</v>
          </cell>
          <cell r="B579">
            <v>5808</v>
          </cell>
        </row>
        <row r="580">
          <cell r="A580" t="str">
            <v>5112018010 Serv Prest Reparos Assist Tecnica p/PJ (Realiz)</v>
          </cell>
          <cell r="B580">
            <v>741336.07</v>
          </cell>
        </row>
        <row r="581">
          <cell r="A581" t="str">
            <v>5112019010 Serv Prest Tratamento de Residuos p/PJ (Realiz)</v>
          </cell>
          <cell r="B581">
            <v>115410.44</v>
          </cell>
        </row>
        <row r="582">
          <cell r="A582" t="str">
            <v>5112099010 Prest Serv Tecnicos Profissionais p/PJ (Realiz)</v>
          </cell>
          <cell r="B582">
            <v>391601.78</v>
          </cell>
        </row>
        <row r="583">
          <cell r="A583" t="str">
            <v>5112099040 Serv Prest Tec Profissionais p/PF s/Vin Empr (R)</v>
          </cell>
          <cell r="B583">
            <v>10563</v>
          </cell>
        </row>
        <row r="584">
          <cell r="A584" t="str">
            <v>5112150010 Serv Prest Manutençao Civil p/PJ (Realizado)</v>
          </cell>
          <cell r="B584">
            <v>1499513.08</v>
          </cell>
        </row>
        <row r="585">
          <cell r="A585" t="str">
            <v>5112150015 Serv Prest Manutençao Civil p/PJ (Recuperado)</v>
          </cell>
          <cell r="B585">
            <v>-3750.73</v>
          </cell>
        </row>
        <row r="586">
          <cell r="A586" t="str">
            <v>5112151010 Serv Prest Manutençao Eletricos p/PJ (Realiz)</v>
          </cell>
          <cell r="B586">
            <v>382463.75</v>
          </cell>
        </row>
        <row r="587">
          <cell r="A587" t="str">
            <v>5112151015 Serv Prest Manutençao Eletricos p/PJ (Recuperado)</v>
          </cell>
          <cell r="B587">
            <v>-678974.92</v>
          </cell>
        </row>
        <row r="588">
          <cell r="A588" t="str">
            <v>5112152010 Serv Prest Manutençao Mecânicos p/PJ (Realizado)</v>
          </cell>
          <cell r="B588">
            <v>374967.35</v>
          </cell>
        </row>
        <row r="589">
          <cell r="A589" t="str">
            <v>5112153010 Serv Prest Manutençao Inspeçao PJ (Realizado)</v>
          </cell>
          <cell r="B589">
            <v>421505.31</v>
          </cell>
        </row>
        <row r="590">
          <cell r="A590" t="str">
            <v>5112154010 Serv Prest Manutençao Cald/Tubul PJ (Realzado)</v>
          </cell>
          <cell r="B590">
            <v>746592.8</v>
          </cell>
        </row>
        <row r="591">
          <cell r="A591" t="str">
            <v>5112155010 Serv Prest Manut Instrumentaçao PJ (Realizado)</v>
          </cell>
          <cell r="B591">
            <v>354414.2</v>
          </cell>
        </row>
        <row r="592">
          <cell r="A592" t="str">
            <v>5112170010 Serv Prest Manutenaçao Cel HG-PJ (Realizado)</v>
          </cell>
          <cell r="B592">
            <v>394552.47</v>
          </cell>
        </row>
        <row r="593">
          <cell r="A593" t="str">
            <v>5112175010 Serv Prest Manutençao Cel Diafrag p/PJ (Realiz)</v>
          </cell>
          <cell r="B593">
            <v>100840.07</v>
          </cell>
        </row>
        <row r="594">
          <cell r="A594" t="str">
            <v>5112180010 Serv Prest Manutençao Cel Memb PJ (Realizado)</v>
          </cell>
          <cell r="B594">
            <v>366.66</v>
          </cell>
        </row>
        <row r="595">
          <cell r="A595" t="str">
            <v>5112199010 Serv Prest Manutençao Apoio-PJ (Realizado)</v>
          </cell>
          <cell r="B595">
            <v>170146.38</v>
          </cell>
        </row>
        <row r="596">
          <cell r="A596" t="str">
            <v>5112199015 Serv Prest Manutençao Apoio-PJ (Recuperado)</v>
          </cell>
          <cell r="B596">
            <v>-1139635.6299999999</v>
          </cell>
        </row>
        <row r="597">
          <cell r="A597" t="str">
            <v>5112199410 Serv Prest Manutençao Pintura-PJ (Realizado)</v>
          </cell>
          <cell r="B597">
            <v>535386.91</v>
          </cell>
        </row>
        <row r="598">
          <cell r="A598" t="str">
            <v>5112199510 Serv Prest Manutençao Revestimentos-PJ (Realizado)</v>
          </cell>
          <cell r="B598">
            <v>135255.69</v>
          </cell>
        </row>
        <row r="599">
          <cell r="A599" t="str">
            <v>5112199610 Serv Prest Manutençao Isolamentos-PJ (Realizado)</v>
          </cell>
          <cell r="B599">
            <v>200013.66</v>
          </cell>
        </row>
        <row r="600">
          <cell r="A600" t="str">
            <v>Outras</v>
          </cell>
          <cell r="B600">
            <v>8775003.5600000005</v>
          </cell>
        </row>
        <row r="601">
          <cell r="A601" t="str">
            <v>5110801020 Mat Cons-Oper-Mat Processo Produtivo (Realiz)</v>
          </cell>
          <cell r="B601">
            <v>54670.83</v>
          </cell>
        </row>
        <row r="602">
          <cell r="A602" t="str">
            <v>5110801030 Mat Cons-Oper-Mat Tratamento Residuos (Realiz)</v>
          </cell>
          <cell r="B602">
            <v>28182.06</v>
          </cell>
        </row>
        <row r="603">
          <cell r="A603" t="str">
            <v>5110801040 Mat Cons-Oper-Mat Análises Quimicas (Realizado)</v>
          </cell>
          <cell r="B603">
            <v>142589.46</v>
          </cell>
        </row>
        <row r="604">
          <cell r="A604" t="str">
            <v>5110801060 Mat Cons-Oper-Ferramentas (Realizado)</v>
          </cell>
          <cell r="B604">
            <v>142476.46</v>
          </cell>
        </row>
        <row r="605">
          <cell r="A605" t="str">
            <v>5110801070 Mat Cons-Oper-Mat Reparo e Manutençao (Realizado)</v>
          </cell>
          <cell r="B605">
            <v>2385.69</v>
          </cell>
        </row>
        <row r="606">
          <cell r="A606" t="str">
            <v>5110801080 Mat Cons-Oper-Mat Conserv Ecológica (Realizado)</v>
          </cell>
          <cell r="B606">
            <v>3641.08</v>
          </cell>
        </row>
        <row r="607">
          <cell r="A607" t="str">
            <v>5110801090 Mat Cons-Oper-Mat Limpeza (Realizado)</v>
          </cell>
          <cell r="B607">
            <v>9223.84</v>
          </cell>
        </row>
        <row r="608">
          <cell r="A608" t="str">
            <v>5110801100 Mat Cons-Oper-Mat Segurança (Realizado)</v>
          </cell>
          <cell r="B608">
            <v>516006.94</v>
          </cell>
        </row>
        <row r="609">
          <cell r="A609" t="str">
            <v>5110801110 Mat Cons-Oper-Consumo de Água (Realizado)</v>
          </cell>
          <cell r="B609">
            <v>346145.27</v>
          </cell>
        </row>
        <row r="610">
          <cell r="A610" t="str">
            <v>5110801130 Mat Cons-Oper-Mat Escritório (Realizado)</v>
          </cell>
          <cell r="B610">
            <v>21769.599999999999</v>
          </cell>
        </row>
        <row r="611">
          <cell r="A611" t="str">
            <v>5110801140 Mat Cons-Oper-Mat Imobilizado (Realizado)</v>
          </cell>
          <cell r="B611">
            <v>2255.91</v>
          </cell>
        </row>
        <row r="612">
          <cell r="A612" t="str">
            <v>5110802020 Mat Cons-Manutençao-Eletrica (Realizado)</v>
          </cell>
          <cell r="B612">
            <v>289135.46000000002</v>
          </cell>
        </row>
        <row r="613">
          <cell r="A613" t="str">
            <v>5110802025 Consumo de Materiais de Manutenção Eletrica (Recup</v>
          </cell>
          <cell r="B613">
            <v>-612.87</v>
          </cell>
        </row>
        <row r="614">
          <cell r="A614" t="str">
            <v>5110802030 Mat Cons-Manutençao-Mecânica (Realizado)</v>
          </cell>
          <cell r="B614">
            <v>1693525.17</v>
          </cell>
        </row>
        <row r="615">
          <cell r="A615" t="str">
            <v>5110802040 Mat Cons-Manutençao-Manut Inspeçao (Realizado)</v>
          </cell>
          <cell r="B615">
            <v>12342.93</v>
          </cell>
        </row>
        <row r="616">
          <cell r="A616" t="str">
            <v>5110802050 Mat Cons-Manutençao-Calderaria/Tubul (Realizado)</v>
          </cell>
          <cell r="B616">
            <v>1808025.24</v>
          </cell>
        </row>
        <row r="617">
          <cell r="A617" t="str">
            <v>5110802055 Mat Cons-Manutençao-Calderaria/Tubul (Recuperado)</v>
          </cell>
          <cell r="B617">
            <v>-9.15</v>
          </cell>
        </row>
        <row r="618">
          <cell r="A618" t="str">
            <v>5110802060 Mat Cons-Manutençao-Instrumentaçao (Realizado)</v>
          </cell>
          <cell r="B618">
            <v>1309619.43</v>
          </cell>
        </row>
        <row r="619">
          <cell r="A619" t="str">
            <v>5110802065 Mat Cons-Manutençao-Instrumentaçao (Recuperado)</v>
          </cell>
          <cell r="B619">
            <v>-83.02</v>
          </cell>
        </row>
        <row r="620">
          <cell r="A620" t="str">
            <v>5110802070 Mat Cons-Manutençao-Celula HG (Realizado)</v>
          </cell>
          <cell r="B620">
            <v>453311.28</v>
          </cell>
        </row>
        <row r="621">
          <cell r="A621" t="str">
            <v>5110802080 Mat Cons-Manutençao-Celula Diafragma (Realizado)</v>
          </cell>
          <cell r="B621">
            <v>261071.01</v>
          </cell>
        </row>
        <row r="622">
          <cell r="A622" t="str">
            <v>5110802090 Mat Cons-Manutençao-Celula Membrana (Realizado)</v>
          </cell>
          <cell r="B622">
            <v>259075.56</v>
          </cell>
        </row>
        <row r="623">
          <cell r="A623" t="str">
            <v>5110802990 Mat Cons-Manutençao-Geral (Realizado)</v>
          </cell>
          <cell r="B623">
            <v>464431.1</v>
          </cell>
        </row>
        <row r="624">
          <cell r="A624" t="str">
            <v>5110802995 Mat Cons-Manutençao-Geral (Recuperado)</v>
          </cell>
          <cell r="B624">
            <v>-11292.74</v>
          </cell>
        </row>
        <row r="625">
          <cell r="A625" t="str">
            <v>5110803220 Mat Cons-Proc Produtivo-Perda Estoq Almox (Realiz)</v>
          </cell>
          <cell r="B625">
            <v>36.659999999999997</v>
          </cell>
        </row>
        <row r="626">
          <cell r="A626" t="str">
            <v>5111902010 Despesa Viagens Nacionais (Realizado)</v>
          </cell>
          <cell r="B626">
            <v>8211.42</v>
          </cell>
        </row>
        <row r="627">
          <cell r="A627" t="str">
            <v>5111902020 Despesas Viagens Internacionais (Realizado)</v>
          </cell>
          <cell r="B627">
            <v>7575.45</v>
          </cell>
        </row>
        <row r="628">
          <cell r="A628" t="str">
            <v>5113501020 Desp Correspondencia-Postais (Realizado)</v>
          </cell>
          <cell r="B628">
            <v>447.42</v>
          </cell>
        </row>
        <row r="629">
          <cell r="A629" t="str">
            <v>5114001030 DLF-Desp Autenticidade Reconhecde Firmas (Realiz)</v>
          </cell>
          <cell r="B629">
            <v>206.48</v>
          </cell>
        </row>
        <row r="630">
          <cell r="A630" t="str">
            <v>5114002030 DITC-Licença e Funcionamento (Realizado)</v>
          </cell>
          <cell r="B630">
            <v>2293.3000000000002</v>
          </cell>
        </row>
        <row r="631">
          <cell r="A631" t="str">
            <v>5114002060 DITC-Txs Municipais,Estaduais,Federais (Realizado)</v>
          </cell>
          <cell r="B631">
            <v>9543.52</v>
          </cell>
        </row>
        <row r="632">
          <cell r="A632" t="str">
            <v>5114002105 Créditos de impostos recuperados - Reintegra</v>
          </cell>
          <cell r="B632">
            <v>-403094.69</v>
          </cell>
        </row>
        <row r="633">
          <cell r="A633" t="str">
            <v>5116001010 Desp Real Even-Semi Fora da Cia Gestao (Realizado)</v>
          </cell>
          <cell r="B633">
            <v>6200</v>
          </cell>
        </row>
        <row r="634">
          <cell r="A634" t="str">
            <v>5116001020 Desp Reali Eventos-Eventos Gestao (Realizado)</v>
          </cell>
          <cell r="B634">
            <v>525</v>
          </cell>
        </row>
        <row r="635">
          <cell r="A635" t="str">
            <v>5116002020 Desp c/Marketing-Relaçoes Publicas (Realizado)</v>
          </cell>
          <cell r="B635">
            <v>355</v>
          </cell>
        </row>
        <row r="636">
          <cell r="A636" t="str">
            <v>5118002050 DPC Ded-Contrib a Entidades de Classes (Realizado)</v>
          </cell>
          <cell r="B636">
            <v>5702.89</v>
          </cell>
        </row>
        <row r="637">
          <cell r="A637" t="str">
            <v>5119905010 Desp Alug/Loc.Oper-Locaçao Equip Operaçao (Realiz)</v>
          </cell>
          <cell r="B637">
            <v>826621.4</v>
          </cell>
        </row>
        <row r="638">
          <cell r="A638" t="str">
            <v>5119905050 Desp Alug/Loc.Oper-Loc de Equip Telefonia(Realiz)</v>
          </cell>
          <cell r="B638">
            <v>2994.76</v>
          </cell>
        </row>
        <row r="639">
          <cell r="A639" t="str">
            <v>5119906010 Desp Alug/Loc. Op-Equipamentos de Manut (Realiz)</v>
          </cell>
          <cell r="B639">
            <v>474668.81</v>
          </cell>
        </row>
        <row r="640">
          <cell r="A640" t="str">
            <v>5119906015 Desp Alug/Loc. Op-Equipamentos de Manut (Recup)</v>
          </cell>
          <cell r="B640">
            <v>-260.88</v>
          </cell>
        </row>
        <row r="641">
          <cell r="A641" t="str">
            <v>5119910010 Assin L.IT.J.R-Ass de Jornais e Revistas (Realiz)</v>
          </cell>
          <cell r="B641">
            <v>2259.42</v>
          </cell>
        </row>
        <row r="642">
          <cell r="A642" t="str">
            <v>5119920010 Desp c/Veiculos-Abastecimento (Realizado)</v>
          </cell>
          <cell r="B642">
            <v>1713.93</v>
          </cell>
        </row>
        <row r="643">
          <cell r="A643" t="str">
            <v>5119920020 Desp c/Veiculos-Reparos e Manutençoes (Realizado)</v>
          </cell>
          <cell r="B643">
            <v>11115.43</v>
          </cell>
        </row>
        <row r="644">
          <cell r="A644" t="str">
            <v>5119920030 Desp c/Veiculos-Peças e Acessorios (Realizado)</v>
          </cell>
          <cell r="B644">
            <v>421</v>
          </cell>
        </row>
        <row r="645">
          <cell r="A645" t="str">
            <v>5119920050 Desp c/Veiculos-Pedagio e Estacionam (Realizado)</v>
          </cell>
          <cell r="B645">
            <v>4996.8500000000004</v>
          </cell>
        </row>
        <row r="646">
          <cell r="A646" t="str">
            <v>5119920060 Desp c/Veiculos-Licenciamento (Realizado)</v>
          </cell>
          <cell r="B646">
            <v>4583.8500000000004</v>
          </cell>
        </row>
        <row r="647">
          <cell r="A647" t="str">
            <v>Despesas / Receitas Operacionais</v>
          </cell>
          <cell r="B647">
            <v>95241863.450000003</v>
          </cell>
        </row>
        <row r="648">
          <cell r="A648" t="str">
            <v>Despesas com vendas</v>
          </cell>
          <cell r="B648">
            <v>38543807.159999996</v>
          </cell>
        </row>
        <row r="649">
          <cell r="A649" t="str">
            <v>Despesas com fretes sobre vendas</v>
          </cell>
          <cell r="B649">
            <v>38539741.979999997</v>
          </cell>
        </row>
        <row r="650">
          <cell r="A650" t="str">
            <v>3140101030 Fretes s/Vendas de Produtos no MI (Realizado)</v>
          </cell>
          <cell r="B650">
            <v>37363961.140000001</v>
          </cell>
        </row>
        <row r="651">
          <cell r="A651" t="str">
            <v>3140105030 Fretes s/Revendas de Mercadorias no MI (Realiz)</v>
          </cell>
          <cell r="B651">
            <v>1175780.8400000001</v>
          </cell>
        </row>
        <row r="652">
          <cell r="A652" t="str">
            <v>Outras despesas com vendas</v>
          </cell>
          <cell r="B652">
            <v>4065.18</v>
          </cell>
        </row>
        <row r="653">
          <cell r="A653" t="str">
            <v>3140501030 Desp c/Fretes de Remessas p/Armaz Prod FP (Realiz)</v>
          </cell>
          <cell r="B653">
            <v>4062.55</v>
          </cell>
        </row>
        <row r="654">
          <cell r="A654" t="str">
            <v>3140601030 Desp Remessas p/Testes Ensaios e Prod FP (Realiz)</v>
          </cell>
          <cell r="B654">
            <v>2.63</v>
          </cell>
        </row>
        <row r="655">
          <cell r="A655" t="str">
            <v>Despesas Gerais e Administrativas</v>
          </cell>
          <cell r="B655">
            <v>44342978.420000002</v>
          </cell>
        </row>
        <row r="656">
          <cell r="A656" t="str">
            <v>Energia Elétrica consumo administrativo</v>
          </cell>
          <cell r="B656">
            <v>52841.27</v>
          </cell>
        </row>
        <row r="657">
          <cell r="A657" t="str">
            <v>3170801120 Mat Cons Oper-Luz (Realizado)</v>
          </cell>
          <cell r="B657">
            <v>52841.27</v>
          </cell>
        </row>
        <row r="658">
          <cell r="A658" t="str">
            <v>Despesas com salários e benefícios a empreg</v>
          </cell>
          <cell r="B658">
            <v>25707155.789999999</v>
          </cell>
        </row>
        <row r="659">
          <cell r="A659" t="str">
            <v>3171001010 FLPG-Remuneraçao a Dirigentes Conselho Adm (Pgto)</v>
          </cell>
          <cell r="B659">
            <v>2981421.33</v>
          </cell>
        </row>
        <row r="660">
          <cell r="A660" t="str">
            <v>3171001020 FLPG-Gratifiçao a Dirigentes Conselho Adm (Pgto)</v>
          </cell>
          <cell r="B660">
            <v>3179664.51</v>
          </cell>
        </row>
        <row r="661">
          <cell r="A661" t="str">
            <v>3171001021 FLPG-Prov Gratificaçao a Dirigentes Conselho Adm</v>
          </cell>
          <cell r="B661">
            <v>2231432.5099999998</v>
          </cell>
        </row>
        <row r="662">
          <cell r="A662" t="str">
            <v>3171001022 FLPG-Rev Prov Gratif a Dirigentes Conselho Adm</v>
          </cell>
          <cell r="B662">
            <v>-3179664.51</v>
          </cell>
        </row>
        <row r="663">
          <cell r="A663" t="str">
            <v>3171001030 FLPG-Ordenados, Salars e Outras Remun a Empreg (R)</v>
          </cell>
          <cell r="B663">
            <v>5669752.1200000001</v>
          </cell>
        </row>
        <row r="664">
          <cell r="A664" t="str">
            <v>3171001040 FLPG-13º Salario (Realizado)</v>
          </cell>
          <cell r="B664">
            <v>71138.710000000006</v>
          </cell>
        </row>
        <row r="665">
          <cell r="A665" t="str">
            <v>3171001041 FLPG-Provisao de 13º Salario</v>
          </cell>
          <cell r="B665">
            <v>502567.73</v>
          </cell>
        </row>
        <row r="666">
          <cell r="A666" t="str">
            <v>3171001042 FLPG-Reversao Provisao de 13º Salario</v>
          </cell>
          <cell r="B666">
            <v>-43056.66</v>
          </cell>
        </row>
        <row r="667">
          <cell r="A667" t="str">
            <v>3171001050 FLPG-Ferias (Realizado)</v>
          </cell>
          <cell r="B667">
            <v>1004664.49</v>
          </cell>
        </row>
        <row r="668">
          <cell r="A668" t="str">
            <v>3171001051 FLPG-Provisao de Ferias</v>
          </cell>
          <cell r="B668">
            <v>527138.78</v>
          </cell>
        </row>
        <row r="669">
          <cell r="A669" t="str">
            <v>3171001052 FLPG-Reversap da Provisao de Ferias</v>
          </cell>
          <cell r="B669">
            <v>-586546.11</v>
          </cell>
        </row>
        <row r="670">
          <cell r="A670" t="str">
            <v>3171001080 FLPG-Gratificaçao de Ferias (Realiz)</v>
          </cell>
          <cell r="B670">
            <v>341572.3</v>
          </cell>
        </row>
        <row r="671">
          <cell r="A671" t="str">
            <v>3171001081 FLPG-Provisao de Gratificaçao de Ferias</v>
          </cell>
          <cell r="B671">
            <v>297384.48</v>
          </cell>
        </row>
        <row r="672">
          <cell r="A672" t="str">
            <v>3171001082 FLPG-Reversao da Prov de Gratificaçao de Ferias</v>
          </cell>
          <cell r="B672">
            <v>-341572.3</v>
          </cell>
        </row>
        <row r="673">
          <cell r="A673" t="str">
            <v>3171001090 FLPG-Gratificaçoes (Realizado)</v>
          </cell>
          <cell r="B673">
            <v>1099378.08</v>
          </cell>
        </row>
        <row r="674">
          <cell r="A674" t="str">
            <v>3171001091 FLPG-Provisao de Gratificaçoes</v>
          </cell>
          <cell r="B674">
            <v>1182571.2</v>
          </cell>
        </row>
        <row r="675">
          <cell r="A675" t="str">
            <v>3171001092 FLPG-Reversao da Provisao de Gratificacoes</v>
          </cell>
          <cell r="B675">
            <v>-924587.7</v>
          </cell>
        </row>
        <row r="676">
          <cell r="A676" t="str">
            <v>3171001100 FLPG-Gratificoes Quinquenios (Realizado)</v>
          </cell>
          <cell r="B676">
            <v>44740.13</v>
          </cell>
        </row>
        <row r="677">
          <cell r="A677" t="str">
            <v>3171001101 FLPG-Provisao de Gratificaçoes Quinquenios</v>
          </cell>
          <cell r="B677">
            <v>-155676.38</v>
          </cell>
        </row>
        <row r="678">
          <cell r="A678" t="str">
            <v>3171001102 FLPG-Reversao Provisao Gratificacoes Quinquenios</v>
          </cell>
          <cell r="B678">
            <v>-44740.13</v>
          </cell>
        </row>
        <row r="679">
          <cell r="A679" t="str">
            <v>3171001120 FLPG-Aviso Previo (Realizado)</v>
          </cell>
          <cell r="B679">
            <v>386721.54</v>
          </cell>
        </row>
        <row r="680">
          <cell r="A680" t="str">
            <v>3171001122 FLPG-Reversao da Provisao de Aviso Previo</v>
          </cell>
          <cell r="B680">
            <v>-386721.54</v>
          </cell>
        </row>
        <row r="681">
          <cell r="A681" t="str">
            <v>3171001130 FLPG-Indenizacoes (Realizado)</v>
          </cell>
          <cell r="B681">
            <v>55123.87</v>
          </cell>
        </row>
        <row r="682">
          <cell r="A682" t="str">
            <v>3171001240 FLPG-Auxilio Doença (Realizado)</v>
          </cell>
          <cell r="B682">
            <v>16210.25</v>
          </cell>
        </row>
        <row r="683">
          <cell r="A683" t="str">
            <v>3171001250 FLPG-Auxilio Ensino (Realizado)</v>
          </cell>
          <cell r="B683">
            <v>115346.62</v>
          </cell>
        </row>
        <row r="684">
          <cell r="A684" t="str">
            <v>3171001300 FLPG-Bolsa Estudos de Estagiarios (Realizado)</v>
          </cell>
          <cell r="B684">
            <v>55117.8</v>
          </cell>
        </row>
        <row r="685">
          <cell r="A685" t="str">
            <v>3171001990 Rateio da Mão de Obra da Manutenção</v>
          </cell>
          <cell r="B685">
            <v>6637.34</v>
          </cell>
        </row>
        <row r="686">
          <cell r="A686" t="str">
            <v>3171002010 FGTS s/Folha de Pagamento (Realizado)</v>
          </cell>
          <cell r="B686">
            <v>447970.88</v>
          </cell>
        </row>
        <row r="687">
          <cell r="A687" t="str">
            <v>3171002020 FGTS s/Ferias (Realizado)</v>
          </cell>
          <cell r="B687">
            <v>34539.79</v>
          </cell>
        </row>
        <row r="688">
          <cell r="A688" t="str">
            <v>3171002021 Provisao de FGTS s/Ferias</v>
          </cell>
          <cell r="B688">
            <v>48063.040000000001</v>
          </cell>
        </row>
        <row r="689">
          <cell r="A689" t="str">
            <v>3171002022 Reversao da Provisao de FGTS s/Ferias</v>
          </cell>
          <cell r="B689">
            <v>-52776.65</v>
          </cell>
        </row>
        <row r="690">
          <cell r="A690" t="str">
            <v>3171002030 FGTS s/13º Salario (Realizado)</v>
          </cell>
          <cell r="B690">
            <v>14040.05</v>
          </cell>
        </row>
        <row r="691">
          <cell r="A691" t="str">
            <v>3171002031 Provisao de FGTS s/13º Salario</v>
          </cell>
          <cell r="B691">
            <v>53868.93</v>
          </cell>
        </row>
        <row r="692">
          <cell r="A692" t="str">
            <v>3171002032 Reversao da Provisao de FGTS s/13º Salario</v>
          </cell>
          <cell r="B692">
            <v>-17133.830000000002</v>
          </cell>
        </row>
        <row r="693">
          <cell r="A693" t="str">
            <v>3171002040 FGTS s/Desligamento de Funcionario (Realizado)</v>
          </cell>
          <cell r="B693">
            <v>1081639.71</v>
          </cell>
        </row>
        <row r="694">
          <cell r="A694" t="str">
            <v>3171002041 Provisao de FGTS s/Desligamento de Funcionario</v>
          </cell>
          <cell r="B694">
            <v>548604</v>
          </cell>
        </row>
        <row r="695">
          <cell r="A695" t="str">
            <v>3171002042 Reversao Provisao de FGTS s/Desl Funcionario</v>
          </cell>
          <cell r="B695">
            <v>-1081639.71</v>
          </cell>
        </row>
        <row r="696">
          <cell r="A696" t="str">
            <v>3171003010 INSS s/Folha de Pagamento (Realizado)</v>
          </cell>
          <cell r="B696">
            <v>2321696.71</v>
          </cell>
        </row>
        <row r="697">
          <cell r="A697" t="str">
            <v>3171003021 Provisao de INSS s/Ferias</v>
          </cell>
          <cell r="B697">
            <v>80268.34</v>
          </cell>
        </row>
        <row r="698">
          <cell r="A698" t="str">
            <v>3171003022 Reversao da Provisao de INSS s/Ferias</v>
          </cell>
          <cell r="B698">
            <v>-151371.48000000001</v>
          </cell>
        </row>
        <row r="699">
          <cell r="A699" t="str">
            <v>3171003031 Provisao de INSS s/13º Salario</v>
          </cell>
          <cell r="B699">
            <v>122949.57</v>
          </cell>
        </row>
        <row r="700">
          <cell r="A700" t="str">
            <v>3171003032 Reversao da Provisao de INSS s/13º Salario</v>
          </cell>
          <cell r="B700">
            <v>-10830.23</v>
          </cell>
        </row>
        <row r="701">
          <cell r="A701" t="str">
            <v>3171003051 Provisao de INSS s/Gratificações</v>
          </cell>
          <cell r="B701">
            <v>329547.49</v>
          </cell>
        </row>
        <row r="702">
          <cell r="A702" t="str">
            <v>3171501010 Prev Priv CD-Contribuicoes da Empresa (Realizado)</v>
          </cell>
          <cell r="B702">
            <v>2840787.12</v>
          </cell>
        </row>
        <row r="703">
          <cell r="A703" t="str">
            <v>3171501015 Prev Priv CD-Participaçao dos Empregados</v>
          </cell>
          <cell r="B703">
            <v>-904939.11</v>
          </cell>
        </row>
        <row r="704">
          <cell r="A704" t="str">
            <v>3171502011 Provisao Seguro de Vida em Grupo</v>
          </cell>
          <cell r="B704">
            <v>354718.06</v>
          </cell>
        </row>
        <row r="705">
          <cell r="A705" t="str">
            <v>3171503010 Assistencia Medica e Hospitalar (Realizado)</v>
          </cell>
          <cell r="B705">
            <v>2581539.2000000002</v>
          </cell>
        </row>
        <row r="706">
          <cell r="A706" t="str">
            <v>3171503015 Partic dos Empregados Assistenc Medica e Hospit</v>
          </cell>
          <cell r="B706">
            <v>-143638.72</v>
          </cell>
        </row>
        <row r="707">
          <cell r="A707" t="str">
            <v>3171503020 Assistencia Medica e Hospitalar Aposent (Realiz)</v>
          </cell>
          <cell r="B707">
            <v>237166.92</v>
          </cell>
        </row>
        <row r="708">
          <cell r="A708" t="str">
            <v>3171503021 Provisao Assistencia Medica Hospitalar Aposentados</v>
          </cell>
          <cell r="B708">
            <v>164598</v>
          </cell>
        </row>
        <row r="709">
          <cell r="A709" t="str">
            <v>3171503022 Reversao Prov Assist Medica Hospitalar Aposentados</v>
          </cell>
          <cell r="B709">
            <v>-237166.92</v>
          </cell>
        </row>
        <row r="710">
          <cell r="A710" t="str">
            <v>3171503030 Assistencia Odontologica (Realizado)</v>
          </cell>
          <cell r="B710">
            <v>100344.52</v>
          </cell>
        </row>
        <row r="711">
          <cell r="A711" t="str">
            <v>3171503035 Participacao dos Empregados Assist Odontologica</v>
          </cell>
          <cell r="B711">
            <v>-10700.7</v>
          </cell>
        </row>
        <row r="712">
          <cell r="A712" t="str">
            <v>3171503040 Despesas Medicas e Hospitalares (Realizado)</v>
          </cell>
          <cell r="B712">
            <v>71419.95</v>
          </cell>
        </row>
        <row r="713">
          <cell r="A713" t="str">
            <v>3171504010 Desenv Prof-Cursos (Realizado)</v>
          </cell>
          <cell r="B713">
            <v>120220.7</v>
          </cell>
        </row>
        <row r="714">
          <cell r="A714" t="str">
            <v>3171504020 Desenv Prof-Material de Consumo em Cursos (Realiz)</v>
          </cell>
          <cell r="B714">
            <v>1564.9</v>
          </cell>
        </row>
        <row r="715">
          <cell r="A715" t="str">
            <v>3171504030 Desenv Prof-Serviços de Tercrs em Cursos (Realiz)</v>
          </cell>
          <cell r="B715">
            <v>1770</v>
          </cell>
        </row>
        <row r="716">
          <cell r="A716" t="str">
            <v>3171504040 Desenv Prof-Diarias em Cursos (Realizado)</v>
          </cell>
          <cell r="B716">
            <v>1478.92</v>
          </cell>
        </row>
        <row r="717">
          <cell r="A717" t="str">
            <v>3171504050 Desenv Prof-Transportes em Cursos (Realizado)</v>
          </cell>
          <cell r="B717">
            <v>20056.53</v>
          </cell>
        </row>
        <row r="718">
          <cell r="A718" t="str">
            <v>3171504060 Desenv Prof-Refeiçoes em Cursos (Realizado)</v>
          </cell>
          <cell r="B718">
            <v>19513.11</v>
          </cell>
        </row>
        <row r="719">
          <cell r="A719" t="str">
            <v>3171504070 Desenv Prof-Aprendiz de Menores em Cursos (Realiz)</v>
          </cell>
          <cell r="B719">
            <v>7365.6</v>
          </cell>
        </row>
        <row r="720">
          <cell r="A720" t="str">
            <v>3171505010 Desp Soc-Contrib Associaçao Desportiva (Realizado)</v>
          </cell>
          <cell r="B720">
            <v>6967</v>
          </cell>
        </row>
        <row r="721">
          <cell r="A721" t="str">
            <v>3171505020 Desp Soc-Comemoraçoes e Eventos (Realizado)</v>
          </cell>
          <cell r="B721">
            <v>25967.75</v>
          </cell>
        </row>
        <row r="722">
          <cell r="A722" t="str">
            <v>3171505030 Desp Soc-Assistencia Social Funcionarios (Realiz)</v>
          </cell>
          <cell r="B722">
            <v>27559.66</v>
          </cell>
        </row>
        <row r="723">
          <cell r="A723" t="str">
            <v>3171505050 Desp Soc-Comunicaçao Interna (Realizado)</v>
          </cell>
          <cell r="B723">
            <v>3305</v>
          </cell>
        </row>
        <row r="724">
          <cell r="A724" t="str">
            <v>3171506010 Desp Transp-Conduçao Contratada (Realizado)</v>
          </cell>
          <cell r="B724">
            <v>1411373.93</v>
          </cell>
        </row>
        <row r="725">
          <cell r="A725" t="str">
            <v>3171506015 Participaçao dos Empregados-Conduçao Contratada</v>
          </cell>
          <cell r="B725">
            <v>-18715.05</v>
          </cell>
        </row>
        <row r="726">
          <cell r="A726" t="str">
            <v>3171506020 Despesa Vale Transporte (Realizado)</v>
          </cell>
          <cell r="B726">
            <v>28385.19</v>
          </cell>
        </row>
        <row r="727">
          <cell r="A727" t="str">
            <v>3171506025 Participaçao dos Empregados-Vale Transporte</v>
          </cell>
          <cell r="B727">
            <v>-1399.71</v>
          </cell>
        </row>
        <row r="728">
          <cell r="A728" t="str">
            <v>3171506030 Despesa Taxi e Conduçoes (Realizado)</v>
          </cell>
          <cell r="B728">
            <v>148427.92000000001</v>
          </cell>
        </row>
        <row r="729">
          <cell r="A729" t="str">
            <v>3171506040 Despesa Aluguel de Veiculos (Realizado)</v>
          </cell>
          <cell r="B729">
            <v>13811.1</v>
          </cell>
        </row>
        <row r="730">
          <cell r="A730" t="str">
            <v>3171507010 Despesa Refeiçoes Prontas (Realizado)</v>
          </cell>
          <cell r="B730">
            <v>748367.26</v>
          </cell>
        </row>
        <row r="731">
          <cell r="A731" t="str">
            <v>3171507015 Participaçao dos Empregados-Refeiçoes Prontas</v>
          </cell>
          <cell r="B731">
            <v>-75283.520000000004</v>
          </cell>
        </row>
        <row r="732">
          <cell r="A732" t="str">
            <v>3171507020 Despesa Material de Consumo Refeitorio (Realiz)</v>
          </cell>
          <cell r="B732">
            <v>83761.41</v>
          </cell>
        </row>
        <row r="733">
          <cell r="A733" t="str">
            <v>3171507025 Desp Material Consumo Refeitorio Descont Func-R</v>
          </cell>
          <cell r="B733">
            <v>10173.120000000001</v>
          </cell>
        </row>
        <row r="734">
          <cell r="A734" t="str">
            <v>3171507030 Despesa Refeiçoes-Visita e Outras (Realizado)</v>
          </cell>
          <cell r="B734">
            <v>112692.48</v>
          </cell>
        </row>
        <row r="735">
          <cell r="A735" t="str">
            <v>3171507040 Despesa Refeiçoes-Lanches Externos (Realizado)</v>
          </cell>
          <cell r="B735">
            <v>80209.100000000006</v>
          </cell>
        </row>
        <row r="736">
          <cell r="A736" t="str">
            <v>Encargos de depreciação e amortização na DGA</v>
          </cell>
          <cell r="B736">
            <v>5966680.4699999997</v>
          </cell>
        </row>
        <row r="737">
          <cell r="A737" t="str">
            <v>3179001010 Encarg de Deprec e Amort-Depreciaçao (Realizado)</v>
          </cell>
          <cell r="B737">
            <v>637771.24</v>
          </cell>
        </row>
        <row r="738">
          <cell r="A738" t="str">
            <v>3179001011 Encarg de Depreciaçao Mais Valia (Realizado)</v>
          </cell>
          <cell r="B738">
            <v>93705.63</v>
          </cell>
        </row>
        <row r="739">
          <cell r="A739" t="str">
            <v>3179001012 Encs de Depreciaçao Mais Valia Comb Neg(Realizado)</v>
          </cell>
          <cell r="B739">
            <v>93705.63</v>
          </cell>
        </row>
        <row r="740">
          <cell r="A740" t="str">
            <v>3179001014 Encarg de Depreciaçao do AVP (Realizado)</v>
          </cell>
          <cell r="B740">
            <v>4793.93</v>
          </cell>
        </row>
        <row r="741">
          <cell r="A741" t="str">
            <v>3179001050 Encarg de Deprec e Amort-Amortizaçao (Realizado)</v>
          </cell>
          <cell r="B741">
            <v>1650428.67</v>
          </cell>
        </row>
        <row r="742">
          <cell r="A742" t="str">
            <v>3179001054 Encargs de Amortizaçao AVP (Realizado)</v>
          </cell>
          <cell r="B742">
            <v>6125.13</v>
          </cell>
        </row>
        <row r="743">
          <cell r="A743" t="str">
            <v>3179001104 Encargs de Amortizaçao Investimentos (Realizado)</v>
          </cell>
          <cell r="B743">
            <v>3480150.24</v>
          </cell>
        </row>
        <row r="744">
          <cell r="A744" t="str">
            <v>Serviços de terceiros nas DGAs</v>
          </cell>
          <cell r="B744">
            <v>7462898.4199999999</v>
          </cell>
        </row>
        <row r="745">
          <cell r="A745" t="str">
            <v>3172001010 Serviços Prestados Advocacia p/PJ (Realizado)</v>
          </cell>
          <cell r="B745">
            <v>3159445.08</v>
          </cell>
        </row>
        <row r="746">
          <cell r="A746" t="str">
            <v>3172001015 Rec Desps c/Honorarios Advocaticios (Realizado)</v>
          </cell>
          <cell r="B746">
            <v>-73206.73</v>
          </cell>
        </row>
        <row r="747">
          <cell r="A747" t="str">
            <v>3172002010 Serviços Prestados Auditoria  p/PJ (Realizado)</v>
          </cell>
          <cell r="B747">
            <v>160500</v>
          </cell>
        </row>
        <row r="748">
          <cell r="A748" t="str">
            <v>3172003010 Serviços Prestados Consultoria p/PJ (Realizado)</v>
          </cell>
          <cell r="B748">
            <v>1998140.82</v>
          </cell>
        </row>
        <row r="749">
          <cell r="A749" t="str">
            <v>3172003040 Serv Prest Consultoria p/PF s/Vinc Empr (Realiz)</v>
          </cell>
          <cell r="B749">
            <v>118757.95</v>
          </cell>
        </row>
        <row r="750">
          <cell r="A750" t="str">
            <v>3172007010 Serv Prest Informaçoes Cadastrais p/PJ (Realiz)</v>
          </cell>
          <cell r="B750">
            <v>93438.080000000002</v>
          </cell>
        </row>
        <row r="751">
          <cell r="A751" t="str">
            <v>3172008010 Serv Prest Propaganda e Publicidade p/PJ (Realiz)</v>
          </cell>
          <cell r="B751">
            <v>35073</v>
          </cell>
        </row>
        <row r="752">
          <cell r="A752" t="str">
            <v>3172009010 Serv Prest Atualiz/Suporte Tecnico p/PJ (Realiz)</v>
          </cell>
          <cell r="B752">
            <v>641413.54</v>
          </cell>
        </row>
        <row r="753">
          <cell r="A753" t="str">
            <v>3172010010 Serviços Prestados Temporario p/PJ (Realizado)</v>
          </cell>
          <cell r="B753">
            <v>239773.07</v>
          </cell>
        </row>
        <row r="754">
          <cell r="A754" t="str">
            <v>3172011010 Serviços Prestados Limpeza p/ PJ (Realizado)</v>
          </cell>
          <cell r="B754">
            <v>90636.78</v>
          </cell>
        </row>
        <row r="755">
          <cell r="A755" t="str">
            <v>3172012010 Serviços Prestados Vigilancia PJ (Realiz)</v>
          </cell>
          <cell r="B755">
            <v>568488.23</v>
          </cell>
        </row>
        <row r="756">
          <cell r="A756" t="str">
            <v>3172018010 Serv Prest Reparos Assist Tecnica p/PJ (Realiz)</v>
          </cell>
          <cell r="B756">
            <v>64229.69</v>
          </cell>
        </row>
        <row r="757">
          <cell r="A757" t="str">
            <v>3172099010 Prest Serv Tecnicos Profissionais p/PJ (Realiz)</v>
          </cell>
          <cell r="B757">
            <v>326209.94</v>
          </cell>
        </row>
        <row r="758">
          <cell r="A758" t="str">
            <v>3172099040 Serv Prest Tec Profissionais p/PF s/Vin Empr (R)</v>
          </cell>
          <cell r="B758">
            <v>14262.14</v>
          </cell>
        </row>
        <row r="759">
          <cell r="A759" t="str">
            <v>3172150010 Serv Prest Manutençao Civil p/PJ (Realizado)</v>
          </cell>
          <cell r="B759">
            <v>10044.780000000001</v>
          </cell>
        </row>
        <row r="760">
          <cell r="A760" t="str">
            <v>3172151010 Serv Prest Manutençao Eletricos p/PJ (Realiz)</v>
          </cell>
          <cell r="B760">
            <v>5754.27</v>
          </cell>
        </row>
        <row r="761">
          <cell r="A761" t="str">
            <v>3172199010 Serv Prest Manutençao Geral p/PJ (Realizado)</v>
          </cell>
          <cell r="B761">
            <v>9937.7800000000007</v>
          </cell>
        </row>
        <row r="762">
          <cell r="A762" t="str">
            <v>Outras despesas gerais administrativas</v>
          </cell>
          <cell r="B762">
            <v>5153402.47</v>
          </cell>
        </row>
        <row r="763">
          <cell r="A763" t="str">
            <v>3170801070 Mat Cons Oper-Reparo e Manutençao (Realiz)</v>
          </cell>
          <cell r="B763">
            <v>593.87</v>
          </cell>
        </row>
        <row r="764">
          <cell r="A764" t="str">
            <v>3170801090 Mat Cons Oper-Limpeza (Realizado)</v>
          </cell>
          <cell r="B764">
            <v>72.959999999999994</v>
          </cell>
        </row>
        <row r="765">
          <cell r="A765" t="str">
            <v>3170801100 Mat Cons Oper-Segurança (Realizado)</v>
          </cell>
          <cell r="B765">
            <v>1750.05</v>
          </cell>
        </row>
        <row r="766">
          <cell r="A766" t="str">
            <v>3170801130 Mat Cons Oper-Escritorio (Realizado)</v>
          </cell>
          <cell r="B766">
            <v>29596.65</v>
          </cell>
        </row>
        <row r="767">
          <cell r="A767" t="str">
            <v>3170801140 Mat Cons Oper-Imobilizado (Realizado)</v>
          </cell>
          <cell r="B767">
            <v>938.2</v>
          </cell>
        </row>
        <row r="768">
          <cell r="A768" t="str">
            <v>3170802990 Materias Consumo-Manutencao em Geral (Realiz)</v>
          </cell>
          <cell r="B768">
            <v>12706.01</v>
          </cell>
        </row>
        <row r="769">
          <cell r="A769" t="str">
            <v>3171901010 Sel Recrut-Servs de Tercrs p/Seleçao e Recrut (R)</v>
          </cell>
          <cell r="B769">
            <v>1860</v>
          </cell>
        </row>
        <row r="770">
          <cell r="A770" t="str">
            <v>3171902010 Despesa Viagens Nacionais (Realizado)</v>
          </cell>
          <cell r="B770">
            <v>177007.5</v>
          </cell>
        </row>
        <row r="771">
          <cell r="A771" t="str">
            <v>3171902020 Despesas Viagens Internacionais (Realizado)</v>
          </cell>
          <cell r="B771">
            <v>-12383.34</v>
          </cell>
        </row>
        <row r="772">
          <cell r="A772" t="str">
            <v>3173501010 Desp Correspondencia-Malote (Realizado)</v>
          </cell>
          <cell r="B772">
            <v>80104.639999999999</v>
          </cell>
        </row>
        <row r="773">
          <cell r="A773" t="str">
            <v>3173501020 Desp Correspondencia-Postais (Realizado)</v>
          </cell>
          <cell r="B773">
            <v>10558.01</v>
          </cell>
        </row>
        <row r="774">
          <cell r="A774" t="str">
            <v>3173505010 Desp Telec-Desp c/Telefonia Fixa (Realizado)</v>
          </cell>
          <cell r="B774">
            <v>-12393.27</v>
          </cell>
        </row>
        <row r="775">
          <cell r="A775" t="str">
            <v>3173505020 Desp Telec-Desp c/Telefonia Movel (Realizado)</v>
          </cell>
          <cell r="B775">
            <v>72161.990000000005</v>
          </cell>
        </row>
        <row r="776">
          <cell r="A776" t="str">
            <v>3173505030 Desp Telec-Desp Comun Dados EC/FC Internet(Realiz)</v>
          </cell>
          <cell r="B776">
            <v>85722.15</v>
          </cell>
        </row>
        <row r="777">
          <cell r="A777" t="str">
            <v>3173505040 Desp Telec-Desp Comum Dados Internet (Realizado)</v>
          </cell>
          <cell r="B777">
            <v>42325.01</v>
          </cell>
        </row>
        <row r="778">
          <cell r="A778" t="str">
            <v>3173505060 Desp Telec-Desp Comum Dados Banda Larga(Realizado)</v>
          </cell>
          <cell r="B778">
            <v>2850.83</v>
          </cell>
        </row>
        <row r="779">
          <cell r="A779" t="str">
            <v>3173505070 Desp Telec-Desp Comum Dados Video Conferen(Realiz)</v>
          </cell>
          <cell r="B779">
            <v>3639.2</v>
          </cell>
        </row>
        <row r="780">
          <cell r="A780" t="str">
            <v>3174001010 DLF-Desp c/Publicidade Atas e Balanços (Realizado)</v>
          </cell>
          <cell r="B780">
            <v>27038.91</v>
          </cell>
        </row>
        <row r="781">
          <cell r="A781" t="str">
            <v>3174001020 DLF-Desp Escritur Procuraçoes e Contratos (Realiz)</v>
          </cell>
          <cell r="B781">
            <v>170</v>
          </cell>
        </row>
        <row r="782">
          <cell r="A782" t="str">
            <v>3174001030 DLF-Desp Autenticidade Reconhecde Firmas (Realiz)</v>
          </cell>
          <cell r="B782">
            <v>13236.12</v>
          </cell>
        </row>
        <row r="783">
          <cell r="A783" t="str">
            <v>3174001040 DLF-Desp c/ Custas Judiciais (Realizado)</v>
          </cell>
          <cell r="B783">
            <v>25204.63</v>
          </cell>
        </row>
        <row r="784">
          <cell r="A784" t="str">
            <v>3174001990 DLF-Outras Despesas Legais (Realizado)</v>
          </cell>
          <cell r="B784">
            <v>57443.45</v>
          </cell>
        </row>
        <row r="785">
          <cell r="A785" t="str">
            <v>3174002010 DITC-Contribuiçao Sindical Patronal (Realizado)</v>
          </cell>
          <cell r="B785">
            <v>3338.82</v>
          </cell>
        </row>
        <row r="786">
          <cell r="A786" t="str">
            <v>3174002020 DITC-Predial e Territorial (Realizado)</v>
          </cell>
          <cell r="B786">
            <v>1126039.69</v>
          </cell>
        </row>
        <row r="787">
          <cell r="A787" t="str">
            <v>3174002021 DITC-Provisao Imposto Predial Territorial (Realiz)</v>
          </cell>
          <cell r="B787">
            <v>76404</v>
          </cell>
        </row>
        <row r="788">
          <cell r="A788" t="str">
            <v>3174002030 DITC-Licença e Funcionamento (Realizado)</v>
          </cell>
          <cell r="B788">
            <v>10678.39</v>
          </cell>
        </row>
        <row r="789">
          <cell r="A789" t="str">
            <v>3174002040 DITC-ICMS s/Aquisiçao de Imobilizado (Realizado)</v>
          </cell>
          <cell r="B789">
            <v>4037.4</v>
          </cell>
        </row>
        <row r="790">
          <cell r="A790" t="str">
            <v>3174002060 DITC-Txs Municipais,Estaduais,Federais (Realizado)</v>
          </cell>
          <cell r="B790">
            <v>4652.01</v>
          </cell>
        </row>
        <row r="791">
          <cell r="A791" t="str">
            <v>3174003010 Multas Fiscais Indedutiveis (Realizado)</v>
          </cell>
          <cell r="B791">
            <v>5128.2</v>
          </cell>
        </row>
        <row r="792">
          <cell r="A792" t="str">
            <v>3175001010 Desp Seguro-Automoveis (Realizado)</v>
          </cell>
          <cell r="B792">
            <v>25162.62</v>
          </cell>
        </row>
        <row r="793">
          <cell r="A793" t="str">
            <v>3175001020 Desp Seguro-Responsabilidade Civil (Realizado)</v>
          </cell>
          <cell r="B793">
            <v>336578.26</v>
          </cell>
        </row>
        <row r="794">
          <cell r="A794" t="str">
            <v>3175001030 Desp Seguro-Risco Nomeado (Realizado)</v>
          </cell>
          <cell r="B794">
            <v>880063.5</v>
          </cell>
        </row>
        <row r="795">
          <cell r="A795" t="str">
            <v>3175001040 Desp Seguro-Riscos Diversos (Realizado)</v>
          </cell>
          <cell r="B795">
            <v>3108.72</v>
          </cell>
        </row>
        <row r="796">
          <cell r="A796" t="str">
            <v>3175001050 Desp Seguro-Ambiental (Realizado)</v>
          </cell>
          <cell r="B796">
            <v>104666.67</v>
          </cell>
        </row>
        <row r="797">
          <cell r="A797" t="str">
            <v>3176001010 Desp Real Even-Semi Fora da Cia Gestao (Realizado)</v>
          </cell>
          <cell r="B797">
            <v>8867.32</v>
          </cell>
        </row>
        <row r="798">
          <cell r="A798" t="str">
            <v>3176001020 Desp Reali Eventos-Eventos Gestao (Realizado)</v>
          </cell>
          <cell r="B798">
            <v>3348.96</v>
          </cell>
        </row>
        <row r="799">
          <cell r="A799" t="str">
            <v>3176002010 Desp Eventos Marketing (Realizado)</v>
          </cell>
          <cell r="B799">
            <v>300</v>
          </cell>
        </row>
        <row r="800">
          <cell r="A800" t="str">
            <v>3176002020 Desp c/Marketing-Relaçoes Publicas (Realizado)</v>
          </cell>
          <cell r="B800">
            <v>215868.22</v>
          </cell>
        </row>
        <row r="801">
          <cell r="A801" t="str">
            <v>3176002030 Desp c/Marketing-Patrocinios (Realizado)</v>
          </cell>
          <cell r="B801">
            <v>16560</v>
          </cell>
        </row>
        <row r="802">
          <cell r="A802" t="str">
            <v>3176002040 Desp c/Marketing-Programa Fabrica Aberta (Realiz)</v>
          </cell>
          <cell r="B802">
            <v>25175</v>
          </cell>
        </row>
        <row r="803">
          <cell r="A803" t="str">
            <v>3177002020 EPCT-Estudos de Engenharia(Realizado)</v>
          </cell>
          <cell r="B803">
            <v>20760</v>
          </cell>
        </row>
        <row r="804">
          <cell r="A804" t="str">
            <v>3178001990 DPC Ind-Outras Contrib/Doaçoes Indeduts (Realiz)</v>
          </cell>
          <cell r="B804">
            <v>25484.94</v>
          </cell>
        </row>
        <row r="805">
          <cell r="A805" t="str">
            <v>3178002050 DPC Ded-Contrib a Entidades de Classes (Realizado)</v>
          </cell>
          <cell r="B805">
            <v>599558.30000000005</v>
          </cell>
        </row>
        <row r="806">
          <cell r="A806" t="str">
            <v>3178002990 DPC Ded-Outras Contrib e Doaçoes Dedutivs (Realiz)</v>
          </cell>
          <cell r="B806">
            <v>35000</v>
          </cell>
        </row>
        <row r="807">
          <cell r="A807" t="str">
            <v>3179905040 Desp Alug/Loc.Oper-Equip Impressao/Copias(Realiz)</v>
          </cell>
          <cell r="B807">
            <v>116254.04</v>
          </cell>
        </row>
        <row r="808">
          <cell r="A808" t="str">
            <v>3179905050 Desp Alug/Loc.Oper-Loc de Equip Telefonia(Realiz)</v>
          </cell>
          <cell r="B808">
            <v>56260.77</v>
          </cell>
        </row>
        <row r="809">
          <cell r="A809" t="str">
            <v>3179905100 Desp Alug/Loc.Oper-Aluguel de Imovel (Realizado)</v>
          </cell>
          <cell r="B809">
            <v>615094.85</v>
          </cell>
        </row>
        <row r="810">
          <cell r="A810" t="str">
            <v>3179910010 Assin L.IT.J.R-Ass de Jornais e Revistas (Realiz)</v>
          </cell>
          <cell r="B810">
            <v>5145.96</v>
          </cell>
        </row>
        <row r="811">
          <cell r="A811" t="str">
            <v>3179910030 Assin L.IT.J.R-Ass Livros/Inform Tecnicos (Realiz)</v>
          </cell>
          <cell r="B811">
            <v>88782.62</v>
          </cell>
        </row>
        <row r="812">
          <cell r="A812" t="str">
            <v>3179915010 Desp c/Impressao e Copias fora da Cia (Realizado)</v>
          </cell>
          <cell r="B812">
            <v>20.8</v>
          </cell>
        </row>
        <row r="813">
          <cell r="A813" t="str">
            <v>3179920010 Desp c/Veiculos-Abastecimento (Realizado)</v>
          </cell>
          <cell r="B813">
            <v>27681.37</v>
          </cell>
        </row>
        <row r="814">
          <cell r="A814" t="str">
            <v>3179920020 Desp c/Veiculos-Reparos e Manutençoes (Realizado)</v>
          </cell>
          <cell r="B814">
            <v>3661.5</v>
          </cell>
        </row>
        <row r="815">
          <cell r="A815" t="str">
            <v>3179920030 Desp c/Veiculos-Peças e Acessorios (Realizado)</v>
          </cell>
          <cell r="B815">
            <v>6714.53</v>
          </cell>
        </row>
        <row r="816">
          <cell r="A816" t="str">
            <v>3179920040 Desp c/Veiculos-Lavagem e Lubrificaçao (Realizado)</v>
          </cell>
          <cell r="B816">
            <v>1306.0999999999999</v>
          </cell>
        </row>
        <row r="817">
          <cell r="A817" t="str">
            <v>3179920050 Desp c/Veiculos-Pedagio e Estacionam (Realizado)</v>
          </cell>
          <cell r="B817">
            <v>36818.69</v>
          </cell>
        </row>
        <row r="818">
          <cell r="A818" t="str">
            <v>3179920060 Desp c/Veiculos-Licenciamento (Realizado)</v>
          </cell>
          <cell r="B818">
            <v>44676.65</v>
          </cell>
        </row>
        <row r="819">
          <cell r="A819" t="str">
            <v>Outras despesas / receitas operacionais</v>
          </cell>
          <cell r="B819">
            <v>3432137.03</v>
          </cell>
        </row>
        <row r="820">
          <cell r="A820" t="str">
            <v>Outras receitas operacionais</v>
          </cell>
          <cell r="B820">
            <v>-28747.3</v>
          </cell>
        </row>
        <row r="821">
          <cell r="A821" t="str">
            <v>3310101010 Receita c/Dividendos Recebidos (Realizado)</v>
          </cell>
          <cell r="B821">
            <v>-13110.62</v>
          </cell>
        </row>
        <row r="822">
          <cell r="A822" t="str">
            <v>3310105010 Res Liq Bx At Fixo-Rec Alienaç B/D At.Perman (R)</v>
          </cell>
          <cell r="B822">
            <v>-19313.330000000002</v>
          </cell>
        </row>
        <row r="823">
          <cell r="A823" t="str">
            <v>3310105020 (-)R Liq Bx At Fix-Vlr Contabil B/D Baixados (R)</v>
          </cell>
          <cell r="B823">
            <v>131524.43</v>
          </cell>
        </row>
        <row r="824">
          <cell r="A824" t="str">
            <v>3310105021 (-)R Liq Bx A Fix-Vr Contab B/D Baixados MV(R)</v>
          </cell>
          <cell r="B824">
            <v>18456.22</v>
          </cell>
        </row>
        <row r="825">
          <cell r="A825" t="str">
            <v>3310105022 (-)R Liq Bx A Fix-Vr Contab B/D Baixados MVCN(R)</v>
          </cell>
          <cell r="B825">
            <v>18456.22</v>
          </cell>
        </row>
        <row r="826">
          <cell r="A826" t="str">
            <v>3310109990 Multas Contratuais Aplicadas</v>
          </cell>
          <cell r="B826">
            <v>-164664</v>
          </cell>
        </row>
        <row r="827">
          <cell r="A827" t="str">
            <v>3310204010 Dividendos Próprios Não Realizados</v>
          </cell>
          <cell r="B827">
            <v>-96.22</v>
          </cell>
        </row>
        <row r="828">
          <cell r="A828" t="str">
            <v>Outras despesas operacionais</v>
          </cell>
          <cell r="B828">
            <v>3460884.33</v>
          </cell>
        </row>
        <row r="829">
          <cell r="A829" t="str">
            <v>3310110010 Desp c/Proc Jud-Tributarios (Realizado)</v>
          </cell>
          <cell r="B829">
            <v>150545.87</v>
          </cell>
        </row>
        <row r="830">
          <cell r="A830" t="str">
            <v>3310110011 Desp c/Proc Jud-Constit Contingencias Tributarias</v>
          </cell>
          <cell r="B830">
            <v>35232.400000000001</v>
          </cell>
        </row>
        <row r="831">
          <cell r="A831" t="str">
            <v>3310110012 Desp c/Proc Jud-Reversao Contingencias Tributárias</v>
          </cell>
          <cell r="B831">
            <v>-185070.79</v>
          </cell>
        </row>
        <row r="832">
          <cell r="A832" t="str">
            <v>3310110015 Desp c/Proc Jud-Tributarios (Recuperado)</v>
          </cell>
          <cell r="B832">
            <v>-1571.06</v>
          </cell>
        </row>
        <row r="833">
          <cell r="A833" t="str">
            <v>3310110020 Desp c/Proc Trabalhista (Realizado)</v>
          </cell>
          <cell r="B833">
            <v>2044.26</v>
          </cell>
        </row>
        <row r="834">
          <cell r="A834" t="str">
            <v>3310110021 Desp c/Proc Trab-Constit Contingenc Trabalhistas</v>
          </cell>
          <cell r="B834">
            <v>2664576.2000000002</v>
          </cell>
        </row>
        <row r="835">
          <cell r="A835" t="str">
            <v>3310110031 Desp c/Proc Civeis-Constit Contingencias Civeis</v>
          </cell>
          <cell r="B835">
            <v>69824.5</v>
          </cell>
        </row>
        <row r="836">
          <cell r="A836" t="str">
            <v>3310140010 Desp n Cor Multas Indedutiveis (Realizado)</v>
          </cell>
          <cell r="B836">
            <v>356066.6</v>
          </cell>
        </row>
        <row r="837">
          <cell r="A837" t="str">
            <v>3310190010 Perdas Operacoes de Credito Incobraveis (Realiz)</v>
          </cell>
          <cell r="B837">
            <v>600895.57999999996</v>
          </cell>
        </row>
        <row r="838">
          <cell r="A838" t="str">
            <v>3310190011 Provisao Perdas em Opercao Credito-PCLD</v>
          </cell>
          <cell r="B838">
            <v>331975.25</v>
          </cell>
        </row>
        <row r="839">
          <cell r="A839" t="str">
            <v>3310190012 Reversap Provisao p/ Perdas Operacoes Cred-PCLD</v>
          </cell>
          <cell r="B839">
            <v>-563634.48</v>
          </cell>
        </row>
        <row r="840">
          <cell r="A840" t="str">
            <v>Resultado de equivalência patrimonial</v>
          </cell>
          <cell r="B840">
            <v>8922940.8399999999</v>
          </cell>
        </row>
        <row r="841">
          <cell r="A841" t="str">
            <v>3310201020 Result Negativo Paticipacoes Societarias (R)</v>
          </cell>
          <cell r="B841">
            <v>8922940.8399999999</v>
          </cell>
        </row>
        <row r="842">
          <cell r="A842" t="str">
            <v>Resultado financeiro</v>
          </cell>
          <cell r="B842">
            <v>28374767.890000001</v>
          </cell>
        </row>
        <row r="843">
          <cell r="A843" t="str">
            <v>Receitas financeiras</v>
          </cell>
          <cell r="B843">
            <v>-19114852.09</v>
          </cell>
        </row>
        <row r="844">
          <cell r="A844" t="str">
            <v>Receita de equivalentes de caixa e TVM</v>
          </cell>
          <cell r="B844">
            <v>-16704595.77</v>
          </cell>
        </row>
        <row r="845">
          <cell r="A845" t="str">
            <v>3510101010 Rec Financ-Juros s/Aplic Financeiras (Realizado)</v>
          </cell>
          <cell r="B845">
            <v>-16704595.77</v>
          </cell>
        </row>
        <row r="846">
          <cell r="A846" t="str">
            <v>Variações cambiais ativas s/contr camb exter</v>
          </cell>
          <cell r="B846">
            <v>-82448.63</v>
          </cell>
        </row>
        <row r="847">
          <cell r="A847" t="str">
            <v>3530101010 Var C Liq At-Ganho Var Camb s/Receb Exterior (R)</v>
          </cell>
          <cell r="B847">
            <v>-84408.29</v>
          </cell>
        </row>
        <row r="848">
          <cell r="A848" t="str">
            <v>3530101020 Var C Liq At-Perda Var Camb s/Receb Exterior (R)</v>
          </cell>
          <cell r="B848">
            <v>1959.66</v>
          </cell>
        </row>
        <row r="849">
          <cell r="A849" t="str">
            <v>Outras receitas financeiras</v>
          </cell>
          <cell r="B849">
            <v>-2327807.69</v>
          </cell>
        </row>
        <row r="850">
          <cell r="A850" t="str">
            <v>3510101090 Rec Financ-Juros s/Capital Proprio (Realizado)</v>
          </cell>
          <cell r="B850">
            <v>-51045.34</v>
          </cell>
        </row>
        <row r="851">
          <cell r="A851" t="str">
            <v>3510101990 Rec Financ-Juros s/Outros Ativos (Realizado)</v>
          </cell>
          <cell r="B851">
            <v>-6626.71</v>
          </cell>
        </row>
        <row r="852">
          <cell r="A852" t="str">
            <v>3510102010 Rec Financ-Var Monet s/Deposit Judic (Realizado)</v>
          </cell>
          <cell r="B852">
            <v>-2638.55</v>
          </cell>
        </row>
        <row r="853">
          <cell r="A853" t="str">
            <v>3510102011 Rec Financ-Prov Var Monet s/ Depositos Judiciais</v>
          </cell>
          <cell r="B853">
            <v>-1497341.73</v>
          </cell>
        </row>
        <row r="854">
          <cell r="A854" t="str">
            <v>3510102020 Rec Financ-Var Monet s/Impostos a Recup. (Realiza)</v>
          </cell>
          <cell r="B854">
            <v>-138226.82999999999</v>
          </cell>
        </row>
        <row r="855">
          <cell r="A855" t="str">
            <v>3510102990 Rec Finan-Var Monetaria s/Outros Ativos(Realizado)</v>
          </cell>
          <cell r="B855">
            <v>-231308.47</v>
          </cell>
        </row>
        <row r="856">
          <cell r="A856" t="str">
            <v>3510103010 Rec Financ-Encargos s/Cobrança Duplic(Realizado)</v>
          </cell>
          <cell r="B856">
            <v>-149002.81</v>
          </cell>
        </row>
        <row r="857">
          <cell r="A857" t="str">
            <v>3510103030 Rec Financ-Descontos Obtidos (Realizado)</v>
          </cell>
          <cell r="B857">
            <v>-27083.52</v>
          </cell>
        </row>
        <row r="858">
          <cell r="A858" t="str">
            <v>3510105010 Rec Financ-Bonificaçoes s/Adm Apolice (Realizado)</v>
          </cell>
          <cell r="B858">
            <v>-815.48</v>
          </cell>
        </row>
        <row r="859">
          <cell r="A859" t="str">
            <v>3510106014 Rec Financ-Cont.AVP/ICMS Recup s/Aquis de At.Fixo</v>
          </cell>
          <cell r="B859">
            <v>-204661.56</v>
          </cell>
        </row>
        <row r="860">
          <cell r="A860" t="str">
            <v>3510199990 Rec Financ-Demais Receitas Financeiras (Realizado)</v>
          </cell>
          <cell r="B860">
            <v>-19056.689999999999</v>
          </cell>
        </row>
        <row r="861">
          <cell r="A861" t="str">
            <v>Despesas financeiras</v>
          </cell>
          <cell r="B861">
            <v>47489619.979999997</v>
          </cell>
        </row>
        <row r="862">
          <cell r="A862" t="str">
            <v>Juros de empréstimos e financiamentos</v>
          </cell>
          <cell r="B862">
            <v>44336959.420000002</v>
          </cell>
        </row>
        <row r="863">
          <cell r="A863" t="str">
            <v>3510201010 (-)Desp Financ-Juros s/Emprestimos (Realizado)</v>
          </cell>
          <cell r="B863">
            <v>44336959.420000002</v>
          </cell>
        </row>
        <row r="864">
          <cell r="A864" t="str">
            <v>Variações cambiais passivas sobre empréstimos</v>
          </cell>
          <cell r="B864">
            <v>1191306.1399999999</v>
          </cell>
        </row>
        <row r="865">
          <cell r="A865" t="str">
            <v>3530102030 Var C Liq Pas-Ganho Var Camb s/Empres Exterior(R)</v>
          </cell>
          <cell r="B865">
            <v>-745229.91</v>
          </cell>
        </row>
        <row r="866">
          <cell r="A866" t="str">
            <v>3530102040 Var C Liq Pas-Perda Va rCamb s/Empres Exterior(R)</v>
          </cell>
          <cell r="B866">
            <v>1936536.05</v>
          </cell>
        </row>
        <row r="867">
          <cell r="A867" t="str">
            <v>Variações cambiais passivas s/ exig. exterior</v>
          </cell>
          <cell r="B867">
            <v>-505269.52</v>
          </cell>
        </row>
        <row r="868">
          <cell r="A868" t="str">
            <v>3530102010 Var C Liq Pas-Ganho Var Camb s/Exigiv Exterior(R)</v>
          </cell>
          <cell r="B868">
            <v>-703793.11</v>
          </cell>
        </row>
        <row r="869">
          <cell r="A869" t="str">
            <v>3530102020 Var C Liq Pas-Perda Var Camb s/Exigiv Exterior(R)</v>
          </cell>
          <cell r="B869">
            <v>198523.59</v>
          </cell>
        </row>
        <row r="870">
          <cell r="A870" t="str">
            <v>Outras despesas financeiras</v>
          </cell>
          <cell r="B870">
            <v>2466623.94</v>
          </cell>
        </row>
        <row r="871">
          <cell r="A871" t="str">
            <v>3510201020 (-)Desp Financ-Juros s/Pgtos em Atraso (Realizado)</v>
          </cell>
          <cell r="B871">
            <v>30955.21</v>
          </cell>
        </row>
        <row r="872">
          <cell r="A872" t="str">
            <v>3510201990 (-)Desp Financ-Juros s/Outros Passivos (Realizado)</v>
          </cell>
          <cell r="B872">
            <v>1299.83</v>
          </cell>
        </row>
        <row r="873">
          <cell r="A873" t="str">
            <v>3510202020 Desp Financ-Var Monet s/Pgto em Atraso (Realizado)</v>
          </cell>
          <cell r="B873">
            <v>91.44</v>
          </cell>
        </row>
        <row r="874">
          <cell r="A874" t="str">
            <v>3510202030 Desp Financ-Var Monet s/Pgto Imposto em Atraso(R)</v>
          </cell>
          <cell r="B874">
            <v>207.84</v>
          </cell>
        </row>
        <row r="875">
          <cell r="A875" t="str">
            <v>3510202990 Desp Financ-Var Monet s/Outros Passivos(Realizado)</v>
          </cell>
          <cell r="B875">
            <v>119.74</v>
          </cell>
        </row>
        <row r="876">
          <cell r="A876" t="str">
            <v>3510202991 Desp Financ-Prov Var Monetaria s/Contingencias</v>
          </cell>
          <cell r="B876">
            <v>1486901.78</v>
          </cell>
        </row>
        <row r="877">
          <cell r="A877" t="str">
            <v>3510203020 Desp Financ-Encarg/Outros-Custas Judiciais(Realiz)</v>
          </cell>
          <cell r="B877">
            <v>514.13</v>
          </cell>
        </row>
        <row r="878">
          <cell r="A878" t="str">
            <v>3510203500 Desp Financ-Encarg/Outros-I.O.C / I.O.F(Realizado)</v>
          </cell>
          <cell r="B878">
            <v>821.76</v>
          </cell>
        </row>
        <row r="879">
          <cell r="A879" t="str">
            <v>3510204010 Desp Financ-EFE-Comissoes s/Aquis Empres Amort(R)</v>
          </cell>
          <cell r="B879">
            <v>558362.62</v>
          </cell>
        </row>
        <row r="880">
          <cell r="A880" t="str">
            <v>3510204090 Desp Financ-EFE-Outros Enc s/Aquis Emprest(Realiz)</v>
          </cell>
          <cell r="B880">
            <v>99660.2</v>
          </cell>
        </row>
        <row r="881">
          <cell r="A881" t="str">
            <v>3510205020 Desp Financ-Bancarias-Corretagens (Realiz)</v>
          </cell>
          <cell r="B881">
            <v>1840.89</v>
          </cell>
        </row>
        <row r="882">
          <cell r="A882" t="str">
            <v>3510205030 Desp Financ-Bancarias-Comissoes Fiança (Realiz)</v>
          </cell>
          <cell r="B882">
            <v>249369.22</v>
          </cell>
        </row>
        <row r="883">
          <cell r="A883" t="str">
            <v>3510205040 Desp Financ-Bancaria-Txa Expediente (Realiz)</v>
          </cell>
          <cell r="B883">
            <v>36472.54</v>
          </cell>
        </row>
        <row r="884">
          <cell r="A884" t="str">
            <v>3510299990 Demais Despesas Financeiras (Realizado)</v>
          </cell>
          <cell r="B884">
            <v>6.74</v>
          </cell>
        </row>
        <row r="885">
          <cell r="A885" t="str">
            <v>Imposto de renda e constribuição social</v>
          </cell>
          <cell r="B885">
            <v>28251356.41</v>
          </cell>
        </row>
        <row r="886">
          <cell r="A886" t="str">
            <v>Corrente</v>
          </cell>
          <cell r="B886">
            <v>30567679.16</v>
          </cell>
        </row>
        <row r="887">
          <cell r="A887" t="str">
            <v>3910101011 (-)Prov CSLL/Exerc.Corrente-CSLL Ajustado (Realiz)</v>
          </cell>
          <cell r="B887">
            <v>7971591.4100000001</v>
          </cell>
        </row>
        <row r="888">
          <cell r="A888" t="str">
            <v>3920101011 (-)Prov IRPJ/Exerc.Correne-IRPJ s/Lucro Real</v>
          </cell>
          <cell r="B888">
            <v>22596087.75</v>
          </cell>
        </row>
        <row r="889">
          <cell r="A889" t="str">
            <v>Diferido</v>
          </cell>
          <cell r="B889">
            <v>-2316322.75</v>
          </cell>
        </row>
        <row r="890">
          <cell r="A890" t="str">
            <v>3910101021 (-)Prov CSLL/Exerc.Corrente-CSLL Diferido Ativos</v>
          </cell>
          <cell r="B890">
            <v>-613144.87</v>
          </cell>
        </row>
        <row r="891">
          <cell r="A891" t="str">
            <v>3920101021 (-)Prov IRPJ/Exerc.Corrente-IRPJ Diferido Ativos</v>
          </cell>
          <cell r="B891">
            <v>-1703177.88</v>
          </cell>
        </row>
        <row r="892">
          <cell r="A892"/>
        </row>
        <row r="893">
          <cell r="A893"/>
        </row>
        <row r="894">
          <cell r="A894"/>
        </row>
        <row r="895">
          <cell r="A895"/>
        </row>
        <row r="896">
          <cell r="A896"/>
        </row>
        <row r="897">
          <cell r="A897"/>
        </row>
        <row r="898">
          <cell r="A898"/>
        </row>
        <row r="899">
          <cell r="A899"/>
        </row>
        <row r="900">
          <cell r="A900"/>
        </row>
      </sheetData>
      <sheetData sheetId="5" refreshError="1">
        <row r="2">
          <cell r="A2" t="str">
            <v>ATIVO</v>
          </cell>
        </row>
        <row r="3">
          <cell r="A3" t="str">
            <v>CIRCULANTE</v>
          </cell>
        </row>
        <row r="4">
          <cell r="A4" t="str">
            <v>CAIXA E EQUIVALENTE DE CAIXA</v>
          </cell>
        </row>
        <row r="5">
          <cell r="A5" t="str">
            <v>Recursos em caixa e contas correntes bancária</v>
          </cell>
        </row>
        <row r="6">
          <cell r="A6" t="str">
            <v>1110102030 Banco Itau (Realizado)</v>
          </cell>
        </row>
        <row r="7">
          <cell r="A7" t="str">
            <v>1110102040 Banco Santander (Realizado)</v>
          </cell>
        </row>
        <row r="8">
          <cell r="A8" t="str">
            <v>1110102072 Banco Safra (Transitorias - Saidas)</v>
          </cell>
        </row>
        <row r="9">
          <cell r="A9" t="str">
            <v>1110102080 Banco Votorantin (Realizado)</v>
          </cell>
        </row>
        <row r="10">
          <cell r="A10" t="str">
            <v>1110102100 Banco Pactual S.A.(Realizado)</v>
          </cell>
        </row>
        <row r="11">
          <cell r="A11" t="str">
            <v>1110102120 Banco Alfa de Investimentos S.A. (Realizado)</v>
          </cell>
        </row>
        <row r="12">
          <cell r="A12" t="str">
            <v>1110102210 Banco do Brasil  (Realizado)</v>
          </cell>
        </row>
        <row r="13">
          <cell r="A13" t="str">
            <v>1110102220 Banco Bradesco (Realizado)</v>
          </cell>
        </row>
        <row r="14">
          <cell r="A14" t="str">
            <v>1110102240 Banco Santander (Realizado)</v>
          </cell>
        </row>
        <row r="15">
          <cell r="A15" t="str">
            <v>1110102250 Caixa Economica Federal (Realizado)</v>
          </cell>
        </row>
        <row r="16">
          <cell r="A16" t="str">
            <v>1110102270 Banco Safra (Transitorias - Saidas)</v>
          </cell>
        </row>
        <row r="17">
          <cell r="A17" t="str">
            <v>1110102272 Banco Safra (Transitorias - Saidas)</v>
          </cell>
        </row>
        <row r="18">
          <cell r="A18" t="str">
            <v>1110102290 Banco Paulista (Realizado)</v>
          </cell>
        </row>
        <row r="19">
          <cell r="A19" t="str">
            <v>1110102320 Banco Bradesco (Realizado)</v>
          </cell>
        </row>
        <row r="20">
          <cell r="A20" t="str">
            <v>1110102350 Caixa Economica Federal (Realizado)</v>
          </cell>
        </row>
        <row r="21">
          <cell r="A21" t="str">
            <v>Aplicações Financeiras (CDBs)</v>
          </cell>
        </row>
        <row r="22">
          <cell r="A22" t="str">
            <v>1110105010 Aplicaçoes Financeiras (Realizado)</v>
          </cell>
        </row>
        <row r="23">
          <cell r="A23" t="str">
            <v>APLICAÇÕES FINANCEIRAS</v>
          </cell>
        </row>
        <row r="24">
          <cell r="A24" t="str">
            <v>Mantidos para negociação</v>
          </cell>
        </row>
        <row r="25">
          <cell r="A25" t="str">
            <v>1110201010 Tits do Merc de Cap Inter Mant p/ Neg (Realizado)</v>
          </cell>
        </row>
        <row r="26">
          <cell r="A26" t="str">
            <v>Mantidos até o vencimento</v>
          </cell>
        </row>
        <row r="27">
          <cell r="A27" t="str">
            <v>1110201020 Tits do Merc de Cap Inter Mant ate Ven (Realizado)</v>
          </cell>
        </row>
        <row r="28">
          <cell r="A28" t="str">
            <v>DUPLICATAS A RECEBER DE CLIENTES</v>
          </cell>
        </row>
        <row r="29">
          <cell r="A29" t="str">
            <v>Clientes nacionais</v>
          </cell>
        </row>
        <row r="30">
          <cell r="A30" t="str">
            <v>1110501010 Duplicatas a Receber no MI  (Realizado)</v>
          </cell>
        </row>
        <row r="31">
          <cell r="A31" t="str">
            <v>1110501011 Duplicatas a Receber no MI (Parcela de CP / LP)</v>
          </cell>
        </row>
        <row r="32">
          <cell r="A32" t="str">
            <v>1110501014 (-)Rec Financeira a apropriar s/Dups a Rec no MI</v>
          </cell>
        </row>
        <row r="33">
          <cell r="A33" t="str">
            <v>PCLD</v>
          </cell>
        </row>
        <row r="34">
          <cell r="A34" t="str">
            <v>1110501900 (-) Provisões para Créditos de Liquidação Duvidosa</v>
          </cell>
        </row>
        <row r="35">
          <cell r="A35" t="str">
            <v>IMPOSTOS A RECUPERAR</v>
          </cell>
        </row>
        <row r="36">
          <cell r="A36" t="str">
            <v>Impostos de renda e CSLL</v>
          </cell>
        </row>
        <row r="37">
          <cell r="A37" t="str">
            <v>1111505990 Cred Fisc CSLL- Sdo Negativo Per Anterior (Realiz)</v>
          </cell>
        </row>
        <row r="38">
          <cell r="A38" t="str">
            <v>1111506020 IRRF sobre Aplicaçoes Financeiras (Realizado)</v>
          </cell>
        </row>
        <row r="39">
          <cell r="A39" t="str">
            <v>1111506030 IRRF sobre Depositos Judiciais (Realizado)</v>
          </cell>
        </row>
        <row r="40">
          <cell r="A40" t="str">
            <v>1111506990 Cred Fisc IRPJ Sdo Negativo Per Anterior (Realiz)</v>
          </cell>
        </row>
        <row r="41">
          <cell r="A41" t="str">
            <v>ICMS a recuperar</v>
          </cell>
        </row>
        <row r="42">
          <cell r="A42" t="str">
            <v>1111507010 ICMS a Recup sobre Ativo Permanente (Realizado)</v>
          </cell>
        </row>
        <row r="43">
          <cell r="A43" t="str">
            <v>1111507014 (-)AVP sobre ICMS a Recup sobre Ativo Permanente</v>
          </cell>
        </row>
        <row r="44">
          <cell r="A44" t="str">
            <v>IRPJ e CSLL</v>
          </cell>
        </row>
        <row r="45">
          <cell r="A45" t="str">
            <v>1111001010 Antecipaçoes de CSLL (Realizado)</v>
          </cell>
        </row>
        <row r="46">
          <cell r="A46" t="str">
            <v>1111001020 Antecipaçoes de IRPJ (Realizado)</v>
          </cell>
        </row>
        <row r="47">
          <cell r="A47" t="str">
            <v>2112001010 Prov p/ CSLL s/Resultado Operacional (Realizado)</v>
          </cell>
        </row>
        <row r="48">
          <cell r="A48" t="str">
            <v>2112001020 Provisao p/ CSLL Diferida (Realizado)</v>
          </cell>
        </row>
        <row r="49">
          <cell r="A49" t="str">
            <v>2112001030 Provisao p/ CSLL Diferida s/Depreciaçao Fiscal (R)</v>
          </cell>
        </row>
        <row r="50">
          <cell r="A50" t="str">
            <v>2112001040 Contribuição Social s/Compensação Base Negativa (R</v>
          </cell>
        </row>
        <row r="51">
          <cell r="A51" t="str">
            <v>2112002010 Prov p/  IR s/Resultando Operacional (Realizado)</v>
          </cell>
        </row>
        <row r="52">
          <cell r="A52" t="str">
            <v>2112002020 Provisao para IR Diferida (Realizado)</v>
          </cell>
        </row>
        <row r="53">
          <cell r="A53" t="str">
            <v>2112002030 Provisao p/ IR Diferida s/Depreciaçao Fiscal (R)</v>
          </cell>
        </row>
        <row r="54">
          <cell r="A54" t="str">
            <v>2112002040 Imposto de Renda s/ Compensação Prejuízo Fiscal (R</v>
          </cell>
        </row>
        <row r="55">
          <cell r="A55" t="str">
            <v>INSS a compensar</v>
          </cell>
        </row>
        <row r="56">
          <cell r="A56" t="str">
            <v>1111599070 INSS a Compensar  - Decisão Judicial (Realizado)</v>
          </cell>
        </row>
        <row r="57">
          <cell r="A57" t="str">
            <v>PIS a compensar Lei nº 9.715</v>
          </cell>
        </row>
        <row r="58">
          <cell r="A58" t="str">
            <v>1111599000 PIS a Compensar Lei 9715 (Realizado)</v>
          </cell>
        </row>
        <row r="59">
          <cell r="A59" t="str">
            <v>Outros</v>
          </cell>
        </row>
        <row r="60">
          <cell r="A60" t="str">
            <v>1111508010 PIS a Recuperar sobre Ativo Permanente (Realizado)</v>
          </cell>
        </row>
        <row r="61">
          <cell r="A61" t="str">
            <v>1111509010 COFINS a Recup sobre Ativo Permanente (Realizado)</v>
          </cell>
        </row>
        <row r="62">
          <cell r="A62" t="str">
            <v>1111599010 Imp Import a Rec-Recolhimento em Dupl (Realiz)</v>
          </cell>
        </row>
        <row r="63">
          <cell r="A63" t="str">
            <v>1111599020 INSS a Rec-Recolhimento em Duplicidade (Realizado)</v>
          </cell>
        </row>
        <row r="64">
          <cell r="A64" t="str">
            <v>1111599030 Adic Estadual doImposto de Renda a Rec (Realizado)</v>
          </cell>
        </row>
        <row r="65">
          <cell r="A65" t="str">
            <v>1111599040 FINSOCIAL 1982/83 (Realizado)</v>
          </cell>
        </row>
        <row r="66">
          <cell r="A66" t="str">
            <v>1111599050 IRRF Tercs Ret a Maior (Realizado)</v>
          </cell>
        </row>
        <row r="67">
          <cell r="A67" t="str">
            <v>1111599060 PIS/COF/COF Ret a maior (Realizado)</v>
          </cell>
        </row>
        <row r="68">
          <cell r="A68" t="str">
            <v>ESTOQUES</v>
          </cell>
        </row>
        <row r="69">
          <cell r="A69" t="str">
            <v>Matérias-primas</v>
          </cell>
        </row>
        <row r="70">
          <cell r="A70" t="str">
            <v>1112001010 Estoques de Materias Primas (Realizado)</v>
          </cell>
        </row>
        <row r="71">
          <cell r="A71" t="str">
            <v>1112090010 Importaçoes em And de Materias Primas (Realizado)</v>
          </cell>
        </row>
        <row r="72">
          <cell r="A72" t="str">
            <v>Produtos em processo</v>
          </cell>
        </row>
        <row r="73">
          <cell r="A73" t="str">
            <v>1112003010 Estoques de Produtos em Elaboraçao (Realizado)</v>
          </cell>
        </row>
        <row r="74">
          <cell r="A74" t="str">
            <v>Produtos Acabados</v>
          </cell>
        </row>
        <row r="75">
          <cell r="A75" t="str">
            <v>1112010010 Estoques de Produtos Acabados (Realizado)</v>
          </cell>
        </row>
        <row r="76">
          <cell r="A76" t="str">
            <v>1112050020 Estoques de Mercadorias Rev Importadas (Realizado)</v>
          </cell>
        </row>
        <row r="77">
          <cell r="A77" t="str">
            <v>Provisão para desvalorização</v>
          </cell>
        </row>
        <row r="78">
          <cell r="A78" t="str">
            <v>1112010014 (-)Prov p/ Aj. do Est ao Vlr de Merc - Prods Acab</v>
          </cell>
        </row>
        <row r="79">
          <cell r="A79" t="str">
            <v>Materiais auxiliares e embalagens</v>
          </cell>
        </row>
        <row r="80">
          <cell r="A80" t="str">
            <v>1112005010 Estoques de Insumos (Mat-Aux) (Realiz)</v>
          </cell>
        </row>
        <row r="81">
          <cell r="A81" t="str">
            <v>1112008010 Estoques de Materiais de Embalagens (Realizado)</v>
          </cell>
        </row>
        <row r="82">
          <cell r="A82" t="str">
            <v>Materiais de manutenção e outros</v>
          </cell>
        </row>
        <row r="83">
          <cell r="A83" t="str">
            <v>1112020020 Estoque Almoxarif CP-Manutençao Eletrica (Realiz)</v>
          </cell>
        </row>
        <row r="84">
          <cell r="A84" t="str">
            <v>1112020030 Estoque Almoxarif CP-Manutençao Mecanica (Realiz)</v>
          </cell>
        </row>
        <row r="85">
          <cell r="A85" t="str">
            <v>1112020050 Estoq Alm CP-Manut Calderaria e Tubulaçao (Realiz)</v>
          </cell>
        </row>
        <row r="86">
          <cell r="A86" t="str">
            <v>1112020060 Estoque Alm CP-Manutençao Instrumentaçao (Realiz)</v>
          </cell>
        </row>
        <row r="87">
          <cell r="A87" t="str">
            <v>1112020070 Estoque Alm CP-Manutençao Celula HG (Realizado)</v>
          </cell>
        </row>
        <row r="88">
          <cell r="A88" t="str">
            <v>1112020080 Estoque Almo CP-Manut Celula Diafragma (Realizado)</v>
          </cell>
        </row>
        <row r="89">
          <cell r="A89" t="str">
            <v>1112020100 Estoque Alm CP-Manut.de Cilindros e Carretas R</v>
          </cell>
        </row>
        <row r="90">
          <cell r="A90" t="str">
            <v>1112020490 Estoque Almo CP-Manutençao em Geral (Realizado)</v>
          </cell>
        </row>
        <row r="91">
          <cell r="A91" t="str">
            <v>1112020500 Estoque Alm CP-Almoxarifado de Uso Geral (Realiz)</v>
          </cell>
        </row>
        <row r="92">
          <cell r="A92" t="str">
            <v>1112020991 Estoque Almoxarifado Transf. Parcela Realizada L.P</v>
          </cell>
        </row>
        <row r="93">
          <cell r="A93" t="str">
            <v>1112080200 Etq de Outros Mats-Almox em Poder de Ters (Realiz)</v>
          </cell>
        </row>
        <row r="94">
          <cell r="A94" t="str">
            <v>DESPESAS DE EXERCICIO SEGUINTE</v>
          </cell>
        </row>
        <row r="95">
          <cell r="A95" t="str">
            <v>Pagamentos Antecipados</v>
          </cell>
        </row>
        <row r="96">
          <cell r="A96" t="str">
            <v>1119001010 Pagamentos Antecipados-Seguros (Realizado)</v>
          </cell>
        </row>
        <row r="97">
          <cell r="A97" t="str">
            <v>1119001030 Pagamentos Antecip-Serv Tecnicos Prof (Realizado)</v>
          </cell>
        </row>
        <row r="98">
          <cell r="A98" t="str">
            <v>1119001040 Pagamentos Antecipados-Impostos (Realizado)</v>
          </cell>
        </row>
        <row r="99">
          <cell r="A99" t="str">
            <v>1119001050 Pagtos Antecip-Contribuiçoes Associativas (Realiz)</v>
          </cell>
        </row>
        <row r="100">
          <cell r="A100" t="str">
            <v>OUTROS ATIVOS CIRCULANTE</v>
          </cell>
        </row>
        <row r="101">
          <cell r="A101" t="str">
            <v>Adiantamento a Fornecedores</v>
          </cell>
        </row>
        <row r="102">
          <cell r="A102" t="str">
            <v>1118001010 Adiantamentos a Fornec de Serviços (Realizado)</v>
          </cell>
        </row>
        <row r="103">
          <cell r="A103" t="str">
            <v>1118001020 Adiantamentos a Fornecedores de MP (Realizado)</v>
          </cell>
        </row>
        <row r="104">
          <cell r="A104" t="str">
            <v>1118001040 Adiant  Fornecs de Materias de Consumo (Realizado)</v>
          </cell>
        </row>
        <row r="105">
          <cell r="A105" t="str">
            <v>1118001050 Adiant Fornecs de Funcionarios (Realizado)</v>
          </cell>
        </row>
        <row r="106">
          <cell r="A106" t="str">
            <v>1118001060 Adiantamentos a Fornecedores de Fretes</v>
          </cell>
        </row>
        <row r="107">
          <cell r="A107" t="str">
            <v>1118001070 Adiantamentos a Fornecedores do Exterior</v>
          </cell>
        </row>
        <row r="108">
          <cell r="A108" t="str">
            <v>Créditos a receber na venda de ativos</v>
          </cell>
        </row>
        <row r="109">
          <cell r="A109" t="str">
            <v>1118099060 Outros Créditos- Contratos a Receber (Realizado)</v>
          </cell>
        </row>
        <row r="110">
          <cell r="A110" t="str">
            <v>Reclamações de seguros</v>
          </cell>
        </row>
        <row r="111">
          <cell r="A111" t="str">
            <v>1118099010 Outros Creditos-Reclamaçao de Seguros (Realizado)</v>
          </cell>
        </row>
        <row r="112">
          <cell r="A112" t="str">
            <v>Outros Créditos</v>
          </cell>
        </row>
        <row r="113">
          <cell r="A113" t="str">
            <v>1118002010 Adiantamentos a Empregados Salarios (Realizado)</v>
          </cell>
        </row>
        <row r="114">
          <cell r="A114" t="str">
            <v>1118002020 Adiantamentos a Empregados 13º Salario (Realizado)</v>
          </cell>
        </row>
        <row r="115">
          <cell r="A115" t="str">
            <v>1118002030 Adiantamentos a Empregados Ferias (Realizado)</v>
          </cell>
        </row>
        <row r="116">
          <cell r="A116" t="str">
            <v>1118002050 Adiant a Empregados Plano Auxilio Doen (Realizado)</v>
          </cell>
        </row>
        <row r="117">
          <cell r="A117" t="str">
            <v>1118002060 Adto a Empregados Cobertura de Sdo Devedor (R)</v>
          </cell>
        </row>
        <row r="118">
          <cell r="A118" t="str">
            <v>1118002090 Adto a Empregados Desp de Resp de Funcionario (R)</v>
          </cell>
        </row>
        <row r="119">
          <cell r="A119" t="str">
            <v>1118099020 Outros Creditos-Depositos e Cauçoes (Realizado)</v>
          </cell>
        </row>
        <row r="120">
          <cell r="A120" t="str">
            <v>NÃO CIRCULANTE</v>
          </cell>
        </row>
        <row r="121">
          <cell r="A121" t="str">
            <v>DUPLICATAS A RECEBER DE CLIENTES</v>
          </cell>
        </row>
        <row r="122">
          <cell r="A122" t="str">
            <v>Clientes nacionais</v>
          </cell>
        </row>
        <row r="123">
          <cell r="A123" t="str">
            <v>1710501011 Duplicatas a Receber no MI LP (Parcela de CP / LP)</v>
          </cell>
        </row>
        <row r="124">
          <cell r="A124" t="str">
            <v>1710501014 (-)Rec Fin a apr s/ Dups a Rec no MI LP (P CP/LP)</v>
          </cell>
        </row>
        <row r="125">
          <cell r="A125" t="str">
            <v>IMPOSTOS A RECUPERAR</v>
          </cell>
        </row>
        <row r="126">
          <cell r="A126" t="str">
            <v>ICMS a Recuperar</v>
          </cell>
        </row>
        <row r="127">
          <cell r="A127" t="str">
            <v>1711507010 ICMS a Recuperar s/e Ativo Permanet LP (Realizado)</v>
          </cell>
        </row>
        <row r="128">
          <cell r="A128" t="str">
            <v>1711507014 (-)AVP s/ ICMS a Recuperar s/ Ativo Permanente LP</v>
          </cell>
        </row>
        <row r="129">
          <cell r="A129" t="str">
            <v>Outros</v>
          </cell>
        </row>
        <row r="130">
          <cell r="A130" t="str">
            <v>1711599040 FINSOCIAL 1982/83 (Realizado)</v>
          </cell>
        </row>
        <row r="131">
          <cell r="A131" t="str">
            <v>ESTOQUES</v>
          </cell>
        </row>
        <row r="132">
          <cell r="A132" t="str">
            <v>Materiais de Almoxarifado de Giro Baixo</v>
          </cell>
        </row>
        <row r="133">
          <cell r="A133" t="str">
            <v>1712020991 Estoque Almoxarifado Parcela Realizada LP</v>
          </cell>
        </row>
        <row r="134">
          <cell r="A134" t="str">
            <v>DEPÓSITOS JUDICIAIS</v>
          </cell>
        </row>
        <row r="135">
          <cell r="A135" t="str">
            <v>Tributários</v>
          </cell>
        </row>
        <row r="136">
          <cell r="A136" t="str">
            <v>1719001010 Dep Jud s/Res Trib Fed R</v>
          </cell>
        </row>
        <row r="137">
          <cell r="A137" t="str">
            <v>1719001011 ATM Dep Jud s/Res Trib Fed R</v>
          </cell>
        </row>
        <row r="138">
          <cell r="A138" t="str">
            <v>1719001030 Depos Jud s/Reserva-Imp, Taxas e Contrib Munic (R)</v>
          </cell>
        </row>
        <row r="139">
          <cell r="A139" t="str">
            <v>Trabalhistas</v>
          </cell>
        </row>
        <row r="140">
          <cell r="A140" t="str">
            <v>1719002010 Depos Jud s/Reserva-Reclamaçoes Trab (Realizado)</v>
          </cell>
        </row>
        <row r="141">
          <cell r="A141" t="str">
            <v>1719002030 Dep Judiciais s/Res -Previdenciarios (Realizado)</v>
          </cell>
        </row>
        <row r="142">
          <cell r="A142" t="str">
            <v>Outros depósitos judiciais</v>
          </cell>
        </row>
        <row r="143">
          <cell r="A143" t="str">
            <v>1719003990 Outros Dep Judic s/Reserva de Nat Oper (Realizado)</v>
          </cell>
        </row>
        <row r="144">
          <cell r="A144" t="str">
            <v>1719003991 ATM Outros Dep Judic s/Reserva Nat Oper (Realiz)</v>
          </cell>
        </row>
        <row r="145">
          <cell r="A145" t="str">
            <v>OUTROS ATIVOS NÃO CIRCULANTES</v>
          </cell>
        </row>
        <row r="146">
          <cell r="A146" t="str">
            <v>Créditos a receber na venda de ativos</v>
          </cell>
        </row>
        <row r="147">
          <cell r="A147" t="str">
            <v>1718099060 Outros Créditos- Contratos a Receber (Realizado)</v>
          </cell>
        </row>
        <row r="148">
          <cell r="A148" t="str">
            <v>INVESTIMENTOS</v>
          </cell>
        </row>
        <row r="149">
          <cell r="A149" t="str">
            <v>PARTICIPAÇÃO EM COLIGADA</v>
          </cell>
        </row>
        <row r="150">
          <cell r="A150" t="str">
            <v>Tecsis tecnologia e sistemas avançados</v>
          </cell>
        </row>
        <row r="151">
          <cell r="A151" t="str">
            <v>1720201010 Cto Part Per em Coligada ou ControladaTecsis</v>
          </cell>
        </row>
        <row r="152">
          <cell r="A152" t="str">
            <v>1720201012 Agios em Partic Per Colig ou Control - Tecsis</v>
          </cell>
        </row>
        <row r="153">
          <cell r="A153" t="str">
            <v>1720201014 Vlr Justo Ativos em Part Per Col Cont Tecsis</v>
          </cell>
        </row>
        <row r="154">
          <cell r="A154" t="str">
            <v>1720201015 Realização Vlr Justo em Part Per Col Cont -Tecsis</v>
          </cell>
        </row>
        <row r="155">
          <cell r="A155" t="str">
            <v>1720201018 Ajust Aval Patrimonial em Part Per Col Cont Tecsis</v>
          </cell>
        </row>
        <row r="156">
          <cell r="A156" t="str">
            <v>IMOBILIZADO</v>
          </cell>
        </row>
        <row r="157">
          <cell r="A157" t="str">
            <v>CUSTO</v>
          </cell>
        </row>
        <row r="158">
          <cell r="A158" t="str">
            <v>Terrenos</v>
          </cell>
        </row>
        <row r="159">
          <cell r="A159" t="str">
            <v>1740101010 Imobilizado-Custo dos Terrenos</v>
          </cell>
        </row>
        <row r="160">
          <cell r="A160" t="str">
            <v>1740101011 Imobilizado-Mais Valia dos Terrenos</v>
          </cell>
        </row>
        <row r="161">
          <cell r="A161" t="str">
            <v>1740101012 Imobilizado-Mais Valia Comb Neg dos Terrenos</v>
          </cell>
        </row>
        <row r="162">
          <cell r="A162" t="str">
            <v>Edificações e construções</v>
          </cell>
        </row>
        <row r="163">
          <cell r="A163" t="str">
            <v>1740102010 Imobilizado-Custo dos Edificios</v>
          </cell>
        </row>
        <row r="164">
          <cell r="A164" t="str">
            <v>1740102011 Imobilizado-Mais Valia dos Edificios</v>
          </cell>
        </row>
        <row r="165">
          <cell r="A165" t="str">
            <v>1740102012 Imobilizado-Mais Valia Comb Negocios dos Edificios</v>
          </cell>
        </row>
        <row r="166">
          <cell r="A166" t="str">
            <v>1740102014 Imobilizado-Contrapartida do AVP de Edificios</v>
          </cell>
        </row>
        <row r="167">
          <cell r="A167" t="str">
            <v>1740102020 Imobilizado-Custo das Benfeitorias</v>
          </cell>
        </row>
        <row r="168">
          <cell r="A168" t="str">
            <v>1740102021 Imobilizado-Mais Valia Benfeitorias</v>
          </cell>
        </row>
        <row r="169">
          <cell r="A169" t="str">
            <v>1740102022 Imobilizado-Mais Valia Comb Neg Benfeitorias</v>
          </cell>
        </row>
        <row r="170">
          <cell r="A170" t="str">
            <v>1740102024 Imobilizado-Contrapartida do AVP de Beneficios</v>
          </cell>
        </row>
        <row r="171">
          <cell r="A171" t="str">
            <v>Equipamentos e Instalações</v>
          </cell>
        </row>
        <row r="172">
          <cell r="A172" t="str">
            <v>1740103010 Imobilizado-Custo de Equipamentos</v>
          </cell>
        </row>
        <row r="173">
          <cell r="A173" t="str">
            <v>1740103011 Imobilizado-Mais Valia Equipamentos</v>
          </cell>
        </row>
        <row r="174">
          <cell r="A174" t="str">
            <v>1740103012 Imobilizado-Mais Valia Comb Neg Equipamentos</v>
          </cell>
        </row>
        <row r="175">
          <cell r="A175" t="str">
            <v>1740103014 Imobilizado-AVP Equipamentos</v>
          </cell>
        </row>
        <row r="176">
          <cell r="A176" t="str">
            <v>1740103020 Imobilizado-Custo dos Sobressalentes</v>
          </cell>
        </row>
        <row r="177">
          <cell r="A177" t="str">
            <v>1740103021 Imobilizado-Mais Valia dos Sobressalentes</v>
          </cell>
        </row>
        <row r="178">
          <cell r="A178" t="str">
            <v>1740103022 Imobilizado-Custo dos Sobressalentes</v>
          </cell>
        </row>
        <row r="179">
          <cell r="A179" t="str">
            <v>1740105020 Imobilizado-Custo de Veiculos Fora de Estrada</v>
          </cell>
        </row>
        <row r="180">
          <cell r="A180" t="str">
            <v>Veículos</v>
          </cell>
        </row>
        <row r="181">
          <cell r="A181" t="str">
            <v>1740105010 Imob-Custo de Veiculos de Passageiros e Carga</v>
          </cell>
        </row>
        <row r="182">
          <cell r="A182" t="str">
            <v>1740105011 Imob-Mais Valia de Veiculos de Passageiros e Carga</v>
          </cell>
        </row>
        <row r="183">
          <cell r="A183" t="str">
            <v>1740105012 Imob-Mais Valia de Veiculos de Passageiros e Carga</v>
          </cell>
        </row>
        <row r="184">
          <cell r="A184" t="str">
            <v>1740105014 Imob-AVP de Veiculos de Passageiros e Carga</v>
          </cell>
        </row>
        <row r="185">
          <cell r="A185" t="str">
            <v>Móveis e utensílios</v>
          </cell>
        </row>
        <row r="186">
          <cell r="A186" t="str">
            <v>1740104010 Imob-Custo de Moveis, Utensilios e Inst Comerciais</v>
          </cell>
        </row>
        <row r="187">
          <cell r="A187" t="str">
            <v>1740104014 Imob-AVP de Moveis, Utensilios e Inst Comerciais</v>
          </cell>
        </row>
        <row r="188">
          <cell r="A188" t="str">
            <v>Demais bens</v>
          </cell>
        </row>
        <row r="189">
          <cell r="A189" t="str">
            <v>1740199010 Imobilizado-Custo de Material Auxiliar Permanente</v>
          </cell>
        </row>
        <row r="190">
          <cell r="A190" t="str">
            <v>1740199070 Imobilizado-Custo de Computadores e Perifericos</v>
          </cell>
        </row>
        <row r="191">
          <cell r="A191" t="str">
            <v>1740199074 Imobilizado- AVP de Computadores e Perifericos</v>
          </cell>
        </row>
        <row r="192">
          <cell r="A192" t="str">
            <v>imobilizado em andamento</v>
          </cell>
        </row>
        <row r="193">
          <cell r="A193" t="str">
            <v>1745001010 Imob Andament-Custo das Aquisiçoes p/Imob (Receb)</v>
          </cell>
        </row>
        <row r="194">
          <cell r="A194" t="str">
            <v>1745001014 Contrapartida dos Aj a Vr Presente de IeA</v>
          </cell>
        </row>
        <row r="195">
          <cell r="A195" t="str">
            <v>1745001020 Imob And-Cto das Aquisiç de Sobres de Imob (Receb)</v>
          </cell>
        </row>
        <row r="196">
          <cell r="A196" t="str">
            <v>1745002030 Imob And-Cto dos Adiants p/Aquis de Imobiliz (T)</v>
          </cell>
        </row>
        <row r="197">
          <cell r="A197" t="str">
            <v>1745002031 Imob And-Tran de Adto p/Aquis Imob Reconcil (T)</v>
          </cell>
        </row>
        <row r="198">
          <cell r="A198" t="str">
            <v>1745002032 Imob And-Tran de Adto p/Aquis de Imob Razao (T)</v>
          </cell>
        </row>
        <row r="199">
          <cell r="A199" t="str">
            <v>1745099010 Imob And-Encar Fin s/ Aquis de Imob-Juros (Realiz)</v>
          </cell>
        </row>
        <row r="200">
          <cell r="A200" t="str">
            <v>1745099030 Imob And-Encar Fin s/ Aquis de Imob-Var Cam (R)</v>
          </cell>
        </row>
        <row r="201">
          <cell r="A201" t="str">
            <v>DEPRECIAÇÃO</v>
          </cell>
        </row>
        <row r="202">
          <cell r="A202" t="str">
            <v>Edificações e construções</v>
          </cell>
        </row>
        <row r="203">
          <cell r="A203" t="str">
            <v>1740502010 (-)Depreciaçao-Custo dos Edificios</v>
          </cell>
        </row>
        <row r="204">
          <cell r="A204" t="str">
            <v>1740502011 (-)Depreciaçao-Mais Valia Edificios</v>
          </cell>
        </row>
        <row r="205">
          <cell r="A205" t="str">
            <v>1740502012 (-)Depreciaçao-Mais Valia Combin Neg Edificios</v>
          </cell>
        </row>
        <row r="206">
          <cell r="A206" t="str">
            <v>1740502014 (-)Depr-Contrapartida do AVP de Edificios</v>
          </cell>
        </row>
        <row r="207">
          <cell r="A207" t="str">
            <v>1740502020 (-)Depreciaçao-Custo das Benfeitorias</v>
          </cell>
        </row>
        <row r="208">
          <cell r="A208" t="str">
            <v>1740502021 (-)Depreciaçao-Mais Valia Benfeitorias</v>
          </cell>
        </row>
        <row r="209">
          <cell r="A209" t="str">
            <v>1740502022 (-)Depreciaçao-Mais Valia Combin Neg Benfeitorias</v>
          </cell>
        </row>
        <row r="210">
          <cell r="A210" t="str">
            <v>1740502024 (-)Depr-Contrapartida do AVP de Benfeitorias</v>
          </cell>
        </row>
        <row r="211">
          <cell r="A211" t="str">
            <v>Equipamentos e Instalações</v>
          </cell>
        </row>
        <row r="212">
          <cell r="A212" t="str">
            <v>1740503010 (-)Depreciaçao-Custo de Equipamentos</v>
          </cell>
        </row>
        <row r="213">
          <cell r="A213" t="str">
            <v>1740503011 (-)Depreciaçao-Mais Valia Equipamentos</v>
          </cell>
        </row>
        <row r="214">
          <cell r="A214" t="str">
            <v>1740503012 (-)Depreciaçao-Mais Valia Combin Neg Equipamentos</v>
          </cell>
        </row>
        <row r="215">
          <cell r="A215" t="str">
            <v>1740503014 (-)Depr-Contrapartida do AVP de Equipamentos</v>
          </cell>
        </row>
        <row r="216">
          <cell r="A216" t="str">
            <v>1740503020 (-)Depreciaçao-Custo dos Sobressalentes</v>
          </cell>
        </row>
        <row r="217">
          <cell r="A217" t="str">
            <v>1740503021 (-)Depreciaçao-Mais Valia Sobressalentes</v>
          </cell>
        </row>
        <row r="218">
          <cell r="A218" t="str">
            <v>1740503022 (-)Depreciaçao-Mais Valia Combin Neg Sobressalente</v>
          </cell>
        </row>
        <row r="219">
          <cell r="A219" t="str">
            <v>1740505020 (-)Depreciaçao-Custo de Veiculos Fora da Estrada</v>
          </cell>
        </row>
        <row r="220">
          <cell r="A220" t="str">
            <v>Veículos</v>
          </cell>
        </row>
        <row r="221">
          <cell r="A221" t="str">
            <v>1740505010 (-)Depr-Custo de Veiculos de Passageiros e Carga</v>
          </cell>
        </row>
        <row r="222">
          <cell r="A222" t="str">
            <v>1740505011 (-)Depreciaçao-Mais Valia Veiculos</v>
          </cell>
        </row>
        <row r="223">
          <cell r="A223" t="str">
            <v>1740505012 (-)Depreciaçao-Mais Valia Combin Neg Veiculos</v>
          </cell>
        </row>
        <row r="224">
          <cell r="A224" t="str">
            <v>1740505014 (-)Depr-Contrapartida do AVP de Veículos</v>
          </cell>
        </row>
        <row r="225">
          <cell r="A225" t="str">
            <v>Móveis e utensílios</v>
          </cell>
        </row>
        <row r="226">
          <cell r="A226" t="str">
            <v>1740504010 (-)Depreciaçao-Custo dos Móveis, Utens e Inst Com</v>
          </cell>
        </row>
        <row r="227">
          <cell r="A227" t="str">
            <v>1740504014 (-)Depr-Contrapartida do AVP de Móveis, Utens</v>
          </cell>
        </row>
        <row r="228">
          <cell r="A228" t="str">
            <v>Demais bens</v>
          </cell>
        </row>
        <row r="229">
          <cell r="A229" t="str">
            <v>1740599070 (-)Depreciaçao-Custo de Computadores e Perifericos</v>
          </cell>
        </row>
        <row r="230">
          <cell r="A230" t="str">
            <v>1740599074 (-)Depr-Contrap do AVP dos Computad Perifericos</v>
          </cell>
        </row>
        <row r="231">
          <cell r="A231" t="str">
            <v>INTANGÍVEL</v>
          </cell>
        </row>
        <row r="232">
          <cell r="A232" t="str">
            <v>INTANGÍVEL EM OPERAÇÃO</v>
          </cell>
        </row>
        <row r="233">
          <cell r="A233" t="str">
            <v>Ágio - combinação de negócio em estágios</v>
          </cell>
        </row>
        <row r="234">
          <cell r="A234" t="str">
            <v>1750190012 Intangivel Op-Mais Valia C N Ativ n Alocados</v>
          </cell>
        </row>
        <row r="235">
          <cell r="A235" t="str">
            <v>Carteira de clientes</v>
          </cell>
        </row>
        <row r="236">
          <cell r="A236" t="str">
            <v>1750103011 Intangivel Op-Mais Valia de Carteira de Clientes</v>
          </cell>
        </row>
        <row r="237">
          <cell r="A237" t="str">
            <v>1750103012 Intangivel Op-Mais Valia de Carteira Clientes C N</v>
          </cell>
        </row>
        <row r="238">
          <cell r="A238" t="str">
            <v>1750603011 (-)Amort-Mais Valia Carteira de Clientes</v>
          </cell>
        </row>
        <row r="239">
          <cell r="A239" t="str">
            <v>1750603012 (-)Amort-Mais Valia C N Carteira de Clientes</v>
          </cell>
        </row>
        <row r="240">
          <cell r="A240" t="str">
            <v>Direito de uso de software e pesquisa e desen</v>
          </cell>
        </row>
        <row r="241">
          <cell r="A241" t="str">
            <v>1750101010 Intangivel Op-Custo das Marcas e Patentes</v>
          </cell>
        </row>
        <row r="242">
          <cell r="A242" t="str">
            <v>1750102010 Intangivel Op-Cto das Software ou Prog de Comput</v>
          </cell>
        </row>
        <row r="243">
          <cell r="A243" t="str">
            <v>1750102014 Intangivel Op-AV de Software ou Prog de Comput</v>
          </cell>
        </row>
        <row r="244">
          <cell r="A244" t="str">
            <v>1750602010 (-)Amort-Cto dos Software ou Programas de Comput</v>
          </cell>
        </row>
        <row r="245">
          <cell r="A245" t="str">
            <v>1750602014 (-)Amort-Contrapartida do AVP de Softwares</v>
          </cell>
        </row>
        <row r="246">
          <cell r="A246" t="str">
            <v>Ágio Goodwill</v>
          </cell>
        </row>
        <row r="247">
          <cell r="A247" t="str">
            <v>1750190011 Intangivel Op-Mais Valia Ativ n Alocados</v>
          </cell>
        </row>
        <row r="248">
          <cell r="A248" t="str">
            <v>Tributos diferidos s/ágio não alocado</v>
          </cell>
        </row>
        <row r="249">
          <cell r="A249" t="str">
            <v>1750190021 Intangivel Op-Tribs Dif S/Mais Valia de Ativos (R)</v>
          </cell>
        </row>
        <row r="250">
          <cell r="A250" t="str">
            <v>1754900020 Int const p/trib Dif s/Mais Valia Ativos CN (Real)</v>
          </cell>
        </row>
        <row r="251">
          <cell r="A251" t="str">
            <v>PASSIVO E PATRIMÔNIO LÍQUIDO</v>
          </cell>
        </row>
        <row r="252">
          <cell r="A252" t="str">
            <v>CIRCULANTE</v>
          </cell>
        </row>
        <row r="253">
          <cell r="A253" t="str">
            <v>FORNECEDORES</v>
          </cell>
        </row>
        <row r="254">
          <cell r="A254" t="str">
            <v>Serviços</v>
          </cell>
        </row>
        <row r="255">
          <cell r="A255" t="str">
            <v>2110101010 Fornecedores Nacionais de Serviços (Realizado)</v>
          </cell>
        </row>
        <row r="256">
          <cell r="A256" t="str">
            <v>Matérias Primas</v>
          </cell>
        </row>
        <row r="257">
          <cell r="A257" t="str">
            <v>2110101020 Fornecedores Nacionais de MP (Realizado)</v>
          </cell>
        </row>
        <row r="258">
          <cell r="A258" t="str">
            <v>2110102020 Fornecedores do Exterior de MP (Realizado)</v>
          </cell>
        </row>
        <row r="259">
          <cell r="A259" t="str">
            <v>Fretes</v>
          </cell>
        </row>
        <row r="260">
          <cell r="A260" t="str">
            <v>2110101070 Fornecedores Nacionais de Fretes (Realizado)</v>
          </cell>
        </row>
        <row r="261">
          <cell r="A261" t="str">
            <v>Materiais de Consumo</v>
          </cell>
        </row>
        <row r="262">
          <cell r="A262" t="str">
            <v>2110101040 Fornecedores Nacionais de Mat de Cons(Realizado)</v>
          </cell>
        </row>
        <row r="263">
          <cell r="A263" t="str">
            <v>2110102040 Fornecedores do Ext de Mat de Cons (Realizado)</v>
          </cell>
        </row>
        <row r="264">
          <cell r="A264" t="str">
            <v>Demais tipos de fornecedores</v>
          </cell>
        </row>
        <row r="265">
          <cell r="A265" t="str">
            <v>2110101030 Fornecedores Nacionais de Energia (Realizado)</v>
          </cell>
        </row>
        <row r="266">
          <cell r="A266" t="str">
            <v>2110101050 Fornecedores Nacionais Funcionarios (Realizado)</v>
          </cell>
        </row>
        <row r="267">
          <cell r="A267" t="str">
            <v>2110101060 Fornecedores Nacionais Imps e Contrib (Realizado)</v>
          </cell>
        </row>
        <row r="268">
          <cell r="A268" t="str">
            <v>2110101990 Fornecedores Nacionais Outros (Realizado)</v>
          </cell>
        </row>
        <row r="269">
          <cell r="A269" t="str">
            <v>2110199010 Entrada de Mercadoria e de Fat (EM/EF) (Realizado)</v>
          </cell>
        </row>
        <row r="270">
          <cell r="A270" t="str">
            <v>2110199011 Provisao de Entrada de Mercad e de Fatura (EM/EF)</v>
          </cell>
        </row>
        <row r="271">
          <cell r="A271" t="str">
            <v>EMPRÉSTIMOS</v>
          </cell>
        </row>
        <row r="272">
          <cell r="A272" t="str">
            <v>Moeda nacional</v>
          </cell>
        </row>
        <row r="273">
          <cell r="A273" t="str">
            <v>2110502010 Emprest e Financs em Moeda Nacional CP (Realizado)</v>
          </cell>
        </row>
        <row r="274">
          <cell r="A274" t="str">
            <v>2110502020 Juros s/Empr Fin em Moeda Nacional CP (Realizado)</v>
          </cell>
        </row>
        <row r="275">
          <cell r="A275" t="str">
            <v>2110502500 Custo de Emprest e Finan Amort em MN CP (Realiz)</v>
          </cell>
        </row>
        <row r="276">
          <cell r="A276" t="str">
            <v>Moeda estrangeira</v>
          </cell>
        </row>
        <row r="277">
          <cell r="A277" t="str">
            <v>2110502600 Emprestimos e Finan em Moeda Estrang CP (Realiz)</v>
          </cell>
        </row>
        <row r="278">
          <cell r="A278" t="str">
            <v>2110502610 Jur s/Emprest e Finan Moeda Estrang CP (Realizado)</v>
          </cell>
        </row>
        <row r="279">
          <cell r="A279" t="str">
            <v>SALÁRIOS E ENCARGOS SOCIAIS</v>
          </cell>
        </row>
        <row r="280">
          <cell r="A280" t="str">
            <v>Salários, Férias e Gratificações</v>
          </cell>
        </row>
        <row r="281">
          <cell r="A281" t="str">
            <v>2111001050 Provisao de 13º Salario (Realizado)</v>
          </cell>
        </row>
        <row r="282">
          <cell r="A282" t="str">
            <v>2111001060 Provisao de Ferias (Realizado)</v>
          </cell>
        </row>
        <row r="283">
          <cell r="A283" t="str">
            <v>2111001080 Provisao de Gratificaçoes Ferias (Realizado)</v>
          </cell>
        </row>
        <row r="284">
          <cell r="A284" t="str">
            <v>2111001090 Provisao de Gratificaçoes Diretores Estatutários</v>
          </cell>
        </row>
        <row r="285">
          <cell r="A285" t="str">
            <v>2111001100 Provisão de Gratificações  - CLT</v>
          </cell>
        </row>
        <row r="286">
          <cell r="A286" t="str">
            <v>2111001900 Provisoes Partic nos Lucros de Funcion (Realizado)</v>
          </cell>
        </row>
        <row r="287">
          <cell r="A287" t="str">
            <v>INSS</v>
          </cell>
        </row>
        <row r="288">
          <cell r="A288" t="str">
            <v>2111005010 Contrib Prev a Recolher-INSS s/Folha (Realizado)</v>
          </cell>
        </row>
        <row r="289">
          <cell r="A289" t="str">
            <v>2111005020 Contrib Prev a Recolher-INSS s/Autonomos (Realiz)</v>
          </cell>
        </row>
        <row r="290">
          <cell r="A290" t="str">
            <v>2111005030 Contrib Prev a Recolher-INSS s/Cooperativas (Real)</v>
          </cell>
        </row>
        <row r="291">
          <cell r="A291" t="str">
            <v>2111005040 Contrib Prev a Recolher-INSS Termo Coop SENAI (R)</v>
          </cell>
        </row>
        <row r="292">
          <cell r="A292" t="str">
            <v>2111005050 Prov de Contrib Prev-INSS sobre 13º Salario (R)</v>
          </cell>
        </row>
        <row r="293">
          <cell r="A293" t="str">
            <v>2111005060 Prov de Contrib Prev-INSS sobre Ferias (Realizado)</v>
          </cell>
        </row>
        <row r="294">
          <cell r="A294" t="str">
            <v>FGTS</v>
          </cell>
        </row>
        <row r="295">
          <cell r="A295" t="str">
            <v>2111006010 Contrib Prev a Recolher-FGTS s/Folha (Realizado)</v>
          </cell>
        </row>
        <row r="296">
          <cell r="A296" t="str">
            <v>2111006050 Prov Contrib Prev-FGTS s/ 13º Salario (Realizado)</v>
          </cell>
        </row>
        <row r="297">
          <cell r="A297" t="str">
            <v>2111006060 Prov Contrib Prev-FGTS sobre Ferias (Realizado)</v>
          </cell>
        </row>
        <row r="298">
          <cell r="A298" t="str">
            <v>OUTROS IMPOSTOS E CONTRIBUIÇÕES A PAGAR</v>
          </cell>
        </row>
        <row r="299">
          <cell r="A299" t="str">
            <v>ICMS a recolher</v>
          </cell>
        </row>
        <row r="300">
          <cell r="A300" t="str">
            <v>2113005300 ICMS a Recolher (Realizado)</v>
          </cell>
        </row>
        <row r="301">
          <cell r="A301" t="str">
            <v>PIS a recolher</v>
          </cell>
        </row>
        <row r="302">
          <cell r="A302" t="str">
            <v>2113005010 PIS a Recolher (Realizado)</v>
          </cell>
        </row>
        <row r="303">
          <cell r="A303" t="str">
            <v>Cofins a recolher</v>
          </cell>
        </row>
        <row r="304">
          <cell r="A304" t="str">
            <v>2113005020 COFINS a Recolher (Realizado)</v>
          </cell>
        </row>
        <row r="305">
          <cell r="A305" t="str">
            <v>Obrigações tributárias s/ servs.de terceiros</v>
          </cell>
        </row>
        <row r="306">
          <cell r="A306" t="str">
            <v>2113001010 IR de Funcionarios (Realizado)</v>
          </cell>
        </row>
        <row r="307">
          <cell r="A307" t="str">
            <v>2113001020 INSS de Funcionarios (Realizado)</v>
          </cell>
        </row>
        <row r="308">
          <cell r="A308" t="str">
            <v>2113001200 Imposto Sindical de Funcionarios (Realizado)</v>
          </cell>
        </row>
        <row r="309">
          <cell r="A309" t="str">
            <v>2113001300 Imposto de Renda s/Servs de Terceiros (Realizado)</v>
          </cell>
        </row>
        <row r="310">
          <cell r="A310" t="str">
            <v>2113001310 INSS s/Serviços de Terceiros PF</v>
          </cell>
        </row>
        <row r="311">
          <cell r="A311" t="str">
            <v>2113001320 INSS s/Serviços de Terceiros PJ</v>
          </cell>
        </row>
        <row r="312">
          <cell r="A312" t="str">
            <v>2113001350 CSLL s/Serviços de Terceiros (Realizado)</v>
          </cell>
        </row>
        <row r="313">
          <cell r="A313" t="str">
            <v>2113001360 PIS s/Serviços de Terceiros (Realizado)</v>
          </cell>
        </row>
        <row r="314">
          <cell r="A314" t="str">
            <v>2113001370 COFINS s/Serviços de Terceiros (Realizado)</v>
          </cell>
        </row>
        <row r="315">
          <cell r="A315" t="str">
            <v>2113001400 ISS s/Serviços de Terceiros (Realizado)</v>
          </cell>
        </row>
        <row r="316">
          <cell r="A316" t="str">
            <v>DIVIDENDOS E JUROS S/ CAPITAL PROPRIO A PAGAR</v>
          </cell>
        </row>
        <row r="317">
          <cell r="A317" t="str">
            <v>Dividendos a pagar</v>
          </cell>
        </row>
        <row r="318">
          <cell r="A318" t="str">
            <v>2114001010 Dividendos a Pagar (Realizado)</v>
          </cell>
        </row>
        <row r="319">
          <cell r="A319" t="str">
            <v>Dividendos propostos</v>
          </cell>
        </row>
        <row r="320">
          <cell r="A320" t="str">
            <v>2114001020 Dividendos Propostos (Realizado)</v>
          </cell>
        </row>
        <row r="321">
          <cell r="A321" t="str">
            <v>DEMANDAS JUDICIAIS</v>
          </cell>
        </row>
        <row r="322">
          <cell r="A322" t="str">
            <v>Fiscais</v>
          </cell>
        </row>
        <row r="323">
          <cell r="A323" t="str">
            <v>2119001010 Prov Nat Trib s/Dep Gar CP-Imp,Taxas Contr Fed (R)</v>
          </cell>
        </row>
        <row r="324">
          <cell r="A324" t="str">
            <v>ENERGIA ELÉTRICA</v>
          </cell>
        </row>
        <row r="325">
          <cell r="A325" t="str">
            <v>Energia elétrica provisionada</v>
          </cell>
        </row>
        <row r="326">
          <cell r="A326" t="str">
            <v>2118005010 Fornec e nao Faturado-Energia Eletrica (Realizado)</v>
          </cell>
        </row>
        <row r="327">
          <cell r="A327" t="str">
            <v>OUTROS PASSIVOS CIRCULANTES</v>
          </cell>
        </row>
        <row r="328">
          <cell r="A328" t="str">
            <v>Serviços Técnicos profissionais</v>
          </cell>
        </row>
        <row r="329">
          <cell r="A329" t="str">
            <v>2119003020 Prov Nat Op Desp c/ Servs Tecn e Prof CP (Realiz)</v>
          </cell>
        </row>
        <row r="330">
          <cell r="A330" t="str">
            <v>Fretes sobre vendas</v>
          </cell>
        </row>
        <row r="331">
          <cell r="A331" t="str">
            <v>2119003010 Prov Nat Op Desp c/ Fretes s/Vendas CP (Realizado)</v>
          </cell>
        </row>
        <row r="332">
          <cell r="A332" t="str">
            <v>Desembaraço alfandegário</v>
          </cell>
        </row>
        <row r="333">
          <cell r="A333" t="str">
            <v>2118005040 Fornec e nao Faturado-Materiais de Cons (Realiz)</v>
          </cell>
        </row>
        <row r="334">
          <cell r="A334" t="str">
            <v>Obrigações de natureza fiscais</v>
          </cell>
        </row>
        <row r="335">
          <cell r="A335" t="str">
            <v>2119001030 Prov Nat Trib s/Dep Gar CP-Imp,Taxas Cont Mun (R)</v>
          </cell>
        </row>
        <row r="336">
          <cell r="A336" t="str">
            <v>Trabalhistas e previdênciárias</v>
          </cell>
        </row>
        <row r="337">
          <cell r="A337" t="str">
            <v>2119002020 Prov Ind Trab p/Desligamen Compulsório CP (Realiz)</v>
          </cell>
        </row>
        <row r="338">
          <cell r="A338" t="str">
            <v>2119002030 Prov Nat Trab s/Dep Gar CP-Previdenciaria (Realiz)</v>
          </cell>
        </row>
        <row r="339">
          <cell r="A339" t="str">
            <v>Outras obrigações e compromissos</v>
          </cell>
        </row>
        <row r="340">
          <cell r="A340" t="str">
            <v>2118005020 Fornec e nao Faturado-Agua (Realizado)</v>
          </cell>
        </row>
        <row r="341">
          <cell r="A341" t="str">
            <v>2118005090 Fornec e nao Faturado-Servs Prestados (Realizado)</v>
          </cell>
        </row>
        <row r="342">
          <cell r="A342" t="str">
            <v>2118010010 Retençoes s/Contratos de Compras (Realizado)</v>
          </cell>
        </row>
        <row r="343">
          <cell r="A343" t="str">
            <v>2118050010 Adiantamentos de Clientes (Realizado)</v>
          </cell>
        </row>
        <row r="344">
          <cell r="A344" t="str">
            <v>2119003030 Prov Nat Op Desp c/Servs de Auditoria CP (Realiz)</v>
          </cell>
        </row>
        <row r="345">
          <cell r="A345" t="str">
            <v>2119003040 Prov Nat Op Desp c/Seguros Gerais CP (Realizado)</v>
          </cell>
        </row>
        <row r="346">
          <cell r="A346" t="str">
            <v>2119003990 Prov Nat Op Outras Desp Provisionadas CP (Realiz)</v>
          </cell>
        </row>
        <row r="347">
          <cell r="A347" t="str">
            <v>NÃO CIRCULANTE</v>
          </cell>
        </row>
        <row r="348">
          <cell r="A348" t="str">
            <v>EMPRÉSTIMOS</v>
          </cell>
        </row>
        <row r="349">
          <cell r="A349" t="str">
            <v>Moeda nacional</v>
          </cell>
        </row>
        <row r="350">
          <cell r="A350" t="str">
            <v>2310502010 Emprest Finan Bancarios Moeda Nacional LP (R)</v>
          </cell>
        </row>
        <row r="351">
          <cell r="A351" t="str">
            <v>Moeda estrangeira</v>
          </cell>
        </row>
        <row r="352">
          <cell r="A352" t="str">
            <v>2310502600 Empr Financiamentos Moeda Estrangeira LP (Realiz)</v>
          </cell>
        </row>
        <row r="353">
          <cell r="A353" t="str">
            <v>IR E CONTRIBUIÇÃO SOCIAL DIFERIDOS</v>
          </cell>
        </row>
        <row r="354">
          <cell r="A354" t="str">
            <v>Ativo de imposto diferido</v>
          </cell>
        </row>
        <row r="355">
          <cell r="A355" t="str">
            <v>1111505014 Ajustes Temporarios Aliq Efetiva CSLL (Realiz)</v>
          </cell>
        </row>
        <row r="356">
          <cell r="A356" t="str">
            <v>1111506014 Ajustes Temps Aliq Efetiva IRPJ (Realiz)</v>
          </cell>
        </row>
        <row r="357">
          <cell r="A357" t="str">
            <v>1711505000 Cred Fisc CSLL-Bas de Cal Negativa LP (Real)</v>
          </cell>
        </row>
        <row r="358">
          <cell r="A358" t="str">
            <v>1711505010 Cred Fisc CSLL-Dif Temp e Bas de Cal Negtiv (Real)</v>
          </cell>
        </row>
        <row r="359">
          <cell r="A359" t="str">
            <v>1711506000 Cred Fisc IRPJL-Prejuizo Fiscal LP (Real)</v>
          </cell>
        </row>
        <row r="360">
          <cell r="A360" t="str">
            <v>1711506010 Cred Fisc IRPJ-Dif Temp e Prej Fiscais (Realizado)</v>
          </cell>
        </row>
        <row r="361">
          <cell r="A361" t="str">
            <v>Passivo de imposto diferido</v>
          </cell>
        </row>
        <row r="362">
          <cell r="A362" t="str">
            <v>2312001030 Prov p/CSLL Diferida s/Depr Fiscal LP (Realiz)</v>
          </cell>
        </row>
        <row r="363">
          <cell r="A363" t="str">
            <v>2312001040 Prov p/CSLL Diferida s/Dif Temp (Realiz)</v>
          </cell>
        </row>
        <row r="364">
          <cell r="A364" t="str">
            <v>2312002030 Prov p/IR Diferida s/Depr Fiscal LP (Realiz)</v>
          </cell>
        </row>
        <row r="365">
          <cell r="A365" t="str">
            <v>2312002040 Prov p/IR Diferida s/Dif Temp (Realiz)</v>
          </cell>
        </row>
        <row r="366">
          <cell r="A366" t="str">
            <v>OBRIGAÇÕES COM BENEFICIOS AOS EMPREGADOS</v>
          </cell>
        </row>
        <row r="367">
          <cell r="A367" t="str">
            <v>Provisão para previdência privada</v>
          </cell>
        </row>
        <row r="368">
          <cell r="A368" t="str">
            <v>2318001010 Previdencia Privada-CVM 371 LP (Realizado)</v>
          </cell>
        </row>
        <row r="369">
          <cell r="A369" t="str">
            <v>Provisão para assistência médica</v>
          </cell>
        </row>
        <row r="370">
          <cell r="A370" t="str">
            <v>2319002150 Prov Nat Trab Assist Medica Aposent LP (Realizado)</v>
          </cell>
        </row>
        <row r="371">
          <cell r="A371" t="str">
            <v>Provisão para aposentadoria compulsória</v>
          </cell>
        </row>
        <row r="372">
          <cell r="A372" t="str">
            <v>2319002100 Prov Nat Trab FGTS Aviso Prev s/Aposen Comp LP (R)</v>
          </cell>
        </row>
        <row r="373">
          <cell r="A373" t="str">
            <v>Provisão para gratificação tempo de casa</v>
          </cell>
        </row>
        <row r="374">
          <cell r="A374" t="str">
            <v>2319002200 Prov Nat Trab Gratif Tempo Serv LP-Quinq (Realiz)</v>
          </cell>
        </row>
        <row r="375">
          <cell r="A375" t="str">
            <v>DEMANDAS JUDICIAIS</v>
          </cell>
        </row>
        <row r="376">
          <cell r="A376" t="str">
            <v>Fiscais</v>
          </cell>
        </row>
        <row r="377">
          <cell r="A377" t="str">
            <v>2319001010 Prov Nat Trib s/Dep Gar LP-Imp,Taxs Cont Fed (R)</v>
          </cell>
        </row>
        <row r="378">
          <cell r="A378" t="str">
            <v>2319101010 Prov Nat Trib c/Dep Gar LP-Imp,Taxas Cont Fed (R)</v>
          </cell>
        </row>
        <row r="379">
          <cell r="A379" t="str">
            <v>2319101030 Prov Nat Trib c/Dep em Gar LP-Imps Taxs Ctrb M (R)</v>
          </cell>
        </row>
        <row r="380">
          <cell r="A380" t="str">
            <v>Trabalhistas</v>
          </cell>
        </row>
        <row r="381">
          <cell r="A381" t="str">
            <v>2319002010 Prov Nat Trab s/Dep em Gar LP-Recl Trabalh (Real)</v>
          </cell>
        </row>
        <row r="382">
          <cell r="A382" t="str">
            <v>2319102030 Prov Nat Trab c/Dep em Gar LP - Previd (Realizado)</v>
          </cell>
        </row>
        <row r="383">
          <cell r="A383" t="str">
            <v>Ambientais</v>
          </cell>
        </row>
        <row r="384">
          <cell r="A384" t="str">
            <v>2319003100 Prov Nat Op Desp Amb Trat Subsolo LP (Realiz)</v>
          </cell>
        </row>
        <row r="385">
          <cell r="A385" t="str">
            <v>Outras perdas possiveis</v>
          </cell>
        </row>
        <row r="386">
          <cell r="A386" t="str">
            <v>2319003900 Prov Nat Op Outras Desps LP (Realiz)</v>
          </cell>
        </row>
        <row r="387">
          <cell r="A387" t="str">
            <v>Depósitos judiciais</v>
          </cell>
        </row>
        <row r="388">
          <cell r="A388" t="str">
            <v>1719101010 Dep Jud c/ Reserv-Imp,Taxas e Contrib Fed (Realiz)</v>
          </cell>
        </row>
        <row r="389">
          <cell r="A389" t="str">
            <v>1719101030 Dep Jud c/Res-Imp, Taxas e Contrib Munic (Realiz)</v>
          </cell>
        </row>
        <row r="390">
          <cell r="A390" t="str">
            <v>1719102030 Dep Judiciais c/Res -Previdenciarios (Realizado)</v>
          </cell>
        </row>
        <row r="391">
          <cell r="A391" t="str">
            <v>PATRIMÔNIO LÍQUIDO</v>
          </cell>
        </row>
        <row r="392">
          <cell r="A392" t="str">
            <v>CAPITAL SOCIAL</v>
          </cell>
        </row>
        <row r="393">
          <cell r="A393" t="str">
            <v>Capital Subscrito</v>
          </cell>
        </row>
        <row r="394">
          <cell r="A394" t="str">
            <v>2710101010 Capital  Subs Domic e Resids no Pais (Realizado)</v>
          </cell>
        </row>
        <row r="395">
          <cell r="A395" t="str">
            <v>AÇÕES EM TESOURARIA</v>
          </cell>
        </row>
        <row r="396">
          <cell r="A396" t="str">
            <v>Preferenciais</v>
          </cell>
        </row>
        <row r="397">
          <cell r="A397" t="str">
            <v>2760101010 Acoes Preferenciais em Tesouraria</v>
          </cell>
        </row>
        <row r="398">
          <cell r="A398" t="str">
            <v>Ordinárias</v>
          </cell>
        </row>
        <row r="399">
          <cell r="A399" t="str">
            <v>2760101020 Acoes Ordinarias em Tesouraria</v>
          </cell>
        </row>
        <row r="400">
          <cell r="A400" t="str">
            <v>RESERVA DE CAPITAL</v>
          </cell>
        </row>
        <row r="401">
          <cell r="A401" t="str">
            <v>Reserva de capital</v>
          </cell>
        </row>
        <row r="402">
          <cell r="A402" t="str">
            <v>2740101010 Reservas de Capital (Realizado)</v>
          </cell>
        </row>
        <row r="403">
          <cell r="A403" t="str">
            <v>RESERVAS DE LUCROS</v>
          </cell>
        </row>
        <row r="404">
          <cell r="A404" t="str">
            <v>Reserva legal</v>
          </cell>
        </row>
        <row r="405">
          <cell r="A405" t="str">
            <v>2740201010 Reserva Legal (Realizado)</v>
          </cell>
        </row>
        <row r="406">
          <cell r="A406" t="str">
            <v>Reserva especial para dividendos</v>
          </cell>
        </row>
        <row r="407">
          <cell r="A407" t="str">
            <v>2740203010 Reserva Especial p/Dividendos (Realizado)</v>
          </cell>
        </row>
        <row r="408">
          <cell r="A408" t="str">
            <v>Reserva de retenção de lucros</v>
          </cell>
        </row>
        <row r="409">
          <cell r="A409" t="str">
            <v>2740202000 Reserva Est-Ret de Lucros An Anteriores (Realiz)</v>
          </cell>
        </row>
        <row r="410">
          <cell r="A410" t="str">
            <v>2740202100 Reserva Est-Ret de Lucros Exer de 2.014 (Realiz)</v>
          </cell>
        </row>
        <row r="411">
          <cell r="A411" t="str">
            <v>Reserva de lucros a realizar</v>
          </cell>
        </row>
        <row r="412">
          <cell r="A412" t="str">
            <v>2740204010 Reserva de Lucros a Realizar (Realizado)</v>
          </cell>
        </row>
        <row r="413">
          <cell r="A413" t="str">
            <v>OUTROS RESULTADOS ABRANGENTES DO PERIODO</v>
          </cell>
        </row>
        <row r="414">
          <cell r="A414" t="str">
            <v>Ajuste às normas internacionais de contab.</v>
          </cell>
        </row>
        <row r="415">
          <cell r="A415" t="str">
            <v>2750101010 Ajs as Normas Internac de Contab (Realizado)</v>
          </cell>
        </row>
        <row r="416">
          <cell r="A416" t="str">
            <v>2750102010 (-)Ajs as Normas Internac de Contab (Realizado)</v>
          </cell>
        </row>
        <row r="417">
          <cell r="A417" t="str">
            <v>LUCROS ACUMULADOS</v>
          </cell>
        </row>
        <row r="418">
          <cell r="A418" t="str">
            <v>Resultado líquido do periodo</v>
          </cell>
        </row>
        <row r="419">
          <cell r="A419" t="str">
            <v>Resultado antes dos tributos sobre o lucro</v>
          </cell>
        </row>
        <row r="420">
          <cell r="A420" t="str">
            <v>Resultado antes do resultado financeiro</v>
          </cell>
        </row>
        <row r="421">
          <cell r="A421" t="str">
            <v>Lucro bruto</v>
          </cell>
        </row>
        <row r="422">
          <cell r="A422" t="str">
            <v>Receita líquida de vendas</v>
          </cell>
        </row>
        <row r="423">
          <cell r="A423" t="str">
            <v>Receita bruta de vendas</v>
          </cell>
        </row>
        <row r="424">
          <cell r="A424" t="str">
            <v>Mercado interno</v>
          </cell>
        </row>
        <row r="425">
          <cell r="A425" t="str">
            <v>3110101030 Rec Brt-Vendas de Produtos no MI (Realizado)</v>
          </cell>
        </row>
        <row r="426">
          <cell r="A426" t="str">
            <v>3110105030 Rec Brt-Rev de Mercs Nacionais no MI (Realizado)</v>
          </cell>
        </row>
        <row r="427">
          <cell r="A427" t="str">
            <v>3110106030 Rec Brt-Rev de Mercs Importadas MI ( Realizado)</v>
          </cell>
        </row>
        <row r="428">
          <cell r="A428" t="str">
            <v>3110108030 Rec Brt-Rev de Mercs Diversas no MI (Realizado)</v>
          </cell>
        </row>
        <row r="429">
          <cell r="A429" t="str">
            <v>3110301030 (-)Vendas Canc e Dev de Prod no MI (Realizado)</v>
          </cell>
        </row>
        <row r="430">
          <cell r="A430" t="str">
            <v>Mercado externo</v>
          </cell>
        </row>
        <row r="431">
          <cell r="A431" t="str">
            <v>3110101010 Rec Brt-Export Direta de Produtos FP (Realizado)</v>
          </cell>
        </row>
        <row r="432">
          <cell r="A432" t="str">
            <v>Impostos incidentes s/ vendas e abatimentos</v>
          </cell>
        </row>
        <row r="433">
          <cell r="A433" t="str">
            <v>3110401030 (-)Desc Incond s/Vend de Prod FP no MI (Realizado)</v>
          </cell>
        </row>
        <row r="434">
          <cell r="A434" t="str">
            <v>3110405030 (-)Desc Incond s/Rev Merc Nacional no MI (Realiz)</v>
          </cell>
        </row>
        <row r="435">
          <cell r="A435" t="str">
            <v>3110408030 (-)Desc Incond s/Rev Merc Diversas no MI (Realiz)</v>
          </cell>
        </row>
        <row r="436">
          <cell r="A436" t="str">
            <v>3110501030 (-)ICMS s/Vendas de Produtos FP no MI (Realiz)</v>
          </cell>
        </row>
        <row r="437">
          <cell r="A437" t="str">
            <v>3110505030 (-)ICMS s/Rev de Mercs Nacionais no MI (Realiz)</v>
          </cell>
        </row>
        <row r="438">
          <cell r="A438" t="str">
            <v>3110506030 (-)ICMS s/Rev de Merc Imports no MI (Realiz)</v>
          </cell>
        </row>
        <row r="439">
          <cell r="A439" t="str">
            <v>3110508030 (-)ICMS s/Rev Mercadorias Divs no MI (Realizado)</v>
          </cell>
        </row>
        <row r="440">
          <cell r="A440" t="str">
            <v>3110590900 (-)ICMS s/Remessas Mercadorias Div no MI (Realiz)</v>
          </cell>
        </row>
        <row r="441">
          <cell r="A441" t="str">
            <v>3110601030 (-)Cofins s/Venda Produtos FP no MI (R)</v>
          </cell>
        </row>
        <row r="442">
          <cell r="A442" t="str">
            <v>3110605030 (-)Cofins s/Revenda Merc Nacionais no MI (Realiz)</v>
          </cell>
        </row>
        <row r="443">
          <cell r="A443" t="str">
            <v>3110606030 (-)Cofins s/Revenda Merc Importadas no MI (Realiz)</v>
          </cell>
        </row>
        <row r="444">
          <cell r="A444" t="str">
            <v>3110608030 (-)Cofins s/Revenda Mercad Divs no MI (Realiz)</v>
          </cell>
        </row>
        <row r="445">
          <cell r="A445" t="str">
            <v>3110701030 (-)PIS/Pasep s/Vendas Produtos FP no MI (Realiz)</v>
          </cell>
        </row>
        <row r="446">
          <cell r="A446" t="str">
            <v>3110705030 (-)PIS/Pasep s/Rev Merc Nacionais no MI (Realiz)</v>
          </cell>
        </row>
        <row r="447">
          <cell r="A447" t="str">
            <v>3110706030 (-)PIS/Pasep s/Rev Merc Importadas no MI (Realiz)</v>
          </cell>
        </row>
        <row r="448">
          <cell r="A448" t="str">
            <v>3110708030 (-)PIS/Pasep s/Revenda Merc Divs no MI (Realiz)</v>
          </cell>
        </row>
        <row r="449">
          <cell r="A449" t="str">
            <v>Custo dos bens e serviços vendidos</v>
          </cell>
        </row>
        <row r="450">
          <cell r="A450" t="str">
            <v>Variações nos estoques de Materiais</v>
          </cell>
        </row>
        <row r="451">
          <cell r="A451" t="str">
            <v>3130101010 Custo de Exportaçao Direta de Produtos (Realiz)</v>
          </cell>
        </row>
        <row r="452">
          <cell r="A452" t="str">
            <v>3130101012 Rev Prov p/ Desv de Exportaçao Direta de Produtos</v>
          </cell>
        </row>
        <row r="453">
          <cell r="A453" t="str">
            <v>3130101015 Prov p/Desv de Exportaçao Direta de Produtos</v>
          </cell>
        </row>
        <row r="454">
          <cell r="A454" t="str">
            <v>3130101030 Custo das Vendas de Produtos MI (Realizado)</v>
          </cell>
        </row>
        <row r="455">
          <cell r="A455" t="str">
            <v>3130101031 Custo Vendas de Produtos MI - AJ</v>
          </cell>
        </row>
        <row r="456">
          <cell r="A456" t="str">
            <v>3130101039 Custo das Vendas de Produtos MI Serv (Realizado)</v>
          </cell>
        </row>
        <row r="457">
          <cell r="A457" t="str">
            <v>3130105030 Custo das Revendas de Mercadorias no MI (Realiz)</v>
          </cell>
        </row>
        <row r="458">
          <cell r="A458" t="str">
            <v>3130105031 Custo Revendas de Produtos MI - AJ</v>
          </cell>
        </row>
        <row r="459">
          <cell r="A459" t="str">
            <v>3130106030 Custo da Revenda de Merc Importadas no MI (Realiz)</v>
          </cell>
        </row>
        <row r="460">
          <cell r="A460" t="str">
            <v>3130130030 Custo das Vendas de Serviços no MI (Realizado)</v>
          </cell>
        </row>
        <row r="461">
          <cell r="A461" t="str">
            <v>5110101010 Estoq Consumido Prod-Materia Prima SAL (Realizado)</v>
          </cell>
        </row>
        <row r="462">
          <cell r="A462" t="str">
            <v>5110101011 Estoq Consumido Prod-Materia Prima SAL (Aj Real)</v>
          </cell>
        </row>
        <row r="463">
          <cell r="A463" t="str">
            <v>5110101020 Estoq Consumido Prod-MP-Etileno (Realizado)</v>
          </cell>
        </row>
        <row r="464">
          <cell r="A464" t="str">
            <v>5110101021 Estoq Consumido Prod-MP-Etileno (Aj Real)</v>
          </cell>
        </row>
        <row r="465">
          <cell r="A465" t="str">
            <v>5110101300 Estoq Consumido Prod-Mat Aux Gas Natural (Realiz)</v>
          </cell>
        </row>
        <row r="466">
          <cell r="A466" t="str">
            <v>5110101301 Estoq Consumido Prod-Mat Aux Gas Natural (Aj Real)</v>
          </cell>
        </row>
        <row r="467">
          <cell r="A467" t="str">
            <v>5110101310 Estoq Consumido Prod-M Aux Vapor Petroc (Realiz)</v>
          </cell>
        </row>
        <row r="468">
          <cell r="A468" t="str">
            <v>5110101311 Estoq Consumido Prod-M Aux Vapor Petroc (Aj Real)</v>
          </cell>
        </row>
        <row r="469">
          <cell r="A469" t="str">
            <v>5110101490 Estoq Consumido Prod-M Aux Demais (Realizado)</v>
          </cell>
        </row>
        <row r="470">
          <cell r="A470" t="str">
            <v>5110101491 Estoq Consumido Prod-M Aux Demais (Aj Real)</v>
          </cell>
        </row>
        <row r="471">
          <cell r="A471" t="str">
            <v>5110101500 Estoq Consumido Prod-Embalagens (Realizado)</v>
          </cell>
        </row>
        <row r="472">
          <cell r="A472" t="str">
            <v>5110101501 Estoq Consumido Prod-Embalagens (Aj Real)</v>
          </cell>
        </row>
        <row r="473">
          <cell r="A473" t="str">
            <v>5110102010 Cons.Insumo-Revestimentos de Anodos (Realizado)</v>
          </cell>
        </row>
        <row r="474">
          <cell r="A474" t="str">
            <v>5110503100 Aj Preço-Var Preço Dif Cambio Ent Mat-Rev Imp(KDM)</v>
          </cell>
        </row>
        <row r="475">
          <cell r="A475" t="str">
            <v>5110504070 Aj Preço-Var Preço Dif C Mud Nivel-Semi Acab (KDV)</v>
          </cell>
        </row>
        <row r="476">
          <cell r="A476" t="str">
            <v>5110505010 Aj Preço-Dif Preço Nivel Único-Sal (PRD)</v>
          </cell>
        </row>
        <row r="477">
          <cell r="A477" t="str">
            <v>5110505020 Aj Preço-Dif Preço Nivel Único-Etileno (PRD)</v>
          </cell>
        </row>
        <row r="478">
          <cell r="A478" t="str">
            <v>5110505030 Aj Preço-Dif Preço Nivel Único-Gás Natural (PRD)</v>
          </cell>
        </row>
        <row r="479">
          <cell r="A479" t="str">
            <v>5110505040 Aj Preço-Dif Preço Nivel Único-Vapor (PRD)</v>
          </cell>
        </row>
        <row r="480">
          <cell r="A480" t="str">
            <v>5110505050 Aj Preço-Dif Preço Nivel Único-Mat Auxiliares(PRD)</v>
          </cell>
        </row>
        <row r="481">
          <cell r="A481" t="str">
            <v>5110505060 Aj Preço-Dif Preço Nivel Único-Embalagens (PRD)</v>
          </cell>
        </row>
        <row r="482">
          <cell r="A482" t="str">
            <v>5110505070 Aj Preço-Dif Preço Nivel Único-Semi Acabados (PRD)</v>
          </cell>
        </row>
        <row r="483">
          <cell r="A483" t="str">
            <v>5110505080 Aj Preço-Dif Preço Nivel Único-Acabados (PRD)</v>
          </cell>
        </row>
        <row r="484">
          <cell r="A484" t="str">
            <v>5110505090 Aj Preço-Dif Preço Nivel Único-Revenda (PRD)</v>
          </cell>
        </row>
        <row r="485">
          <cell r="A485" t="str">
            <v>5110505100 Aj Preço-Dif Preço Nivel Único-Revenda Imp (PRD)</v>
          </cell>
        </row>
        <row r="486">
          <cell r="A486" t="str">
            <v>5110506070 Aj Preço-Dif Preço Multinivel-Semi Acabado (PRV)</v>
          </cell>
        </row>
        <row r="487">
          <cell r="A487" t="str">
            <v>5110507010 Aj Preço-Dif Preço Fechamento ML-Sal (PRY)</v>
          </cell>
        </row>
        <row r="488">
          <cell r="A488" t="str">
            <v>5110507020 Aj Preço-Dif Preço Fechamento ML-Etileno (PRY)</v>
          </cell>
        </row>
        <row r="489">
          <cell r="A489" t="str">
            <v>5110507030 Aj Preço-Dif Preço Fechamento ML-Gas Natural (PRY)</v>
          </cell>
        </row>
        <row r="490">
          <cell r="A490" t="str">
            <v>5110507040 Aj Preço-Dif Preço Fechamento ML-Vapor (PRY)</v>
          </cell>
        </row>
        <row r="491">
          <cell r="A491" t="str">
            <v>5110507050 Aj Preço-Dif Preço Fechamento ML-Mat Auxiliar(PRY)</v>
          </cell>
        </row>
        <row r="492">
          <cell r="A492" t="str">
            <v>5110507060 Aj Preço-Dif Preço Fechamento ML-Embalagens (PRY)</v>
          </cell>
        </row>
        <row r="493">
          <cell r="A493" t="str">
            <v>5110507070 Aj Preço-Dif Preço Fechamento ML-Semi Acabad (PRY)</v>
          </cell>
        </row>
        <row r="494">
          <cell r="A494" t="str">
            <v>5110507080 Aj Preço-Dif Preço Fechamento ML-Acabados (PRY)</v>
          </cell>
        </row>
        <row r="495">
          <cell r="A495" t="str">
            <v>5110507090 Aj Preço-Dif Preço Fechamento ML-Revenda (PRY)</v>
          </cell>
        </row>
        <row r="496">
          <cell r="A496" t="str">
            <v>5110599010 Ajustes do Grupo Material Ledger - Realizado</v>
          </cell>
        </row>
        <row r="497">
          <cell r="A497" t="str">
            <v>5110608010 Proj Inv.Est.Pesq-Mat Cons-Imobilizado (Realizado)</v>
          </cell>
        </row>
        <row r="498">
          <cell r="A498" t="str">
            <v>5110620010 Proj Inv.Est.Pesq-S.Prest Terc-Imobiliz PJ(Realiz)</v>
          </cell>
        </row>
        <row r="499">
          <cell r="A499" t="str">
            <v>5110620020 Proj Inv.Est.Pesq-S.Prest Terc-Estudo PJ (Realiz)</v>
          </cell>
        </row>
        <row r="500">
          <cell r="A500" t="str">
            <v>5110635010 Proj Inv.Est.Pesq-Encarg Financ-Imobiliz (Realiz)</v>
          </cell>
        </row>
        <row r="501">
          <cell r="A501" t="str">
            <v>5110690050 (-)Proj Inv.Est.Pesq-Imp Aq-ICMS s/Aquis Imob (R)</v>
          </cell>
        </row>
        <row r="502">
          <cell r="A502" t="str">
            <v>5110690060 (-)Proj Inv.Est.Pesq-Imp Aq-COFINS Aquis Imob (R)</v>
          </cell>
        </row>
        <row r="503">
          <cell r="A503" t="str">
            <v>5110690070 (-)Proj Inv.Est.Pesq-Imp Aquis-PIS Aquis Imob (R)</v>
          </cell>
        </row>
        <row r="504">
          <cell r="A504" t="str">
            <v>5110699010 Proj Inv.Est.Pesq-Transf p/Imob em Andamento (R)</v>
          </cell>
        </row>
        <row r="505">
          <cell r="A505" t="str">
            <v>5110699020 Proj Inv.Est.Pesq-Transf p/Estudos/Pesq (Realiz)</v>
          </cell>
        </row>
        <row r="506">
          <cell r="A506" t="str">
            <v>5120101010 Cst P.Fab Próp Transf p/S.Acabado(F.Fab)-(Aj.Real)</v>
          </cell>
        </row>
        <row r="507">
          <cell r="A507" t="str">
            <v>5120101011 Cst P.Fab Próp Transf p/S.Acab(AjOrdProd)-(Planej)</v>
          </cell>
        </row>
        <row r="508">
          <cell r="A508" t="str">
            <v>5120101012 Cst P.Fab Próp Transf p/S.Acab(Zerar Centro Cst)</v>
          </cell>
        </row>
        <row r="509">
          <cell r="A509" t="str">
            <v>5120101013 Cst P.Fab Próp Consumo S.Acab (Realizado)</v>
          </cell>
        </row>
        <row r="510">
          <cell r="A510" t="str">
            <v>5120101020 Cst P.Fab Próp Transf p/P.Acabado(F.Fab)-(Aj.Real)</v>
          </cell>
        </row>
        <row r="511">
          <cell r="A511" t="str">
            <v>5120101021 Cst P.Fab Próp Transf p/P.Acabado(F.Fab)-(Planej)</v>
          </cell>
        </row>
        <row r="512">
          <cell r="A512" t="str">
            <v>5120101022 Cst P.Fab Próp Transf p/P.Acabado(Zerar CentroCst)</v>
          </cell>
        </row>
        <row r="513">
          <cell r="A513" t="str">
            <v>5120101030 Cst P.Fab Próp Transf p/P.Acabado(Aj Cons Real)</v>
          </cell>
        </row>
        <row r="514">
          <cell r="A514" t="str">
            <v>Energia Elétrica</v>
          </cell>
        </row>
        <row r="515">
          <cell r="A515" t="str">
            <v>5110105010 Cons Insumo E Eletrica Cons Energia Eletrica (R)</v>
          </cell>
        </row>
        <row r="516">
          <cell r="A516" t="str">
            <v>Despesas com salários e benefícios a empregad</v>
          </cell>
        </row>
        <row r="517">
          <cell r="A517" t="str">
            <v>5111001030 FLPG-Ordena.Sal.Outras Remune Empreg(R)</v>
          </cell>
        </row>
        <row r="518">
          <cell r="A518" t="str">
            <v>5111001040 FLPG-13º Salario (Realizado)</v>
          </cell>
        </row>
        <row r="519">
          <cell r="A519" t="str">
            <v>5111001041 FLPG-Provisao de 13º Salario</v>
          </cell>
        </row>
        <row r="520">
          <cell r="A520" t="str">
            <v>5111001042 FLPG-Reversao da Provisao de 13º Salario</v>
          </cell>
        </row>
        <row r="521">
          <cell r="A521" t="str">
            <v>5111001050 FLPG-Ferias (Realizado)</v>
          </cell>
        </row>
        <row r="522">
          <cell r="A522" t="str">
            <v>5111001051 FLPG-Provisao de Ferias</v>
          </cell>
        </row>
        <row r="523">
          <cell r="A523" t="str">
            <v>5111001052 FLPG-Reversao da Provisao de Ferias</v>
          </cell>
        </row>
        <row r="524">
          <cell r="A524" t="str">
            <v>5111001080 FLPG-Gratificaçoes de Ferias(Realizado)</v>
          </cell>
        </row>
        <row r="525">
          <cell r="A525" t="str">
            <v>5111001081 FLPG-Provisao de Gratificaçoes de Ferias</v>
          </cell>
        </row>
        <row r="526">
          <cell r="A526" t="str">
            <v>5111001082 FLPG-Rever Provi Gratificaçoes de Ferias</v>
          </cell>
        </row>
        <row r="527">
          <cell r="A527" t="str">
            <v>5111001090 FLPG-Gratificaçoes (Realizado)</v>
          </cell>
        </row>
        <row r="528">
          <cell r="A528" t="str">
            <v>5111001091 FLPG-Provisao de Gratificaçoes</v>
          </cell>
        </row>
        <row r="529">
          <cell r="A529" t="str">
            <v>5111001092 FLPG-Rever da Provisao de Gratificaçoes</v>
          </cell>
        </row>
        <row r="530">
          <cell r="A530" t="str">
            <v>5111001100 FLPG-Gratificaçoes Quinquenios (Realizado)</v>
          </cell>
        </row>
        <row r="531">
          <cell r="A531" t="str">
            <v>5111001101 FLPG-Prov Gratificaçoes Quinquenios</v>
          </cell>
        </row>
        <row r="532">
          <cell r="A532" t="str">
            <v>5111001102 FLPG-Rever Prov Gratificaçoes Quinquenios</v>
          </cell>
        </row>
        <row r="533">
          <cell r="A533" t="str">
            <v>5111001120 FLPG-Aviso Previo (Realizado)</v>
          </cell>
        </row>
        <row r="534">
          <cell r="A534" t="str">
            <v>5111001122 FLPG-Reversao da Provisao de Aviso Previo</v>
          </cell>
        </row>
        <row r="535">
          <cell r="A535" t="str">
            <v>5111001130 FLPG-Indenizaçoes (Realizado)</v>
          </cell>
        </row>
        <row r="536">
          <cell r="A536" t="str">
            <v>5111001240 FLPG-Auxilio Doença (Realizado)</v>
          </cell>
        </row>
        <row r="537">
          <cell r="A537" t="str">
            <v>5111001250 FLPG-Auxilio Ensino (Realizado)</v>
          </cell>
        </row>
        <row r="538">
          <cell r="A538" t="str">
            <v>5111001300 FLPG-Bolsa Estudos de Estagiarios (Realizado)</v>
          </cell>
        </row>
        <row r="539">
          <cell r="A539" t="str">
            <v>5111001990 Rateio da Mão de Obra da Manutenção</v>
          </cell>
        </row>
        <row r="540">
          <cell r="A540" t="str">
            <v>5111002010 FGTS-Folha de Pagamento (Realizado)</v>
          </cell>
        </row>
        <row r="541">
          <cell r="A541" t="str">
            <v>5111002020 FGTS-Ferias (Realizado)</v>
          </cell>
        </row>
        <row r="542">
          <cell r="A542" t="str">
            <v>5111002021 FGTS-Provisao de FGTS s/Ferias</v>
          </cell>
        </row>
        <row r="543">
          <cell r="A543" t="str">
            <v>5111002022 FGTS-Reversao da Provisao de FGTS s/Ferias</v>
          </cell>
        </row>
        <row r="544">
          <cell r="A544" t="str">
            <v>5111002030 FGTS-13º Salario (Realizado)</v>
          </cell>
        </row>
        <row r="545">
          <cell r="A545" t="str">
            <v>5111002031 FGTS-Provisao de FGTS S/13º Salario</v>
          </cell>
        </row>
        <row r="546">
          <cell r="A546" t="str">
            <v>5111002032 FGTS-Reversao da Provisao FGTS S/13º Salario</v>
          </cell>
        </row>
        <row r="547">
          <cell r="A547" t="str">
            <v>5111002040 FGTS-Desligamento de Funcionarios (Realizado)</v>
          </cell>
        </row>
        <row r="548">
          <cell r="A548" t="str">
            <v>5111002041 FGTS-Provisao FGTS s/Desligamento Funcionario</v>
          </cell>
        </row>
        <row r="549">
          <cell r="A549" t="str">
            <v>5111002042 FGTS-Rever Prov FGTS s/Desligamento Funcionario</v>
          </cell>
        </row>
        <row r="550">
          <cell r="A550" t="str">
            <v>5111002051 FGTS-Provisao FGTS s/Gratificações</v>
          </cell>
        </row>
        <row r="551">
          <cell r="A551" t="str">
            <v>5111003010 INSS-Folha de Pagamento (Realizado)</v>
          </cell>
        </row>
        <row r="552">
          <cell r="A552" t="str">
            <v>5111003021 INSS-Provisao de INSS s/Ferias</v>
          </cell>
        </row>
        <row r="553">
          <cell r="A553" t="str">
            <v>5111003022 INSS-Reversao da Provisao de INSS s/Ferias</v>
          </cell>
        </row>
        <row r="554">
          <cell r="A554" t="str">
            <v>5111003031 INSS-Provisao de INSS s/13º Salario</v>
          </cell>
        </row>
        <row r="555">
          <cell r="A555" t="str">
            <v>5111003032 INSS-Reversao Provisao de INSS s/13º Salario</v>
          </cell>
        </row>
        <row r="556">
          <cell r="A556" t="str">
            <v>5111003051 Provisao de INSS s/Gratificações</v>
          </cell>
        </row>
        <row r="557">
          <cell r="A557" t="str">
            <v>5111503040 Desp Medicas Hospitalares (Realizado)</v>
          </cell>
        </row>
        <row r="558">
          <cell r="A558" t="str">
            <v>5111504050 Desenv Prof-Transportes em Cursos (Realizado)</v>
          </cell>
        </row>
        <row r="559">
          <cell r="A559" t="str">
            <v>5111504060 Desenv Prof-Refeiçoes em Cursos (Realizado)</v>
          </cell>
        </row>
        <row r="560">
          <cell r="A560" t="str">
            <v>5111504070 Desenv Prof-Aprendiz de Menores em Cursos (Realiz)</v>
          </cell>
        </row>
        <row r="561">
          <cell r="A561" t="str">
            <v>5111505010 Desp Soc-Contrib Associaçao Desportiva (Realizado)</v>
          </cell>
        </row>
        <row r="562">
          <cell r="A562" t="str">
            <v>5111505020 Desp Soc-Comemoraçoes e Eventos (Realizado)</v>
          </cell>
        </row>
        <row r="563">
          <cell r="A563" t="str">
            <v>5111505040 Desp Soc-Vestuario (Realizado)</v>
          </cell>
        </row>
        <row r="564">
          <cell r="A564" t="str">
            <v>5111505050 Desp Soc-Comunicaçao Interna (Realizado)</v>
          </cell>
        </row>
        <row r="565">
          <cell r="A565" t="str">
            <v>5111506020 Despesa Vale Transporte (Realizado)</v>
          </cell>
        </row>
        <row r="566">
          <cell r="A566" t="str">
            <v>5111506030 Despesa Taxi e Conduçoes (Realizado)</v>
          </cell>
        </row>
        <row r="567">
          <cell r="A567" t="str">
            <v>5111506040 Despesa Aluguel de Veiculos (Realizado)</v>
          </cell>
        </row>
        <row r="568">
          <cell r="A568" t="str">
            <v>5111507010 Despesa Refeiçoes Prontas (Realizado)</v>
          </cell>
        </row>
        <row r="569">
          <cell r="A569" t="str">
            <v>5111507030 Despesa Refeiçoes-Visita e Outras (Realizado)</v>
          </cell>
        </row>
        <row r="570">
          <cell r="A570" t="str">
            <v>5111507040 Despesa Refeiçoes-Lanches Externos (Realizado)</v>
          </cell>
        </row>
        <row r="571">
          <cell r="A571" t="str">
            <v>Encargos de depreciação e amortização</v>
          </cell>
        </row>
        <row r="572">
          <cell r="A572" t="str">
            <v>5119001010 Encarg de Deprec e Amort-Depreciaçao (Realizado)</v>
          </cell>
        </row>
        <row r="573">
          <cell r="A573" t="str">
            <v>5119001011 Encarg de Depreciaçao Mais Valia (Realizado)</v>
          </cell>
        </row>
        <row r="574">
          <cell r="A574" t="str">
            <v>5119001012 Encarg de Depreciaçao Mais Valia CN (Realizado)</v>
          </cell>
        </row>
        <row r="575">
          <cell r="A575" t="str">
            <v>5119001014 Encarg de Depreciaçao AVP (Realizado)</v>
          </cell>
        </row>
        <row r="576">
          <cell r="A576" t="str">
            <v>5119001050 Encarg de Deprec e Amort-Amortizaçao (Realizado)</v>
          </cell>
        </row>
        <row r="577">
          <cell r="A577" t="str">
            <v>5119001054 Amortizaçao AVP (Realizado)</v>
          </cell>
        </row>
        <row r="578">
          <cell r="A578" t="str">
            <v>Serviços de terceiros</v>
          </cell>
        </row>
        <row r="579">
          <cell r="A579" t="str">
            <v>5112002010 Serviços Prestados Auditoria  p/PJ (Realizado)</v>
          </cell>
        </row>
        <row r="580">
          <cell r="A580" t="str">
            <v>5112003010 Serviços Prestados Consultoria p/PJ (Realizado)</v>
          </cell>
        </row>
        <row r="581">
          <cell r="A581" t="str">
            <v>5112003040 Serv Prest Consultoria p/PF s/Vinc Empr (Realiz)</v>
          </cell>
        </row>
        <row r="582">
          <cell r="A582" t="str">
            <v>5112008010 Serv Prest Propaganda e Publicidade p/PJ (Realiz)</v>
          </cell>
        </row>
        <row r="583">
          <cell r="A583" t="str">
            <v>5112009010 Serv Prest Atualiz/Suporte Tecnico p/PJ (Realiz)</v>
          </cell>
        </row>
        <row r="584">
          <cell r="A584" t="str">
            <v>5112010010 Serviços Prestados Temporario p/PJ (Realizado)</v>
          </cell>
        </row>
        <row r="585">
          <cell r="A585" t="str">
            <v>5112011010 Serviços Prestados Limpeza p/ PJ (Realizado)</v>
          </cell>
        </row>
        <row r="586">
          <cell r="A586" t="str">
            <v>5112012010 Serviços Prestados Vigilancia PJ (Realiz)</v>
          </cell>
        </row>
        <row r="587">
          <cell r="A587" t="str">
            <v>5112013010 Serviços Prestados Jardinagem p/PJ (Realizado)</v>
          </cell>
        </row>
        <row r="588">
          <cell r="A588" t="str">
            <v>5112014010 Serv Prest Estacionamento de Caminhoes PJ (Realiz)</v>
          </cell>
        </row>
        <row r="589">
          <cell r="A589" t="str">
            <v>5112015010 Serv Prest Fretes Carretos s/Compras p/PJ (Realiz)</v>
          </cell>
        </row>
        <row r="590">
          <cell r="A590" t="str">
            <v>5112016010 Serviços Prestados Construçao Civil p/PJ (Realiz)</v>
          </cell>
        </row>
        <row r="591">
          <cell r="A591" t="str">
            <v>5112017010 Serviços Prestados Engenharia p/PJ (Realiz)</v>
          </cell>
        </row>
        <row r="592">
          <cell r="A592" t="str">
            <v>5112018010 Serv Prest Reparos Assist Tecnica p/PJ (Realiz)</v>
          </cell>
        </row>
        <row r="593">
          <cell r="A593" t="str">
            <v>5112019010 Serv Prest Tratamento de Residuos p/PJ (Realiz)</v>
          </cell>
        </row>
        <row r="594">
          <cell r="A594" t="str">
            <v>5112099010 Prest Serv Tecnicos Profissionais p/PJ (Realiz)</v>
          </cell>
        </row>
        <row r="595">
          <cell r="A595" t="str">
            <v>5112150010 Serv Prest Manutençao Civil p/PJ (Realizado)</v>
          </cell>
        </row>
        <row r="596">
          <cell r="A596" t="str">
            <v>5112151010 Serv Prest Manutençao Eletricos p/PJ (Realiz)</v>
          </cell>
        </row>
        <row r="597">
          <cell r="A597" t="str">
            <v>5112152010 Serv Prest Manutençao Mecânicos p/PJ (Realizado)</v>
          </cell>
        </row>
        <row r="598">
          <cell r="A598" t="str">
            <v>5112153010 Serv Prest Manutençao Inspeçao PJ (Realizado)</v>
          </cell>
        </row>
        <row r="599">
          <cell r="A599" t="str">
            <v>5112154010 Serv Prest Manutençao Cald/Tubul PJ (Realzado)</v>
          </cell>
        </row>
        <row r="600">
          <cell r="A600" t="str">
            <v>5112155010 Serv Prest Manut Instrumentaçao PJ (Realizado)</v>
          </cell>
        </row>
        <row r="601">
          <cell r="A601" t="str">
            <v>5112170010 Serv Prest Manutenaçao Cel HG-PJ (Realizado)</v>
          </cell>
        </row>
        <row r="602">
          <cell r="A602" t="str">
            <v>5112175010 Serv Prest Manutençao Cel Diafrag p/PJ (Realiz)</v>
          </cell>
        </row>
        <row r="603">
          <cell r="A603" t="str">
            <v>5112180010 Serv Prest Manutençao Cel Memb PJ (Realizado)</v>
          </cell>
        </row>
        <row r="604">
          <cell r="A604" t="str">
            <v>5112199010 Serv Prest Manutençao Apoio-PJ (Realizado)</v>
          </cell>
        </row>
        <row r="605">
          <cell r="A605" t="str">
            <v>5112199310 Serv Prest Manutençao Fretes Carret-PJ (Realizado)</v>
          </cell>
        </row>
        <row r="606">
          <cell r="A606" t="str">
            <v>5112199410 Serv Prest Manutençao Pintura-PJ (Realizado)</v>
          </cell>
        </row>
        <row r="607">
          <cell r="A607" t="str">
            <v>5112199510 Serv Prest Manutençao Revestimentos-PJ (Realizado)</v>
          </cell>
        </row>
        <row r="608">
          <cell r="A608" t="str">
            <v>5112199610 Serv Prest Manutençao Isolamentos-PJ (Realizado)</v>
          </cell>
        </row>
        <row r="609">
          <cell r="A609" t="str">
            <v>Outras</v>
          </cell>
        </row>
        <row r="610">
          <cell r="A610" t="str">
            <v>5110801010 Mat Cons Oper-Combustiveis e Lubrificantes(Realiz)</v>
          </cell>
        </row>
        <row r="611">
          <cell r="A611" t="str">
            <v>5110801020 Mat Cons-Oper-Mat Processo Produtivo (Realiz)</v>
          </cell>
        </row>
        <row r="612">
          <cell r="A612" t="str">
            <v>5110801030 Mat Cons-Oper-Mat Tratamento Residuos (Realiz)</v>
          </cell>
        </row>
        <row r="613">
          <cell r="A613" t="str">
            <v>5110801040 Mat Cons-Oper-Mat Análises Quimicas (Realizado)</v>
          </cell>
        </row>
        <row r="614">
          <cell r="A614" t="str">
            <v>5110801060 Mat Cons-Oper-Ferramentas (Realizado)</v>
          </cell>
        </row>
        <row r="615">
          <cell r="A615" t="str">
            <v>5110801070 Mat Cons-Oper-Mat Reparo e Manutençao (Realizado)</v>
          </cell>
        </row>
        <row r="616">
          <cell r="A616" t="str">
            <v>5110801080 Mat Cons-Oper-Mat Conserv Ecológica (Realizado)</v>
          </cell>
        </row>
        <row r="617">
          <cell r="A617" t="str">
            <v>5110801090 Mat Cons-Oper-Mat Limpeza (Realizado)</v>
          </cell>
        </row>
        <row r="618">
          <cell r="A618" t="str">
            <v>5110801100 Mat Cons-Oper-Mat Segurança (Realizado)</v>
          </cell>
        </row>
        <row r="619">
          <cell r="A619" t="str">
            <v>5110801110 Mat Cons-Oper-Consumo de Água (Realizado)</v>
          </cell>
        </row>
        <row r="620">
          <cell r="A620" t="str">
            <v>5110801130 Mat Cons-Oper-Mat Escritório (Realizado)</v>
          </cell>
        </row>
        <row r="621">
          <cell r="A621" t="str">
            <v>5110801140 Mat Cons-Oper-Mat Imobilizado (Realizado)</v>
          </cell>
        </row>
        <row r="622">
          <cell r="A622" t="str">
            <v>5110802010 Mat Cons-Manutençao-Manut Civil (Realizado)</v>
          </cell>
        </row>
        <row r="623">
          <cell r="A623" t="str">
            <v>5110802020 Mat Cons-Manutençao-Eletrica (Realizado)</v>
          </cell>
        </row>
        <row r="624">
          <cell r="A624" t="str">
            <v>5110802030 Mat Cons-Manutençao-Mecânica (Realizado)</v>
          </cell>
        </row>
        <row r="625">
          <cell r="A625" t="str">
            <v>5110802040 Mat Cons-Manutençao-Manut Inspeçao (Realizado)</v>
          </cell>
        </row>
        <row r="626">
          <cell r="A626" t="str">
            <v>5110802050 Mat Cons-Manutençao-Calderaria/Tubul (Realizado)</v>
          </cell>
        </row>
        <row r="627">
          <cell r="A627" t="str">
            <v>5110802060 Mat Cons-Manutençao-Instrumentaçao (Realizado)</v>
          </cell>
        </row>
        <row r="628">
          <cell r="A628" t="str">
            <v>5110802070 Mat Cons-Manutençao-Celula HG (Realizado)</v>
          </cell>
        </row>
        <row r="629">
          <cell r="A629" t="str">
            <v>5110802080 Mat Cons-Manutençao-Celula Diafragma (Realizado)</v>
          </cell>
        </row>
        <row r="630">
          <cell r="A630" t="str">
            <v>5110802090 Mat Cons-Manutençao-Celula Membrana (Realizado)</v>
          </cell>
        </row>
        <row r="631">
          <cell r="A631" t="str">
            <v>5110802990 Mat Cons-Manutençao-Geral (Realizado)</v>
          </cell>
        </row>
        <row r="632">
          <cell r="A632" t="str">
            <v>5111902010 Despesa Viagens Nacionais (Realizado)</v>
          </cell>
        </row>
        <row r="633">
          <cell r="A633" t="str">
            <v>5111902020 Despesas Viagens Internacionais (Realizado)</v>
          </cell>
        </row>
        <row r="634">
          <cell r="A634" t="str">
            <v>5113501020 Desp Correspondencia-Postais (Realizado)</v>
          </cell>
        </row>
        <row r="635">
          <cell r="A635" t="str">
            <v>5114001030 DLF-Desp Autenticidade Reconhecde Firmas (Realiz)</v>
          </cell>
        </row>
        <row r="636">
          <cell r="A636" t="str">
            <v>5114002030 DITC-Licença e Funcionamento (Realizado)</v>
          </cell>
        </row>
        <row r="637">
          <cell r="A637" t="str">
            <v>5114002060 DITC-Txs Municipais,Estaduais,Federais (Realizado)</v>
          </cell>
        </row>
        <row r="638">
          <cell r="A638" t="str">
            <v>5116001010 Desp Real Even-Semi Fora da Cia Gestao (Realizado)</v>
          </cell>
        </row>
        <row r="639">
          <cell r="A639" t="str">
            <v>5116001020 Desp Reali Eventos-Eventos Gestao (Realizado)</v>
          </cell>
        </row>
        <row r="640">
          <cell r="A640" t="str">
            <v>5116002020 Desp c/Marketing-Relaçoes Publicas (Realizado)</v>
          </cell>
        </row>
        <row r="641">
          <cell r="A641" t="str">
            <v>5116002040 Desp c/Marketing-Programa Fabrica Aberta (Realiz)</v>
          </cell>
        </row>
        <row r="642">
          <cell r="A642" t="str">
            <v>5118002050 DPC Ded-Contrib a Entidades de Classes (Realizado)</v>
          </cell>
        </row>
        <row r="643">
          <cell r="A643" t="str">
            <v>5119905010 Desp Alug/Loc.Oper-Locaçao Equip Operaçao (Realiz)</v>
          </cell>
        </row>
        <row r="644">
          <cell r="A644" t="str">
            <v>5119905030 Desp Alug/Loc.Oper-Loc Equiptos Escritorio(Realiz)</v>
          </cell>
        </row>
        <row r="645">
          <cell r="A645" t="str">
            <v>5119905050 Desp Alug/Loc.Oper-Loc de Equip Telefonia(Realiz)</v>
          </cell>
        </row>
        <row r="646">
          <cell r="A646" t="str">
            <v>5119906010 Desp Alug/Loc. Op-Equipamentos de Manut (Realiz)</v>
          </cell>
        </row>
        <row r="647">
          <cell r="A647" t="str">
            <v>5119910010 Assin L.IT.J.R-Ass de Jornais e Revistas (Realiz)</v>
          </cell>
        </row>
        <row r="648">
          <cell r="A648" t="str">
            <v>5119910030 Assin L.IT.J.R-Ass Livros/Inform Tecnicos (Realiz)</v>
          </cell>
        </row>
        <row r="649">
          <cell r="A649" t="str">
            <v>5119915010 Desp c/Impressao e Copias fora da Cia (Realizado)</v>
          </cell>
        </row>
        <row r="650">
          <cell r="A650" t="str">
            <v>5119920010 Desp c/Veiculos-Abastecimento (Realizado)</v>
          </cell>
        </row>
        <row r="651">
          <cell r="A651" t="str">
            <v>5119920020 Desp c/Veiculos-Reparos e Manutençoes (Realizado)</v>
          </cell>
        </row>
        <row r="652">
          <cell r="A652" t="str">
            <v>5119920030 Desp c/Veiculos-Peças e Acessorios (Realizado)</v>
          </cell>
        </row>
        <row r="653">
          <cell r="A653" t="str">
            <v>5119920050 Desp c/Veiculos-Pedagio e Estacionam (Realizado)</v>
          </cell>
        </row>
        <row r="654">
          <cell r="A654" t="str">
            <v>5119920060 Desp c/Veiculos-Licenciamento (Realizado)</v>
          </cell>
        </row>
        <row r="655">
          <cell r="A655" t="str">
            <v>Despesas / Receitas Operacionais</v>
          </cell>
        </row>
        <row r="656">
          <cell r="A656" t="str">
            <v>Despesas com vendas</v>
          </cell>
        </row>
        <row r="657">
          <cell r="A657" t="str">
            <v>Despesas com fretes sobre vendas</v>
          </cell>
        </row>
        <row r="658">
          <cell r="A658" t="str">
            <v>3140101010 Fretes s/Exportaçao Direta de Produtos (Realizado)</v>
          </cell>
        </row>
        <row r="659">
          <cell r="A659" t="str">
            <v>3140101030 Fretes s/Vendas de Produtos no MI (Realizado)</v>
          </cell>
        </row>
        <row r="660">
          <cell r="A660" t="str">
            <v>3140105030 Fretes s/Revendas de Mercadorias no MI (Realiz)</v>
          </cell>
        </row>
        <row r="661">
          <cell r="A661" t="str">
            <v>Outras despesas com vendas</v>
          </cell>
        </row>
        <row r="662">
          <cell r="A662" t="str">
            <v>3140301010 Desp c/Desemb/Movim Export Prod FP ME (Realiz)</v>
          </cell>
        </row>
        <row r="663">
          <cell r="A663" t="str">
            <v>3140401030 Desp c/Armazenagem Produtos FP (Realizado)</v>
          </cell>
        </row>
        <row r="664">
          <cell r="A664" t="str">
            <v>3140406030 Desp c/Armazen Merc Imports p/Rev no MI (Realiz)</v>
          </cell>
        </row>
        <row r="665">
          <cell r="A665" t="str">
            <v>3140501030 Desp c/Fretes de Remessas p/Armaz Prod FP (Realiz)</v>
          </cell>
        </row>
        <row r="666">
          <cell r="A666" t="str">
            <v>3140601030 Desp Remessas p/Testes Ensaios e Prod FP (Realiz)</v>
          </cell>
        </row>
        <row r="667">
          <cell r="A667" t="str">
            <v>Despesas Gerais e Administrativas</v>
          </cell>
        </row>
        <row r="668">
          <cell r="A668" t="str">
            <v>Energia Elétrica consumo administrativo</v>
          </cell>
        </row>
        <row r="669">
          <cell r="A669" t="str">
            <v>3170801120 Mat Cons Oper-Luz (Realizado)</v>
          </cell>
        </row>
        <row r="670">
          <cell r="A670" t="str">
            <v>Despesas com salários e benefícios a empreg</v>
          </cell>
        </row>
        <row r="671">
          <cell r="A671" t="str">
            <v>3171001010 FLPG-Remuneraçao a Dirigentes Conselho Adm (Pgto)</v>
          </cell>
        </row>
        <row r="672">
          <cell r="A672" t="str">
            <v>3171001020 FLPG-Gratifiçao a Dirigentes Conselho Adm (Pgto)</v>
          </cell>
        </row>
        <row r="673">
          <cell r="A673" t="str">
            <v>3171001021 FLPG-Prov Gratificaçao a Dirigentes Conselho Adm</v>
          </cell>
        </row>
        <row r="674">
          <cell r="A674" t="str">
            <v>3171001022 FLPG-Rev Prov Gratif a Dirigentes Conselho Adm</v>
          </cell>
        </row>
        <row r="675">
          <cell r="A675" t="str">
            <v>3171001030 FLPG-Ordenados, Salars e Outras Remun a Empreg (R)</v>
          </cell>
        </row>
        <row r="676">
          <cell r="A676" t="str">
            <v>3171001040 FLPG-13º Salario (Realizado)</v>
          </cell>
        </row>
        <row r="677">
          <cell r="A677" t="str">
            <v>3171001041 FLPG-Provisao de 13º Salario</v>
          </cell>
        </row>
        <row r="678">
          <cell r="A678" t="str">
            <v>3171001042 FLPG-Reversao Provisao de 13º Salario</v>
          </cell>
        </row>
        <row r="679">
          <cell r="A679" t="str">
            <v>3171001050 FLPG-Ferias (Realizado)</v>
          </cell>
        </row>
        <row r="680">
          <cell r="A680" t="str">
            <v>3171001051 FLPG-Provisao de Ferias</v>
          </cell>
        </row>
        <row r="681">
          <cell r="A681" t="str">
            <v>3171001052 FLPG-Reversap da Provisao de Ferias</v>
          </cell>
        </row>
        <row r="682">
          <cell r="A682" t="str">
            <v>3171001080 FLPG-Gratificaçao de Ferias (Realiz)</v>
          </cell>
        </row>
        <row r="683">
          <cell r="A683" t="str">
            <v>3171001081 FLPG-Provisao de Gratificaçao de Ferias</v>
          </cell>
        </row>
        <row r="684">
          <cell r="A684" t="str">
            <v>3171001082 FLPG-Reversao da Prov de Gratificaçao de Ferias</v>
          </cell>
        </row>
        <row r="685">
          <cell r="A685" t="str">
            <v>3171001090 FLPG-Gratificaçoes (Realizado)</v>
          </cell>
        </row>
        <row r="686">
          <cell r="A686" t="str">
            <v>3171001091 FLPG-Provisao de Gratificaçoes</v>
          </cell>
        </row>
        <row r="687">
          <cell r="A687" t="str">
            <v>3171001092 FLPG-Reversao da Provisao de Gratificacoes</v>
          </cell>
        </row>
        <row r="688">
          <cell r="A688" t="str">
            <v>3171001100 FLPG-Gratificoes Quinquenios (Realizado)</v>
          </cell>
        </row>
        <row r="689">
          <cell r="A689" t="str">
            <v>3171001101 FLPG-Provisao de Gratificaçoes Quinquenios</v>
          </cell>
        </row>
        <row r="690">
          <cell r="A690" t="str">
            <v>3171001102 FLPG-Reversao Provisao Gratificacoes Quinquenios</v>
          </cell>
        </row>
        <row r="691">
          <cell r="A691" t="str">
            <v>3171001120 FLPG-Aviso Previo (Realizado)</v>
          </cell>
        </row>
        <row r="692">
          <cell r="A692" t="str">
            <v>3171001122 FLPG-Reversao da Provisao de Aviso Previo</v>
          </cell>
        </row>
        <row r="693">
          <cell r="A693" t="str">
            <v>3171001130 FLPG-Indenizacoes (Realizado)</v>
          </cell>
        </row>
        <row r="694">
          <cell r="A694" t="str">
            <v>3171001250 FLPG-Auxilio Ensino (Realizado)</v>
          </cell>
        </row>
        <row r="695">
          <cell r="A695" t="str">
            <v>3171001300 FLPG-Bolsa Estudos de Estagiarios (Realizado)</v>
          </cell>
        </row>
        <row r="696">
          <cell r="A696" t="str">
            <v>3171001990 Rateio da Mão de Obra da Manutenção</v>
          </cell>
        </row>
        <row r="697">
          <cell r="A697" t="str">
            <v>3171002010 FGTS s/Folha de Pagamento (Realizado)</v>
          </cell>
        </row>
        <row r="698">
          <cell r="A698" t="str">
            <v>3171002020 FGTS s/Ferias (Realizado)</v>
          </cell>
        </row>
        <row r="699">
          <cell r="A699" t="str">
            <v>3171002021 Provisao de FGTS s/Ferias</v>
          </cell>
        </row>
        <row r="700">
          <cell r="A700" t="str">
            <v>3171002022 Reversao da Provisao de FGTS s/Ferias</v>
          </cell>
        </row>
        <row r="701">
          <cell r="A701" t="str">
            <v>3171002030 FGTS s/13º Salario (Realizado)</v>
          </cell>
        </row>
        <row r="702">
          <cell r="A702" t="str">
            <v>3171002031 Provisao de FGTS s/13º Salario</v>
          </cell>
        </row>
        <row r="703">
          <cell r="A703" t="str">
            <v>3171002032 Reversao da Provisao de FGTS s/13º Salario</v>
          </cell>
        </row>
        <row r="704">
          <cell r="A704" t="str">
            <v>3171002040 FGTS s/Desligamento de Funcionario (Realizado)</v>
          </cell>
        </row>
        <row r="705">
          <cell r="A705" t="str">
            <v>3171002041 Provisao de FGTS s/Desligamento de Funcionario</v>
          </cell>
        </row>
        <row r="706">
          <cell r="A706" t="str">
            <v>3171002042 Reversao Provisao de FGTS s/Desl Funcionario</v>
          </cell>
        </row>
        <row r="707">
          <cell r="A707" t="str">
            <v>3171002051 Provisao de FGTS s/Gratificações</v>
          </cell>
        </row>
        <row r="708">
          <cell r="A708" t="str">
            <v>3171003010 INSS s/Folha de Pagamento (Realizado)</v>
          </cell>
        </row>
        <row r="709">
          <cell r="A709" t="str">
            <v>3171003021 Provisao de INSS s/Ferias</v>
          </cell>
        </row>
        <row r="710">
          <cell r="A710" t="str">
            <v>3171003022 Reversao da Provisao de INSS s/Ferias</v>
          </cell>
        </row>
        <row r="711">
          <cell r="A711" t="str">
            <v>3171003031 Provisao de INSS s/13º Salario</v>
          </cell>
        </row>
        <row r="712">
          <cell r="A712" t="str">
            <v>3171003032 Reversao da Provisao de INSS s/13º Salario</v>
          </cell>
        </row>
        <row r="713">
          <cell r="A713" t="str">
            <v>3171003051 Provisao de INSS s/Gratificações</v>
          </cell>
        </row>
        <row r="714">
          <cell r="A714" t="str">
            <v>3171501010 Prev Priv CD-Contribuicoes da Empresa (Realizado)</v>
          </cell>
        </row>
        <row r="715">
          <cell r="A715" t="str">
            <v>3171501015 Prev Priv CD-Participaçao dos Empregados</v>
          </cell>
        </row>
        <row r="716">
          <cell r="A716" t="str">
            <v>3171502010 Seguro de Vida em Grupo (Realizado)</v>
          </cell>
        </row>
        <row r="717">
          <cell r="A717" t="str">
            <v>3171502011 Provisao Seguro de Vida em Grupo</v>
          </cell>
        </row>
        <row r="718">
          <cell r="A718" t="str">
            <v>3171503010 Assistencia Medica e Hospitalar (Realizado)</v>
          </cell>
        </row>
        <row r="719">
          <cell r="A719" t="str">
            <v>3171503015 Partic dos Empregados Assistenc Medica e Hospit</v>
          </cell>
        </row>
        <row r="720">
          <cell r="A720" t="str">
            <v>3171503020 Assistencia Medica e Hospitalar Aposent (Realiz)</v>
          </cell>
        </row>
        <row r="721">
          <cell r="A721" t="str">
            <v>3171503021 Provisao Assistencia Medica Hospitalar Aposentados</v>
          </cell>
        </row>
        <row r="722">
          <cell r="A722" t="str">
            <v>3171503022 Reversao Prov Assist Medica Hospitalar Aposentados</v>
          </cell>
        </row>
        <row r="723">
          <cell r="A723" t="str">
            <v>3171503030 Assistencia Odontologica (Realizado)</v>
          </cell>
        </row>
        <row r="724">
          <cell r="A724" t="str">
            <v>3171503035 Participacao dos Empregados Assist Odontologica</v>
          </cell>
        </row>
        <row r="725">
          <cell r="A725" t="str">
            <v>3171503040 Despesas Medicas e Hospitalares (Realizado)</v>
          </cell>
        </row>
        <row r="726">
          <cell r="A726" t="str">
            <v>3171504010 Desenv Prof-Cursos (Realizado)</v>
          </cell>
        </row>
        <row r="727">
          <cell r="A727" t="str">
            <v>3171504030 Desenv Prof-Serviços de Tercrs em Cursos (Realiz)</v>
          </cell>
        </row>
        <row r="728">
          <cell r="A728" t="str">
            <v>3171504040 Desenv Prof-Diarias em Cursos (Realizado)</v>
          </cell>
        </row>
        <row r="729">
          <cell r="A729" t="str">
            <v>3171504050 Desenv Prof-Transportes em Cursos (Realizado)</v>
          </cell>
        </row>
        <row r="730">
          <cell r="A730" t="str">
            <v>3171504060 Desenv Prof-Refeiçoes em Cursos (Realizado)</v>
          </cell>
        </row>
        <row r="731">
          <cell r="A731" t="str">
            <v>3171504070 Desenv Prof-Aprendiz de Menores em Cursos (Realiz)</v>
          </cell>
        </row>
        <row r="732">
          <cell r="A732" t="str">
            <v>3171505010 Desp Soc-Contrib Associaçao Desportiva (Realizado)</v>
          </cell>
        </row>
        <row r="733">
          <cell r="A733" t="str">
            <v>3171505020 Desp Soc-Comemoraçoes e Eventos (Realizado)</v>
          </cell>
        </row>
        <row r="734">
          <cell r="A734" t="str">
            <v>3171505030 Desp Soc-Assistencia Social Funcionarios (Realiz)</v>
          </cell>
        </row>
        <row r="735">
          <cell r="A735" t="str">
            <v>3171505040 Desp Soc-Vestuario (Realizado)</v>
          </cell>
        </row>
        <row r="736">
          <cell r="A736" t="str">
            <v>3171505050 Desp Soc-Comunicaçao Interna (Realizado)</v>
          </cell>
        </row>
        <row r="737">
          <cell r="A737" t="str">
            <v>3171506010 Desp Transp-Conduçao Contratada (Realizado)</v>
          </cell>
        </row>
        <row r="738">
          <cell r="A738" t="str">
            <v>3171506015 Participaçao dos Empregados-Conduçao Contratada</v>
          </cell>
        </row>
        <row r="739">
          <cell r="A739" t="str">
            <v>3171506020 Despesa Vale Transporte (Realizado)</v>
          </cell>
        </row>
        <row r="740">
          <cell r="A740" t="str">
            <v>3171506025 Participaçao dos Empregados-Vale Transporte</v>
          </cell>
        </row>
        <row r="741">
          <cell r="A741" t="str">
            <v>3171506030 Despesa Taxi e Conduçoes (Realizado)</v>
          </cell>
        </row>
        <row r="742">
          <cell r="A742" t="str">
            <v>3171506040 Despesa Aluguel de Veiculos (Realizado)</v>
          </cell>
        </row>
        <row r="743">
          <cell r="A743" t="str">
            <v>3171506050 Despesas com Aluguel de Outros Veiculos(Realizado)</v>
          </cell>
        </row>
        <row r="744">
          <cell r="A744" t="str">
            <v>3171507010 Despesa Refeiçoes Prontas (Realizado)</v>
          </cell>
        </row>
        <row r="745">
          <cell r="A745" t="str">
            <v>3171507015 Participaçao dos Empregados-Refeiçoes Prontas</v>
          </cell>
        </row>
        <row r="746">
          <cell r="A746" t="str">
            <v>3171507020 Despesa Material de Consumo Refeitorio (Realiz)</v>
          </cell>
        </row>
        <row r="747">
          <cell r="A747" t="str">
            <v>3171507025 Desp Material Consumo Refeitorio Descont Func-R</v>
          </cell>
        </row>
        <row r="748">
          <cell r="A748" t="str">
            <v>3171507030 Despesa Refeiçoes-Visita e Outras (Realizado)</v>
          </cell>
        </row>
        <row r="749">
          <cell r="A749" t="str">
            <v>3171507040 Despesa Refeiçoes-Lanches Externos (Realizado)</v>
          </cell>
        </row>
        <row r="750">
          <cell r="A750" t="str">
            <v>3710101010 (-)PL-Participaçoes de Empregados (Realizado)</v>
          </cell>
        </row>
        <row r="751">
          <cell r="A751" t="str">
            <v>Encargos de depreciação e amortização na DGA</v>
          </cell>
        </row>
        <row r="752">
          <cell r="A752" t="str">
            <v>3179001010 Encarg de Deprec e Amort-Depreciaçao (Realizado)</v>
          </cell>
        </row>
        <row r="753">
          <cell r="A753" t="str">
            <v>3179001011 Encarg de Depreciaçao Mais Valia (Realizado)</v>
          </cell>
        </row>
        <row r="754">
          <cell r="A754" t="str">
            <v>3179001012 Encs de Depreciaçao Mais Valia Comb Neg(Realizado)</v>
          </cell>
        </row>
        <row r="755">
          <cell r="A755" t="str">
            <v>3179001014 Encarg de Depreciaçao do AVP (Realizado)</v>
          </cell>
        </row>
        <row r="756">
          <cell r="A756" t="str">
            <v>3179001050 Encarg de Deprec e Amort-Amortizaçao (Realizado)</v>
          </cell>
        </row>
        <row r="757">
          <cell r="A757" t="str">
            <v>3179001054 Encargs de Amortizaçao AVP (Realizado)</v>
          </cell>
        </row>
        <row r="758">
          <cell r="A758" t="str">
            <v>3179001104 Encargs de Amortizaçao Investimentos (Realizado)</v>
          </cell>
        </row>
        <row r="759">
          <cell r="A759" t="str">
            <v>Serviços de terceiros nas DGAs</v>
          </cell>
        </row>
        <row r="760">
          <cell r="A760" t="str">
            <v>3172001010 Serviços Prestados Advocacia p/PJ (Realizado)</v>
          </cell>
        </row>
        <row r="761">
          <cell r="A761" t="str">
            <v>3172001015 Rec Desps c/Honorarios Advocaticios (Realizado)</v>
          </cell>
        </row>
        <row r="762">
          <cell r="A762" t="str">
            <v>3172002010 Serviços Prestados Auditoria  p/PJ (Realizado)</v>
          </cell>
        </row>
        <row r="763">
          <cell r="A763" t="str">
            <v>3172003010 Serviços Prestados Consultoria p/PJ (Realizado)</v>
          </cell>
        </row>
        <row r="764">
          <cell r="A764" t="str">
            <v>3172003040 Serv Prest Consultoria p/PF s/Vinc Empr (Realiz)</v>
          </cell>
        </row>
        <row r="765">
          <cell r="A765" t="str">
            <v>3172007010 Serv Prest Informaçoes Cadastrais p/PJ (Realiz)</v>
          </cell>
        </row>
        <row r="766">
          <cell r="A766" t="str">
            <v>3172008010 Serv Prest Propaganda e Publicidade p/PJ (Realiz)</v>
          </cell>
        </row>
        <row r="767">
          <cell r="A767" t="str">
            <v>3172009010 Serv Prest Atualiz/Suporte Tecnico p/PJ (Realiz)</v>
          </cell>
        </row>
        <row r="768">
          <cell r="A768" t="str">
            <v>3172010010 Serviços Prestados Temporario p/PJ (Realizado)</v>
          </cell>
        </row>
        <row r="769">
          <cell r="A769" t="str">
            <v>3172011010 Serviços Prestados Limpeza p/ PJ (Realizado)</v>
          </cell>
        </row>
        <row r="770">
          <cell r="A770" t="str">
            <v>3172012010 Serviços Prestados Vigilancia PJ (Realiz)</v>
          </cell>
        </row>
        <row r="771">
          <cell r="A771" t="str">
            <v>3172015010 Serv Prest Fretes Carretos s/Compras p/PJ (Realiz)</v>
          </cell>
        </row>
        <row r="772">
          <cell r="A772" t="str">
            <v>3172018010 Serv Prest Reparos Assist Tecnica p/PJ (Realiz)</v>
          </cell>
        </row>
        <row r="773">
          <cell r="A773" t="str">
            <v>3172099010 Prest Serv Tecnicos Profissionais p/PJ (Realiz)</v>
          </cell>
        </row>
        <row r="774">
          <cell r="A774" t="str">
            <v>3172099020 Prest Serv Tec Profissionais p/Coop Trab (Realiz)</v>
          </cell>
        </row>
        <row r="775">
          <cell r="A775" t="str">
            <v>3172099040 Serv Prest Tec Profissionais p/PF s/Vin Empr (R)</v>
          </cell>
        </row>
        <row r="776">
          <cell r="A776" t="str">
            <v>3172150010 Serv Prest Manutençao Civil p/PJ (Realizado)</v>
          </cell>
        </row>
        <row r="777">
          <cell r="A777" t="str">
            <v>3172199010 Serv Prest Manutençao Geral p/PJ (Realizado)</v>
          </cell>
        </row>
        <row r="778">
          <cell r="A778" t="str">
            <v>Outras despesas gerais administrativas</v>
          </cell>
        </row>
        <row r="779">
          <cell r="A779" t="str">
            <v>3170801070 Mat Cons Oper-Reparo e Manutençao (Realiz)</v>
          </cell>
        </row>
        <row r="780">
          <cell r="A780" t="str">
            <v>3170801090 Mat Cons Oper-Limpeza (Realizado)</v>
          </cell>
        </row>
        <row r="781">
          <cell r="A781" t="str">
            <v>3170801100 Mat Cons Oper-Segurança (Realizado)</v>
          </cell>
        </row>
        <row r="782">
          <cell r="A782" t="str">
            <v>3170801130 Mat Cons Oper-Escritorio (Realizado)</v>
          </cell>
        </row>
        <row r="783">
          <cell r="A783" t="str">
            <v>3170801140 Mat Cons Oper-Imobilizado (Realizado)</v>
          </cell>
        </row>
        <row r="784">
          <cell r="A784" t="str">
            <v>3170802990 Materias Consumo-Manutencao em Geral (Realiz)</v>
          </cell>
        </row>
        <row r="785">
          <cell r="A785" t="str">
            <v>3171901010 Sel Recrut-Servs de Tercrs p/Seleçao e Recrut (R)</v>
          </cell>
        </row>
        <row r="786">
          <cell r="A786" t="str">
            <v>3171902010 Despesa Viagens Nacionais (Realizado)</v>
          </cell>
        </row>
        <row r="787">
          <cell r="A787" t="str">
            <v>3171902020 Despesas Viagens Internacionais (Realizado)</v>
          </cell>
        </row>
        <row r="788">
          <cell r="A788" t="str">
            <v>3173501010 Desp Correspondencia-Malote (Realizado)</v>
          </cell>
        </row>
        <row r="789">
          <cell r="A789" t="str">
            <v>3173501020 Desp Correspondencia-Postais (Realizado)</v>
          </cell>
        </row>
        <row r="790">
          <cell r="A790" t="str">
            <v>3173505010 Desp Telec-Desp c/Telefonia Fixa (Realizado)</v>
          </cell>
        </row>
        <row r="791">
          <cell r="A791" t="str">
            <v>3173505020 Desp Telec-Desp c/Telefonia Movel (Realizado)</v>
          </cell>
        </row>
        <row r="792">
          <cell r="A792" t="str">
            <v>3173505030 Desp Telec-Desp Comun Dados EC/FC Internet(Realiz)</v>
          </cell>
        </row>
        <row r="793">
          <cell r="A793" t="str">
            <v>3173505040 Desp Telec-Desp Comum Dados Internet (Realizado)</v>
          </cell>
        </row>
        <row r="794">
          <cell r="A794" t="str">
            <v>3173505060 Desp Telec-Desp Comum Dados Banda Larga(Realizado)</v>
          </cell>
        </row>
        <row r="795">
          <cell r="A795" t="str">
            <v>3173505070 Desp Telec-Desp Comum Dados Video Conferen(Realiz)</v>
          </cell>
        </row>
        <row r="796">
          <cell r="A796" t="str">
            <v>3174001010 DLF-Desp c/Publicidade Atas e Balanços (Realizado)</v>
          </cell>
        </row>
        <row r="797">
          <cell r="A797" t="str">
            <v>3174001020 DLF-Desp Escritur Procuraçoes e Contratos (Realiz)</v>
          </cell>
        </row>
        <row r="798">
          <cell r="A798" t="str">
            <v>3174001030 DLF-Desp Autenticidade Reconhecde Firmas (Realiz)</v>
          </cell>
        </row>
        <row r="799">
          <cell r="A799" t="str">
            <v>3174001040 DLF-Desp c/ Custas Judiciais (Realizado)</v>
          </cell>
        </row>
        <row r="800">
          <cell r="A800" t="str">
            <v>3174001990 DLF-Outras Despesas Legais (Realizado)</v>
          </cell>
        </row>
        <row r="801">
          <cell r="A801" t="str">
            <v>3174002010 DITC-Contribuiçao Sindical Patronal (Realizado)</v>
          </cell>
        </row>
        <row r="802">
          <cell r="A802" t="str">
            <v>3174002020 DITC-Predial e Territorial (Realizado)</v>
          </cell>
        </row>
        <row r="803">
          <cell r="A803" t="str">
            <v>3174002021 DITC-Provisao Imposto Predial Territorial (Realiz)</v>
          </cell>
        </row>
        <row r="804">
          <cell r="A804" t="str">
            <v>3174002030 DITC-Licença e Funcionamento (Realizado)</v>
          </cell>
        </row>
        <row r="805">
          <cell r="A805" t="str">
            <v>3174002040 DITC-ICMS s/Aquisiçao de Imobilizado (Realizado)</v>
          </cell>
        </row>
        <row r="806">
          <cell r="A806" t="str">
            <v>3174002050 DITC-ICMS-Debitos Extemporaneos (Realizado)</v>
          </cell>
        </row>
        <row r="807">
          <cell r="A807" t="str">
            <v>3174002060 DITC-Txs Municipais,Estaduais,Federais (Realizado)</v>
          </cell>
        </row>
        <row r="808">
          <cell r="A808" t="str">
            <v>3174003010 Multas Fiscais Indedutiveis (Realizado)</v>
          </cell>
        </row>
        <row r="809">
          <cell r="A809" t="str">
            <v>3174003020 Multas Fiscais Dedutiveis (Realizado)</v>
          </cell>
        </row>
        <row r="810">
          <cell r="A810" t="str">
            <v>3174003030 Multas Contratuais (Realizado)</v>
          </cell>
        </row>
        <row r="811">
          <cell r="A811" t="str">
            <v>3175001010 Desp Seguro-Automoveis (Realizado)</v>
          </cell>
        </row>
        <row r="812">
          <cell r="A812" t="str">
            <v>3175001020 Desp Seguro-Responsabilidade Civil (Realizado)</v>
          </cell>
        </row>
        <row r="813">
          <cell r="A813" t="str">
            <v>3175001030 Desp Seguro-Risco Nomeado (Realizado)</v>
          </cell>
        </row>
        <row r="814">
          <cell r="A814" t="str">
            <v>3175001040 Desp Seguro-Riscos Diversos (Realizado)</v>
          </cell>
        </row>
        <row r="815">
          <cell r="A815" t="str">
            <v>3176001010 Desp Real Even-Semi Fora da Cia Gestao (Realizado)</v>
          </cell>
        </row>
        <row r="816">
          <cell r="A816" t="str">
            <v>3176001020 Desp Reali Eventos-Eventos Gestao (Realizado)</v>
          </cell>
        </row>
        <row r="817">
          <cell r="A817" t="str">
            <v>3176002010 Desp Eventos Marketing (Realizado)</v>
          </cell>
        </row>
        <row r="818">
          <cell r="A818" t="str">
            <v>3176002020 Desp c/Marketing-Relaçoes Publicas (Realizado)</v>
          </cell>
        </row>
        <row r="819">
          <cell r="A819" t="str">
            <v>3176002030 Desp c/Marketing-Patrocinios (Realizado)</v>
          </cell>
        </row>
        <row r="820">
          <cell r="A820" t="str">
            <v>3177002020 EPCT-Estudos de Engenharia(Realizado)</v>
          </cell>
        </row>
        <row r="821">
          <cell r="A821" t="str">
            <v>3178001990 DPC Ind-Outras Contrib/Doaçoes Indeduts (Realiz)</v>
          </cell>
        </row>
        <row r="822">
          <cell r="A822" t="str">
            <v>3178002050 DPC Ded-Contrib a Entidades de Classes (Realizado)</v>
          </cell>
        </row>
        <row r="823">
          <cell r="A823" t="str">
            <v>3179905040 Desp Alug/Loc.Oper-Equip Impressao/Copias(Realiz)</v>
          </cell>
        </row>
        <row r="824">
          <cell r="A824" t="str">
            <v>3179905050 Desp Alug/Loc.Oper-Loc de Equip Telefonia(Realiz)</v>
          </cell>
        </row>
        <row r="825">
          <cell r="A825" t="str">
            <v>3179905100 Desp Alug/Loc.Oper-Aluguel de Imovel (Realizado)</v>
          </cell>
        </row>
        <row r="826">
          <cell r="A826" t="str">
            <v>3179910010 Assin L.IT.J.R-Ass de Jornais e Revistas (Realiz)</v>
          </cell>
        </row>
        <row r="827">
          <cell r="A827" t="str">
            <v>3179910030 Assin L.IT.J.R-Ass Livros/Inform Tecnicos (Realiz)</v>
          </cell>
        </row>
        <row r="828">
          <cell r="A828" t="str">
            <v>3179915010 Desp c/Impressao e Copias fora da Cia (Realizado)</v>
          </cell>
        </row>
        <row r="829">
          <cell r="A829" t="str">
            <v>3179920010 Desp c/Veiculos-Abastecimento (Realizado)</v>
          </cell>
        </row>
        <row r="830">
          <cell r="A830" t="str">
            <v>3179920020 Desp c/Veiculos-Reparos e Manutençoes (Realizado)</v>
          </cell>
        </row>
        <row r="831">
          <cell r="A831" t="str">
            <v>3179920030 Desp c/Veiculos-Peças e Acessorios (Realizado)</v>
          </cell>
        </row>
        <row r="832">
          <cell r="A832" t="str">
            <v>3179920040 Desp c/Veiculos-Lavagem e Lubrificaçao (Realizado)</v>
          </cell>
        </row>
        <row r="833">
          <cell r="A833" t="str">
            <v>3179920050 Desp c/Veiculos-Pedagio e Estacionam (Realizado)</v>
          </cell>
        </row>
        <row r="834">
          <cell r="A834" t="str">
            <v>3179920060 Desp c/Veiculos-Licenciamento (Realizado)</v>
          </cell>
        </row>
        <row r="835">
          <cell r="A835" t="str">
            <v>Outras despesas / receitas operacionais</v>
          </cell>
        </row>
        <row r="836">
          <cell r="A836" t="str">
            <v>Outras receitas operacionais</v>
          </cell>
        </row>
        <row r="837">
          <cell r="A837" t="str">
            <v>3310101010 Receita c/Dividendos Recebidos (Realizado)</v>
          </cell>
        </row>
        <row r="838">
          <cell r="A838" t="str">
            <v>3310105010 Res Liq Bx At Fixo-Rec Alienaç B/D At.Perman (R)</v>
          </cell>
        </row>
        <row r="839">
          <cell r="A839" t="str">
            <v>3310105020 (-)R Liq Bx At Fix-Vlr Contabil B/D Baixados (R)</v>
          </cell>
        </row>
        <row r="840">
          <cell r="A840" t="str">
            <v>3310105030 Outros Custos dos Bens e Direitos Alienados (R)</v>
          </cell>
        </row>
        <row r="841">
          <cell r="A841" t="str">
            <v>3310108990 Outros Imposto Recuperados (Realizado)</v>
          </cell>
        </row>
        <row r="842">
          <cell r="A842" t="str">
            <v>3310115010 Sinistros Indenizado (Realizado)</v>
          </cell>
        </row>
        <row r="843">
          <cell r="A843" t="str">
            <v>3310115020 Sinistro nao Indenizado (Realizados)</v>
          </cell>
        </row>
        <row r="844">
          <cell r="A844" t="str">
            <v>Outras despesas operacionais</v>
          </cell>
        </row>
        <row r="845">
          <cell r="A845" t="str">
            <v>3310110010 Desp c/Proc Jud-Tributarios (Realizado)</v>
          </cell>
        </row>
        <row r="846">
          <cell r="A846" t="str">
            <v>3310110020 Desp c/Proc Trabalhista (Realizado)</v>
          </cell>
        </row>
        <row r="847">
          <cell r="A847" t="str">
            <v>3310140010 Desp n Cor Multas Indedutiveis (Realizado)</v>
          </cell>
        </row>
        <row r="848">
          <cell r="A848" t="str">
            <v>3310190011 Provisao Perdas em Opercao Credito-PCLD</v>
          </cell>
        </row>
        <row r="849">
          <cell r="A849" t="str">
            <v>Resultado de equivalência patrimonial</v>
          </cell>
        </row>
        <row r="850">
          <cell r="A850" t="str">
            <v>3310201010 Result Positivo Participacoes Societarias (R)</v>
          </cell>
        </row>
        <row r="851">
          <cell r="A851" t="str">
            <v>3310201020 Result Negativo Paticipacoes Societarias (R)</v>
          </cell>
        </row>
        <row r="852">
          <cell r="A852" t="str">
            <v>Resultado financeiro</v>
          </cell>
        </row>
        <row r="853">
          <cell r="A853" t="str">
            <v>Receitas financeiras</v>
          </cell>
        </row>
        <row r="854">
          <cell r="A854" t="str">
            <v>Receita de equivalentes de caixa e TVM</v>
          </cell>
        </row>
        <row r="855">
          <cell r="A855" t="str">
            <v>3510101010 Rec Financ-Juros s/Aplic Financeiras (Realizado)</v>
          </cell>
        </row>
        <row r="856">
          <cell r="A856" t="str">
            <v>Outras receitas financeiras</v>
          </cell>
        </row>
        <row r="857">
          <cell r="A857" t="str">
            <v>3510101090 Rec Financ-Juros s/Capital Proprio (Realizado)</v>
          </cell>
        </row>
        <row r="858">
          <cell r="A858" t="str">
            <v>3510101990 Rec Financ-Juros s/Outros Ativos (Realizado)</v>
          </cell>
        </row>
        <row r="859">
          <cell r="A859" t="str">
            <v>3510102011 Rec Financ-Prov Var Monet s/ Depositos Judiciais</v>
          </cell>
        </row>
        <row r="860">
          <cell r="A860" t="str">
            <v>3510102020 Rec Financ-Var Monet s/Impostos a Recup. (Realiza)</v>
          </cell>
        </row>
        <row r="861">
          <cell r="A861" t="str">
            <v>3510102990 Rec Finan-Var Monetaria s/Outros Ativos(Realizado)</v>
          </cell>
        </row>
        <row r="862">
          <cell r="A862" t="str">
            <v>3510103010 Rec Financ-Encargos s/Cobrança Duplic(Realizado)</v>
          </cell>
        </row>
        <row r="863">
          <cell r="A863" t="str">
            <v>3510103030 Rec Financ-Descontos Obtidos (Realizado)</v>
          </cell>
        </row>
        <row r="864">
          <cell r="A864" t="str">
            <v>3510105010 Rec Financ-Bonificaçoes s/Adm Apolice (Realizado)</v>
          </cell>
        </row>
        <row r="865">
          <cell r="A865" t="str">
            <v>3510106014 Rec Financ-Cont.AVP/ICMS Recup s/Aquis de At.Fixo</v>
          </cell>
        </row>
        <row r="866">
          <cell r="A866" t="str">
            <v>3510199990 Rec Financ-Demais Receitas Financeiras (Realizado)</v>
          </cell>
        </row>
        <row r="867">
          <cell r="A867" t="str">
            <v>Despesas financeiras</v>
          </cell>
        </row>
        <row r="868">
          <cell r="A868" t="str">
            <v>Juros de empréstimos e financiamentos</v>
          </cell>
        </row>
        <row r="869">
          <cell r="A869" t="str">
            <v>3510201010 (-)Desp Financ-Juros s/Emprestimos (Realizado)</v>
          </cell>
        </row>
        <row r="870">
          <cell r="A870" t="str">
            <v>Outras despesas financeiras</v>
          </cell>
        </row>
        <row r="871">
          <cell r="A871" t="str">
            <v>3510201020 (-)Desp Financ-Juros s/Pgtos em Atraso (Realizado)</v>
          </cell>
        </row>
        <row r="872">
          <cell r="A872" t="str">
            <v>3510201990 (-)Desp Financ-Juros s/Outros Passivos (Realizado)</v>
          </cell>
        </row>
        <row r="873">
          <cell r="A873" t="str">
            <v>3510202030 Desp Financ-Var Monet s/Pgto Imposto em Atraso(R)</v>
          </cell>
        </row>
        <row r="874">
          <cell r="A874" t="str">
            <v>3510202990 Desp Financ-Var Monet s/Outros Passivos(Realizado)</v>
          </cell>
        </row>
        <row r="875">
          <cell r="A875" t="str">
            <v>3510202991 Desp Financ-Prov Var Monetaria s/Contingencias</v>
          </cell>
        </row>
        <row r="876">
          <cell r="A876" t="str">
            <v>3510203020 Desp Financ-Encarg/Outros-Custas Judiciais(Realiz)</v>
          </cell>
        </row>
        <row r="877">
          <cell r="A877" t="str">
            <v>3510203500 Desp Financ-Encarg/Outros-I.O.C / I.O.F(Realizado)</v>
          </cell>
        </row>
        <row r="878">
          <cell r="A878" t="str">
            <v>3510203504 Ajuste a Valor Justo</v>
          </cell>
        </row>
        <row r="879">
          <cell r="A879" t="str">
            <v>3510204010 Desp Financ-EFE-Comissoes s/Aquis Empres Amort(R)</v>
          </cell>
        </row>
        <row r="880">
          <cell r="A880" t="str">
            <v>3510205010 Desp Financ-Bancarias-Comissoes (Ralizado)</v>
          </cell>
        </row>
        <row r="881">
          <cell r="A881" t="str">
            <v>3510205014 Ajuste a Valor Justo</v>
          </cell>
        </row>
        <row r="882">
          <cell r="A882" t="str">
            <v>3510205020 Desp Financ-Bancarias-Corretagens (Realiz)</v>
          </cell>
        </row>
        <row r="883">
          <cell r="A883" t="str">
            <v>3510205030 Desp Financ-Bancarias-Comissoes Fiança (Realiz)</v>
          </cell>
        </row>
        <row r="884">
          <cell r="A884" t="str">
            <v>3510205040 Desp Financ-Bancaria-Txa Expediente (Realiz)</v>
          </cell>
        </row>
        <row r="885">
          <cell r="A885" t="str">
            <v>3510299990 Demais Despesas Financeiras (Realizado)</v>
          </cell>
        </row>
        <row r="886">
          <cell r="A886" t="str">
            <v>Perdas cambiais financieras, líquidas</v>
          </cell>
        </row>
        <row r="887">
          <cell r="A887" t="str">
            <v>Variações cambiais passivas sobre empréstimos</v>
          </cell>
        </row>
        <row r="888">
          <cell r="A888" t="str">
            <v>3530102040 Var C Liq Pas-Perda Va rCamb s/Empres Exterior(R)</v>
          </cell>
        </row>
        <row r="889">
          <cell r="A889" t="str">
            <v>Outras variações cambiais</v>
          </cell>
        </row>
        <row r="890">
          <cell r="A890" t="str">
            <v>3530101010 Var C Liq At-Ganho Var Camb s/Receb Exterior (R)</v>
          </cell>
        </row>
        <row r="891">
          <cell r="A891" t="str">
            <v>3530101020 Var C Liq At-Perda Var Camb s/Receb Exterior (R)</v>
          </cell>
        </row>
        <row r="892">
          <cell r="A892" t="str">
            <v>3530102010 Var C Liq Pas-Ganho Var Camb s/Exigiv Exterior(R)</v>
          </cell>
        </row>
        <row r="893">
          <cell r="A893" t="str">
            <v>3530102020 Var C Liq Pas-Perda Var Camb s/Exigiv Exterior(R)</v>
          </cell>
        </row>
        <row r="894">
          <cell r="A894" t="str">
            <v>Imposto de renda e constribuição social</v>
          </cell>
        </row>
        <row r="895">
          <cell r="A895" t="str">
            <v>Corrente</v>
          </cell>
        </row>
        <row r="896">
          <cell r="A896" t="str">
            <v>3910101011 (-)Prov CSLL/Exerc.Corrente-CSLL Ajustado (Realiz)</v>
          </cell>
        </row>
        <row r="897">
          <cell r="A897" t="str">
            <v>3910101014 (-)Prov CSLL/Exerc.Corrente-CSLL Aj Aliq Efet (Rea</v>
          </cell>
        </row>
        <row r="898">
          <cell r="A898" t="str">
            <v>3920101011 (-)Prov IRPJ/Exerc.Correne-IRPJ s/Lucro Real</v>
          </cell>
        </row>
        <row r="899">
          <cell r="A899" t="str">
            <v>3920101014 (-)Prov IRPJ/Exerc.Corrente Aj Aliq Efetiva (Reali</v>
          </cell>
        </row>
        <row r="900">
          <cell r="A900" t="str">
            <v>Diferido</v>
          </cell>
        </row>
        <row r="901">
          <cell r="A901" t="str">
            <v>3910101021 (-)Prov CSLL/Exerc.Corrente-CSLL Diferido Ativos</v>
          </cell>
        </row>
        <row r="902">
          <cell r="A902" t="str">
            <v>3910101041 (-)Prov CSLL Diferida Base Negativa</v>
          </cell>
        </row>
        <row r="903">
          <cell r="A903" t="str">
            <v>3910102011 Prov CSLL/Exerc Ant-Prov CSLL Exerc Anterior</v>
          </cell>
        </row>
        <row r="904">
          <cell r="A904" t="str">
            <v>3920101021 (-)Prov IRPJ/Exerc.Corrente-IRPJ Diferido Ativos</v>
          </cell>
        </row>
        <row r="905">
          <cell r="A905" t="str">
            <v>3920101041 (-)Prov IRPJ Diferido Prej Fiscal</v>
          </cell>
        </row>
        <row r="906">
          <cell r="A906" t="str">
            <v>3920102011 Prov IRPJ/Exerc.Ant-Prov IRPJ Exerc Anterior</v>
          </cell>
        </row>
      </sheetData>
      <sheetData sheetId="6" refreshError="1">
        <row r="2">
          <cell r="A2" t="str">
            <v>ATIVO</v>
          </cell>
        </row>
        <row r="3">
          <cell r="A3" t="str">
            <v>CIRCULANTE</v>
          </cell>
        </row>
        <row r="4">
          <cell r="A4" t="str">
            <v>CAIXA E EQUIVALENTE DE CAIXA</v>
          </cell>
        </row>
        <row r="5">
          <cell r="A5" t="str">
            <v>Recursos em caixa e contas correntes bancária</v>
          </cell>
        </row>
        <row r="6">
          <cell r="A6" t="str">
            <v>1110102030 Banco Itau (Realizado)</v>
          </cell>
        </row>
        <row r="7">
          <cell r="A7" t="str">
            <v>1110102040 Banco Santander (Realizado)</v>
          </cell>
        </row>
        <row r="8">
          <cell r="A8" t="str">
            <v>1110102072 Banco Safra (Transitorias - Saidas)</v>
          </cell>
        </row>
        <row r="9">
          <cell r="A9" t="str">
            <v>1110102080 Banco Votorantin (Realizado)</v>
          </cell>
        </row>
        <row r="10">
          <cell r="A10" t="str">
            <v>1110102100 Banco Pactual S.A.(Realizado)</v>
          </cell>
        </row>
        <row r="11">
          <cell r="A11" t="str">
            <v>1110102120 Banco Alfa de Investimentos S.A. (Realizado)</v>
          </cell>
        </row>
        <row r="12">
          <cell r="A12" t="str">
            <v>1110102210 Banco do Brasil  (Realizado)</v>
          </cell>
        </row>
        <row r="13">
          <cell r="A13" t="str">
            <v>1110102220 Banco Bradesco (Realizado)</v>
          </cell>
        </row>
        <row r="14">
          <cell r="A14" t="str">
            <v>1110102240 Banco Santander (Realizado)</v>
          </cell>
        </row>
        <row r="15">
          <cell r="A15" t="str">
            <v>1110102250 Caixa Economica Federal (Realizado)</v>
          </cell>
        </row>
        <row r="16">
          <cell r="A16" t="str">
            <v>1110102270 Banco Safra (Transitorias - Saidas)</v>
          </cell>
        </row>
        <row r="17">
          <cell r="A17" t="str">
            <v>1110102272 Banco Safra (Transitorias - Saidas)</v>
          </cell>
        </row>
        <row r="18">
          <cell r="A18" t="str">
            <v>1110102290 Banco Paulista (Realizado)</v>
          </cell>
        </row>
        <row r="19">
          <cell r="A19" t="str">
            <v>1110102320 Banco Bradesco (Realizado)</v>
          </cell>
        </row>
        <row r="20">
          <cell r="A20" t="str">
            <v>1110102350 Caixa Economica Federal (Realizado)</v>
          </cell>
        </row>
        <row r="21">
          <cell r="A21" t="str">
            <v>Aplicações Financeiras (CDBs)</v>
          </cell>
        </row>
        <row r="22">
          <cell r="A22" t="str">
            <v>1110105010 Aplicaçoes Financeiras (Realizado)</v>
          </cell>
        </row>
        <row r="23">
          <cell r="A23" t="str">
            <v>APLICAÇÕES FINANCEIRAS</v>
          </cell>
        </row>
        <row r="24">
          <cell r="A24" t="str">
            <v>Mantidos para negociação</v>
          </cell>
        </row>
        <row r="25">
          <cell r="A25" t="str">
            <v>1110201010 Tits do Merc de Cap Inter Mant p/ Neg (Realizado)</v>
          </cell>
        </row>
        <row r="26">
          <cell r="A26" t="str">
            <v>Mantidos até o vencimento</v>
          </cell>
        </row>
        <row r="27">
          <cell r="A27" t="str">
            <v>1110201020 Tits do Merc de Cap Inter Mant ate Ven (Realizado)</v>
          </cell>
        </row>
        <row r="28">
          <cell r="A28" t="str">
            <v>DUPLICATAS A RECEBER DE CLIENTES</v>
          </cell>
        </row>
        <row r="29">
          <cell r="A29" t="str">
            <v>Clientes nacionais</v>
          </cell>
        </row>
        <row r="30">
          <cell r="A30" t="str">
            <v>1110501010 Duplicatas a Receber no MI  (Realizado)</v>
          </cell>
        </row>
        <row r="31">
          <cell r="A31" t="str">
            <v>1110501011 Duplicatas a Receber no MI (Parcela de CP / LP)</v>
          </cell>
        </row>
        <row r="32">
          <cell r="A32" t="str">
            <v>1110501014 (-)Rec Financeira a apropriar s/Dups a Rec no MI</v>
          </cell>
        </row>
        <row r="33">
          <cell r="A33" t="str">
            <v>Clientes Internacionais</v>
          </cell>
        </row>
        <row r="34">
          <cell r="A34" t="str">
            <v>1110502010 Duplicatas a Receber no ME  (Realizado)</v>
          </cell>
        </row>
        <row r="35">
          <cell r="A35" t="str">
            <v>PCLD</v>
          </cell>
        </row>
        <row r="36">
          <cell r="A36" t="str">
            <v>1110501900 (-) Provisões para Créditos de Liquidação Duvidosa</v>
          </cell>
        </row>
        <row r="37">
          <cell r="A37" t="str">
            <v>IMPOSTOS A RECUPERAR</v>
          </cell>
        </row>
        <row r="38">
          <cell r="A38" t="str">
            <v>Impostos de renda e CSLL</v>
          </cell>
        </row>
        <row r="39">
          <cell r="A39" t="str">
            <v>1111505990 Cred Fisc CSLL- Sdo Negativo Per Anterior (Realiz)</v>
          </cell>
        </row>
        <row r="40">
          <cell r="A40" t="str">
            <v>1111506020 IRRF sobre Aplicaçoes Financeiras (Realizado)</v>
          </cell>
        </row>
        <row r="41">
          <cell r="A41" t="str">
            <v>1111506030 IRRF sobre Depositos Judiciais (Realizado)</v>
          </cell>
        </row>
        <row r="42">
          <cell r="A42" t="str">
            <v>1111506990 Cred Fisc IRPJ Sdo Negativo Per Anterior (Realiz)</v>
          </cell>
        </row>
        <row r="43">
          <cell r="A43" t="str">
            <v>ICMS a recuperar</v>
          </cell>
        </row>
        <row r="44">
          <cell r="A44" t="str">
            <v>1111507010 ICMS a Recup sobre Ativo Permanente (Realizado)</v>
          </cell>
        </row>
        <row r="45">
          <cell r="A45" t="str">
            <v>1111507014 (-)AVP sobre ICMS a Recup sobre Ativo Permanente</v>
          </cell>
        </row>
        <row r="46">
          <cell r="A46" t="str">
            <v>1111507050 ICMS a Recuperar s/Aquisição Entrega Futura (R)</v>
          </cell>
        </row>
        <row r="47">
          <cell r="A47" t="str">
            <v>IRPJ e CSLL</v>
          </cell>
        </row>
        <row r="48">
          <cell r="A48" t="str">
            <v>1111001010 Antecipaçoes de CSLL (Realizado)</v>
          </cell>
        </row>
        <row r="49">
          <cell r="A49" t="str">
            <v>1111001020 Antecipaçoes de IRPJ (Realizado)</v>
          </cell>
        </row>
        <row r="50">
          <cell r="A50" t="str">
            <v>2112001010 Prov p/ CSLL s/Resultado Operacional (Realizado)</v>
          </cell>
        </row>
        <row r="51">
          <cell r="A51" t="str">
            <v>2112001020 Provisao p/ CSLL Diferida (Realizado)</v>
          </cell>
        </row>
        <row r="52">
          <cell r="A52" t="str">
            <v>2112001030 Provisao p/ CSLL Diferida s/Depreciaçao Fiscal (R)</v>
          </cell>
        </row>
        <row r="53">
          <cell r="A53" t="str">
            <v>2112001040 Contribuição Social s/Compensação Base Negativa (R</v>
          </cell>
        </row>
        <row r="54">
          <cell r="A54" t="str">
            <v>2112002010 Prov p/  IR s/Resultando Operacional (Realizado)</v>
          </cell>
        </row>
        <row r="55">
          <cell r="A55" t="str">
            <v>2112002020 Provisao para IR Diferida (Realizado)</v>
          </cell>
        </row>
        <row r="56">
          <cell r="A56" t="str">
            <v>2112002030 Provisao p/ IR Diferida s/Depreciaçao Fiscal (R)</v>
          </cell>
        </row>
        <row r="57">
          <cell r="A57" t="str">
            <v>2112002040 Imposto de Renda s/ Compensação Prejuízo Fiscal (R</v>
          </cell>
        </row>
        <row r="58">
          <cell r="A58" t="str">
            <v>INSS a compensar</v>
          </cell>
        </row>
        <row r="59">
          <cell r="A59" t="str">
            <v>1111599070 INSS a Compensar  - Decisão Judicial (Realizado)</v>
          </cell>
        </row>
        <row r="60">
          <cell r="A60" t="str">
            <v>PIS a compensar Lei nº 9.715</v>
          </cell>
        </row>
        <row r="61">
          <cell r="A61" t="str">
            <v>1111599000 PIS a Compensar Lei 9715 (Realizado)</v>
          </cell>
        </row>
        <row r="62">
          <cell r="A62" t="str">
            <v>Outros</v>
          </cell>
        </row>
        <row r="63">
          <cell r="A63" t="str">
            <v>1111599010 Imp Import a Rec-Recolhimento em Dupl (Realiz)</v>
          </cell>
        </row>
        <row r="64">
          <cell r="A64" t="str">
            <v>1111599020 INSS a Rec-Recolhimento em Duplicidade (Realizado)</v>
          </cell>
        </row>
        <row r="65">
          <cell r="A65" t="str">
            <v>1111599030 Adic Estadual doImposto de Renda a Rec (Realizado)</v>
          </cell>
        </row>
        <row r="66">
          <cell r="A66" t="str">
            <v>1111599040 FINSOCIAL 1982/83 (Realizado)</v>
          </cell>
        </row>
        <row r="67">
          <cell r="A67" t="str">
            <v>1111599050 IRRF Tercs Ret a Maior (Realizado)</v>
          </cell>
        </row>
        <row r="68">
          <cell r="A68" t="str">
            <v>1111599060 PIS/COF/COF Ret a maior (Realizado)</v>
          </cell>
        </row>
        <row r="69">
          <cell r="A69" t="str">
            <v>ESTOQUES</v>
          </cell>
        </row>
        <row r="70">
          <cell r="A70" t="str">
            <v>Matérias-primas</v>
          </cell>
        </row>
        <row r="71">
          <cell r="A71" t="str">
            <v>1112090010 Importaçoes em And de Materias Primas (Realizado)</v>
          </cell>
        </row>
        <row r="72">
          <cell r="A72" t="str">
            <v>Produtos em processo</v>
          </cell>
        </row>
        <row r="73">
          <cell r="A73" t="str">
            <v>1112003010 Estoques de Produtos em Elaboraçao (Realizado)</v>
          </cell>
        </row>
        <row r="74">
          <cell r="A74" t="str">
            <v>Produtos Acabados</v>
          </cell>
        </row>
        <row r="75">
          <cell r="A75" t="str">
            <v>1112010010 Estoques de Produtos Acabados (Realizado)</v>
          </cell>
        </row>
        <row r="76">
          <cell r="A76" t="str">
            <v>1112050020 Estoques de Mercadorias Rev Importadas (Realizado)</v>
          </cell>
        </row>
        <row r="77">
          <cell r="A77" t="str">
            <v>Provisão para desvalorização</v>
          </cell>
        </row>
        <row r="78">
          <cell r="A78" t="str">
            <v>1112010014 (-)Prov p/ Aj. do Est ao Vlr de Merc - Prods Acab</v>
          </cell>
        </row>
        <row r="79">
          <cell r="A79" t="str">
            <v>Materiais auxiliares e embalagens</v>
          </cell>
        </row>
        <row r="80">
          <cell r="A80" t="str">
            <v>1112005010 Estoques de Insumos (Mat-Aux) (Realiz)</v>
          </cell>
        </row>
        <row r="81">
          <cell r="A81" t="str">
            <v>1112008010 Estoques de Materiais de Embalagens (Realizado)</v>
          </cell>
        </row>
        <row r="82">
          <cell r="A82" t="str">
            <v>Materiais de manutenção e outros</v>
          </cell>
        </row>
        <row r="83">
          <cell r="A83" t="str">
            <v>1112020020 Estoque Almoxarif CP-Manutençao Eletrica (Realiz)</v>
          </cell>
        </row>
        <row r="84">
          <cell r="A84" t="str">
            <v>1112020030 Estoque Almoxarif CP-Manutençao Mecanica (Realiz)</v>
          </cell>
        </row>
        <row r="85">
          <cell r="A85" t="str">
            <v>1112020050 Estoq Alm CP-Manut Calderaria e Tubulaçao (Realiz)</v>
          </cell>
        </row>
        <row r="86">
          <cell r="A86" t="str">
            <v>1112020060 Estoque Alm CP-Manutençao Instrumentaçao (Realiz)</v>
          </cell>
        </row>
        <row r="87">
          <cell r="A87" t="str">
            <v>1112020070 Estoque Alm CP-Manutençao Celula HG (Realizado)</v>
          </cell>
        </row>
        <row r="88">
          <cell r="A88" t="str">
            <v>1112020080 Estoque Almo CP-Manut Celula Diafragma (Realizado)</v>
          </cell>
        </row>
        <row r="89">
          <cell r="A89" t="str">
            <v>1112020100 Estoque Alm CP-Manut.de Cilindros e Carretas R</v>
          </cell>
        </row>
        <row r="90">
          <cell r="A90" t="str">
            <v>1112020490 Estoque Almo CP-Manutençao em Geral (Realizado)</v>
          </cell>
        </row>
        <row r="91">
          <cell r="A91" t="str">
            <v>1112020500 Estoque Alm CP-Almoxarifado de Uso Geral (Realiz)</v>
          </cell>
        </row>
        <row r="92">
          <cell r="A92" t="str">
            <v>1112020991 Estoque Almoxarifado Transf. Parcela Realizada L.P</v>
          </cell>
        </row>
        <row r="93">
          <cell r="A93" t="str">
            <v>1112080200 Etq de Outros Mats-Almox em Poder de Ters (Realiz)</v>
          </cell>
        </row>
        <row r="94">
          <cell r="A94" t="str">
            <v>DESPESAS DE EXERCICIO SEGUINTE</v>
          </cell>
        </row>
        <row r="95">
          <cell r="A95" t="str">
            <v>Pagamentos Antecipados</v>
          </cell>
        </row>
        <row r="96">
          <cell r="A96" t="str">
            <v>1119001010 Pagamentos Antecipados-Seguros (Realizado)</v>
          </cell>
        </row>
        <row r="97">
          <cell r="A97" t="str">
            <v>1119001030 Pagamentos Antecip-Serv Tecnicos Prof (Realizado)</v>
          </cell>
        </row>
        <row r="98">
          <cell r="A98" t="str">
            <v>1119001040 Pagamentos Antecipados-Impostos (Realizado)</v>
          </cell>
        </row>
        <row r="99">
          <cell r="A99" t="str">
            <v>1119001050 Pagtos Antecip-Contribuiçoes Associativas (Realiz)</v>
          </cell>
        </row>
        <row r="100">
          <cell r="A100" t="str">
            <v>1119001900 Pagtos Antecip-Outras Desps/Custos(Realizado)</v>
          </cell>
        </row>
        <row r="101">
          <cell r="A101" t="str">
            <v>OUTROS ATIVOS CIRCULANTE</v>
          </cell>
        </row>
        <row r="102">
          <cell r="A102" t="str">
            <v>Adiantamento a Fornecedores</v>
          </cell>
        </row>
        <row r="103">
          <cell r="A103" t="str">
            <v>1118001010 Adiantamentos a Fornec de Serviços (Realizado)</v>
          </cell>
        </row>
        <row r="104">
          <cell r="A104" t="str">
            <v>1118001020 Adiantamentos a Fornecedores de MP (Realizado)</v>
          </cell>
        </row>
        <row r="105">
          <cell r="A105" t="str">
            <v>1118001040 Adiant  Fornecs de Materias de Consumo (Realizado)</v>
          </cell>
        </row>
        <row r="106">
          <cell r="A106" t="str">
            <v>1118001050 Adiant Fornecs de Funcionarios (Realizado)</v>
          </cell>
        </row>
        <row r="107">
          <cell r="A107" t="str">
            <v>1118001060 Adiantamentos a Fornecedores de Fretes</v>
          </cell>
        </row>
        <row r="108">
          <cell r="A108" t="str">
            <v>1118001070 Adiantamentos a Fornecedores do Exterior</v>
          </cell>
        </row>
        <row r="109">
          <cell r="A109" t="str">
            <v>Créditos a receber na venda de ativos</v>
          </cell>
        </row>
        <row r="110">
          <cell r="A110" t="str">
            <v>1118099060 Outros Créditos- Contratos a Receber (Realizado)</v>
          </cell>
        </row>
        <row r="111">
          <cell r="A111" t="str">
            <v>Reclamações de seguros</v>
          </cell>
        </row>
        <row r="112">
          <cell r="A112" t="str">
            <v>1118099010 Outros Creditos-Reclamaçao de Seguros (Realizado)</v>
          </cell>
        </row>
        <row r="113">
          <cell r="A113" t="str">
            <v>Outros Créditos</v>
          </cell>
        </row>
        <row r="114">
          <cell r="A114" t="str">
            <v>1118002020 Adiantamentos a Empregados 13º Salario (Realizado)</v>
          </cell>
        </row>
        <row r="115">
          <cell r="A115" t="str">
            <v>1118002030 Adiantamentos a Empregados Ferias (Realizado)</v>
          </cell>
        </row>
        <row r="116">
          <cell r="A116" t="str">
            <v>1118002050 Adiant a Empregados Plano Auxilio Doen (Realizado)</v>
          </cell>
        </row>
        <row r="117">
          <cell r="A117" t="str">
            <v>1118002060 Adto a Empregados Cobertura de Sdo Devedor (R)</v>
          </cell>
        </row>
        <row r="118">
          <cell r="A118" t="str">
            <v>1118002090 Adto a Empregados Desp de Resp de Funcionario (R)</v>
          </cell>
        </row>
        <row r="119">
          <cell r="A119" t="str">
            <v>1118099020 Outros Creditos-Depositos e Cauçoes (Realizado)</v>
          </cell>
        </row>
        <row r="120">
          <cell r="A120" t="str">
            <v>NÃO CIRCULANTE</v>
          </cell>
        </row>
        <row r="121">
          <cell r="A121" t="str">
            <v>DUPLICATAS A RECEBER DE CLIENTES</v>
          </cell>
        </row>
        <row r="122">
          <cell r="A122" t="str">
            <v>Clientes nacionais</v>
          </cell>
        </row>
        <row r="123">
          <cell r="A123" t="str">
            <v>1710501011 Duplicatas a Receber no MI LP (Parcela de CP / LP)</v>
          </cell>
        </row>
        <row r="124">
          <cell r="A124" t="str">
            <v>1710501014 (-)Rec Fin a apr s/ Dups a Rec no MI LP (P CP/LP)</v>
          </cell>
        </row>
        <row r="125">
          <cell r="A125" t="str">
            <v>IMPOSTOS A RECUPERAR</v>
          </cell>
        </row>
        <row r="126">
          <cell r="A126" t="str">
            <v>ICMS a Recuperar</v>
          </cell>
        </row>
        <row r="127">
          <cell r="A127" t="str">
            <v>1711507010 ICMS a Recuperar s/e Ativo Permanet LP (Realizado)</v>
          </cell>
        </row>
        <row r="128">
          <cell r="A128" t="str">
            <v>1711507014 (-)AVP s/ ICMS a Recuperar s/ Ativo Permanente LP</v>
          </cell>
        </row>
        <row r="129">
          <cell r="A129" t="str">
            <v>Outros</v>
          </cell>
        </row>
        <row r="130">
          <cell r="A130" t="str">
            <v>1711599040 FINSOCIAL 1982/83 (Realizado)</v>
          </cell>
        </row>
        <row r="131">
          <cell r="A131" t="str">
            <v>ESTOQUES</v>
          </cell>
        </row>
        <row r="132">
          <cell r="A132" t="str">
            <v>Materiais de Almoxarifado de Giro Baixo</v>
          </cell>
        </row>
        <row r="133">
          <cell r="A133" t="str">
            <v>1712020991 Estoque Almoxarifado Parcela Realizada LP</v>
          </cell>
        </row>
        <row r="134">
          <cell r="A134" t="str">
            <v>DEPÓSITOS JUDICIAIS</v>
          </cell>
        </row>
        <row r="135">
          <cell r="A135" t="str">
            <v>Tributários</v>
          </cell>
        </row>
        <row r="136">
          <cell r="A136" t="str">
            <v>1719001010 Dep Jud s/Res Trib Fed R</v>
          </cell>
        </row>
        <row r="137">
          <cell r="A137" t="str">
            <v>1719001011 ATM Dep Jud s/Res Trib Fed R</v>
          </cell>
        </row>
        <row r="138">
          <cell r="A138" t="str">
            <v>1719001030 Depos Jud s/Reserva-Imp, Taxas e Contrib Munic (R)</v>
          </cell>
        </row>
        <row r="139">
          <cell r="A139" t="str">
            <v>Trabalhistas</v>
          </cell>
        </row>
        <row r="140">
          <cell r="A140" t="str">
            <v>1719002010 Depos Jud s/Reserva-Reclamaçoes Trab (Realizado)</v>
          </cell>
        </row>
        <row r="141">
          <cell r="A141" t="str">
            <v>1719002030 Dep Judiciais s/Res -Previdenciarios (Realizado)</v>
          </cell>
        </row>
        <row r="142">
          <cell r="A142" t="str">
            <v>Outros depósitos judiciais</v>
          </cell>
        </row>
        <row r="143">
          <cell r="A143" t="str">
            <v>1719003990 Outros Dep Judic s/Reserva de Nat Oper (Realizado)</v>
          </cell>
        </row>
        <row r="144">
          <cell r="A144" t="str">
            <v>1719003991 ATM Outros Dep Judic s/Reserva Nat Oper (Realiz)</v>
          </cell>
        </row>
        <row r="145">
          <cell r="A145" t="str">
            <v>OUTROS ATIVOS NÃO CIRCULANTES</v>
          </cell>
        </row>
        <row r="146">
          <cell r="A146" t="str">
            <v>Créditos a receber na venda de ativos</v>
          </cell>
        </row>
        <row r="147">
          <cell r="A147" t="str">
            <v>1718099060 Outros Créditos- Contratos a Receber (Realizado)</v>
          </cell>
        </row>
        <row r="148">
          <cell r="A148" t="str">
            <v>INVESTIMENTOS</v>
          </cell>
        </row>
        <row r="149">
          <cell r="A149" t="str">
            <v>PARTICIPAÇÃO EM COLIGADA</v>
          </cell>
        </row>
        <row r="150">
          <cell r="A150" t="str">
            <v>Tecsis tecnologia e sistemas avançados</v>
          </cell>
        </row>
        <row r="151">
          <cell r="A151" t="str">
            <v>1720201010 Cto Part Per em Coligada ou ControladaTecsis</v>
          </cell>
        </row>
        <row r="152">
          <cell r="A152" t="str">
            <v>1720201012 Agios em Partic Per Colig ou Control - Tecsis</v>
          </cell>
        </row>
        <row r="153">
          <cell r="A153" t="str">
            <v>1720201014 Vlr Justo Ativos em Part Per Col Cont Tecsis</v>
          </cell>
        </row>
        <row r="154">
          <cell r="A154" t="str">
            <v>1720201015 Realização Vlr Justo em Part Per Col Cont -Tecsis</v>
          </cell>
        </row>
        <row r="155">
          <cell r="A155" t="str">
            <v>1720201018 Ajust Aval Patrimonial em Part Per Col Cont Tecsis</v>
          </cell>
        </row>
        <row r="156">
          <cell r="A156" t="str">
            <v>IMOBILIZADO</v>
          </cell>
        </row>
        <row r="157">
          <cell r="A157" t="str">
            <v>CUSTO</v>
          </cell>
        </row>
        <row r="158">
          <cell r="A158" t="str">
            <v>Terrenos</v>
          </cell>
        </row>
        <row r="159">
          <cell r="A159" t="str">
            <v>1740101010 Imobilizado-Custo dos Terrenos</v>
          </cell>
        </row>
        <row r="160">
          <cell r="A160" t="str">
            <v>1740101011 Imobilizado-Mais Valia dos Terrenos</v>
          </cell>
        </row>
        <row r="161">
          <cell r="A161" t="str">
            <v>1740101012 Imobilizado-Mais Valia Comb Neg dos Terrenos</v>
          </cell>
        </row>
        <row r="162">
          <cell r="A162" t="str">
            <v>Edificações e construções</v>
          </cell>
        </row>
        <row r="163">
          <cell r="A163" t="str">
            <v>1740102010 Imobilizado-Custo dos Edificios</v>
          </cell>
        </row>
        <row r="164">
          <cell r="A164" t="str">
            <v>1740102011 Imobilizado-Mais Valia dos Edificios</v>
          </cell>
        </row>
        <row r="165">
          <cell r="A165" t="str">
            <v>1740102012 Imobilizado-Mais Valia Comb Negocios dos Edificios</v>
          </cell>
        </row>
        <row r="166">
          <cell r="A166" t="str">
            <v>1740102014 Imobilizado-Contrapartida do AVP de Edificios</v>
          </cell>
        </row>
        <row r="167">
          <cell r="A167" t="str">
            <v>1740102020 Imobilizado-Custo das Benfeitorias</v>
          </cell>
        </row>
        <row r="168">
          <cell r="A168" t="str">
            <v>1740102021 Imobilizado-Mais Valia Benfeitorias</v>
          </cell>
        </row>
        <row r="169">
          <cell r="A169" t="str">
            <v>1740102022 Imobilizado-Mais Valia Comb Neg Benfeitorias</v>
          </cell>
        </row>
        <row r="170">
          <cell r="A170" t="str">
            <v>1740102024 Imobilizado-Contrapartida do AVP de Beneficios</v>
          </cell>
        </row>
        <row r="171">
          <cell r="A171" t="str">
            <v>Equipamentos e Instalações</v>
          </cell>
        </row>
        <row r="172">
          <cell r="A172" t="str">
            <v>1740103010 Imobilizado-Custo de Equipamentos</v>
          </cell>
        </row>
        <row r="173">
          <cell r="A173" t="str">
            <v>1740103011 Imobilizado-Mais Valia Equipamentos</v>
          </cell>
        </row>
        <row r="174">
          <cell r="A174" t="str">
            <v>1740103012 Imobilizado-Mais Valia Comb Neg Equipamentos</v>
          </cell>
        </row>
        <row r="175">
          <cell r="A175" t="str">
            <v>1740103014 Imobilizado-AVP Equipamentos</v>
          </cell>
        </row>
        <row r="176">
          <cell r="A176" t="str">
            <v>1740103020 Imobilizado-Custo dos Sobressalentes</v>
          </cell>
        </row>
        <row r="177">
          <cell r="A177" t="str">
            <v>1740103021 Imobilizado-Mais Valia dos Sobressalentes</v>
          </cell>
        </row>
        <row r="178">
          <cell r="A178" t="str">
            <v>1740103022 Imobilizado-Custo dos Sobressalentes</v>
          </cell>
        </row>
        <row r="179">
          <cell r="A179" t="str">
            <v>1740105020 Imobilizado-Custo de Veiculos Fora de Estrada</v>
          </cell>
        </row>
        <row r="180">
          <cell r="A180" t="str">
            <v>Veículos</v>
          </cell>
        </row>
        <row r="181">
          <cell r="A181" t="str">
            <v>1740105010 Imob-Custo de Veiculos de Passageiros e Carga</v>
          </cell>
        </row>
        <row r="182">
          <cell r="A182" t="str">
            <v>1740105011 Imob-Mais Valia de Veiculos de Passageiros e Carga</v>
          </cell>
        </row>
        <row r="183">
          <cell r="A183" t="str">
            <v>1740105012 Imob-Mais Valia de Veiculos de Passageiros e Carga</v>
          </cell>
        </row>
        <row r="184">
          <cell r="A184" t="str">
            <v>1740105014 Imob-AVP de Veiculos de Passageiros e Carga</v>
          </cell>
        </row>
        <row r="185">
          <cell r="A185" t="str">
            <v>Móveis e utensílios</v>
          </cell>
        </row>
        <row r="186">
          <cell r="A186" t="str">
            <v>1740104010 Imob-Custo de Moveis, Utensilios e Inst Comerciais</v>
          </cell>
        </row>
        <row r="187">
          <cell r="A187" t="str">
            <v>1740104014 Imob-AVP de Moveis, Utensilios e Inst Comerciais</v>
          </cell>
        </row>
        <row r="188">
          <cell r="A188" t="str">
            <v>Demais bens</v>
          </cell>
        </row>
        <row r="189">
          <cell r="A189" t="str">
            <v>1740199010 Imobilizado-Custo de Material Auxiliar Permanente</v>
          </cell>
        </row>
        <row r="190">
          <cell r="A190" t="str">
            <v>1740199070 Imobilizado-Custo de Computadores e Perifericos</v>
          </cell>
        </row>
        <row r="191">
          <cell r="A191" t="str">
            <v>1740199074 Imobilizado- AVP de Computadores e Perifericos</v>
          </cell>
        </row>
        <row r="192">
          <cell r="A192" t="str">
            <v>imobilizado em andamento</v>
          </cell>
        </row>
        <row r="193">
          <cell r="A193" t="str">
            <v>1745001010 Imob Andament-Custo das Aquisiçoes p/Imob (Receb)</v>
          </cell>
        </row>
        <row r="194">
          <cell r="A194" t="str">
            <v>1745001014 Contrapartida dos Aj a Vr Presente de IeA</v>
          </cell>
        </row>
        <row r="195">
          <cell r="A195" t="str">
            <v>1745001020 Imob And-Cto das Aquisiç de Sobres de Imob (Receb)</v>
          </cell>
        </row>
        <row r="196">
          <cell r="A196" t="str">
            <v>1745002030 Imob And-Cto dos Adiants p/Aquis de Imobiliz (T)</v>
          </cell>
        </row>
        <row r="197">
          <cell r="A197" t="str">
            <v>1745099010 Imob And-Encar Fin s/ Aquis de Imob-Juros (Realiz)</v>
          </cell>
        </row>
        <row r="198">
          <cell r="A198" t="str">
            <v>1745099030 Imob And-Encar Fin s/ Aquis de Imob-Var Cam (R)</v>
          </cell>
        </row>
        <row r="199">
          <cell r="A199" t="str">
            <v>DEPRECIAÇÃO</v>
          </cell>
        </row>
        <row r="200">
          <cell r="A200" t="str">
            <v>Edificações e construções</v>
          </cell>
        </row>
        <row r="201">
          <cell r="A201" t="str">
            <v>1740502010 (-)Depreciaçao-Custo dos Edificios</v>
          </cell>
        </row>
        <row r="202">
          <cell r="A202" t="str">
            <v>1740502011 (-)Depreciaçao-Mais Valia Edificios</v>
          </cell>
        </row>
        <row r="203">
          <cell r="A203" t="str">
            <v>1740502012 (-)Depreciaçao-Mais Valia Combin Neg Edificios</v>
          </cell>
        </row>
        <row r="204">
          <cell r="A204" t="str">
            <v>1740502014 (-)Depr-Contrapartida do AVP de Edificios</v>
          </cell>
        </row>
        <row r="205">
          <cell r="A205" t="str">
            <v>1740502020 (-)Depreciaçao-Custo das Benfeitorias</v>
          </cell>
        </row>
        <row r="206">
          <cell r="A206" t="str">
            <v>1740502021 (-)Depreciaçao-Mais Valia Benfeitorias</v>
          </cell>
        </row>
        <row r="207">
          <cell r="A207" t="str">
            <v>1740502022 (-)Depreciaçao-Mais Valia Combin Neg Benfeitorias</v>
          </cell>
        </row>
        <row r="208">
          <cell r="A208" t="str">
            <v>1740502024 (-)Depr-Contrapartida do AVP de Benfeitorias</v>
          </cell>
        </row>
        <row r="209">
          <cell r="A209" t="str">
            <v>Equipamentos e Instalações</v>
          </cell>
        </row>
        <row r="210">
          <cell r="A210" t="str">
            <v>1740503010 (-)Depreciaçao-Custo de Equipamentos</v>
          </cell>
        </row>
        <row r="211">
          <cell r="A211" t="str">
            <v>1740503011 (-)Depreciaçao-Mais Valia Equipamentos</v>
          </cell>
        </row>
        <row r="212">
          <cell r="A212" t="str">
            <v>1740503012 (-)Depreciaçao-Mais Valia Combin Neg Equipamentos</v>
          </cell>
        </row>
        <row r="213">
          <cell r="A213" t="str">
            <v>1740503014 (-)Depr-Contrapartida do AVP de Equipamentos</v>
          </cell>
        </row>
        <row r="214">
          <cell r="A214" t="str">
            <v>1740503020 (-)Depreciaçao-Custo dos Sobressalentes</v>
          </cell>
        </row>
        <row r="215">
          <cell r="A215" t="str">
            <v>1740503021 (-)Depreciaçao-Mais Valia Sobressalentes</v>
          </cell>
        </row>
        <row r="216">
          <cell r="A216" t="str">
            <v>1740503022 (-)Depreciaçao-Mais Valia Combin Neg Sobressalente</v>
          </cell>
        </row>
        <row r="217">
          <cell r="A217" t="str">
            <v>1740505020 (-)Depreciaçao-Custo de Veiculos Fora da Estrada</v>
          </cell>
        </row>
        <row r="218">
          <cell r="A218" t="str">
            <v>Veículos</v>
          </cell>
        </row>
        <row r="219">
          <cell r="A219" t="str">
            <v>1740505010 (-)Depr-Custo de Veiculos de Passageiros e Carga</v>
          </cell>
        </row>
        <row r="220">
          <cell r="A220" t="str">
            <v>1740505011 (-)Depreciaçao-Mais Valia Veiculos</v>
          </cell>
        </row>
        <row r="221">
          <cell r="A221" t="str">
            <v>1740505012 (-)Depreciaçao-Mais Valia Combin Neg Veiculos</v>
          </cell>
        </row>
        <row r="222">
          <cell r="A222" t="str">
            <v>1740505014 (-)Depr-Contrapartida do AVP de Veículos</v>
          </cell>
        </row>
        <row r="223">
          <cell r="A223" t="str">
            <v>Móveis e utensílios</v>
          </cell>
        </row>
        <row r="224">
          <cell r="A224" t="str">
            <v>1740504010 (-)Depreciaçao-Custo dos Móveis, Utens e Inst Com</v>
          </cell>
        </row>
        <row r="225">
          <cell r="A225" t="str">
            <v>1740504014 (-)Depr-Contrapartida do AVP de Móveis, Utens</v>
          </cell>
        </row>
        <row r="226">
          <cell r="A226" t="str">
            <v>Demais bens</v>
          </cell>
        </row>
        <row r="227">
          <cell r="A227" t="str">
            <v>1740599070 (-)Depreciaçao-Custo de Computadores e Perifericos</v>
          </cell>
        </row>
        <row r="228">
          <cell r="A228" t="str">
            <v>1740599074 (-)Depr-Contrap do AVP dos Computad Perifericos</v>
          </cell>
        </row>
        <row r="229">
          <cell r="A229" t="str">
            <v>INTANGÍVEL</v>
          </cell>
        </row>
        <row r="230">
          <cell r="A230" t="str">
            <v>INTANGÍVEL EM OPERAÇÃO</v>
          </cell>
        </row>
        <row r="231">
          <cell r="A231" t="str">
            <v>Ágio - combinação de negócio em estágios</v>
          </cell>
        </row>
        <row r="232">
          <cell r="A232" t="str">
            <v>1750190012 Intangivel Op-Mais Valia C N Ativ n Alocados</v>
          </cell>
        </row>
        <row r="233">
          <cell r="A233" t="str">
            <v>Carteira de clientes</v>
          </cell>
        </row>
        <row r="234">
          <cell r="A234" t="str">
            <v>1750103011 Intangivel Op-Mais Valia de Carteira de Clientes</v>
          </cell>
        </row>
        <row r="235">
          <cell r="A235" t="str">
            <v>1750103012 Intangivel Op-Mais Valia de Carteira Clientes C N</v>
          </cell>
        </row>
        <row r="236">
          <cell r="A236" t="str">
            <v>1750603011 (-)Amort-Mais Valia Carteira de Clientes</v>
          </cell>
        </row>
        <row r="237">
          <cell r="A237" t="str">
            <v>1750603012 (-)Amort-Mais Valia C N Carteira de Clientes</v>
          </cell>
        </row>
        <row r="238">
          <cell r="A238" t="str">
            <v>Direito de uso de software e pesquisa e desen</v>
          </cell>
        </row>
        <row r="239">
          <cell r="A239" t="str">
            <v>1750101010 Intangivel Op-Custo das Marcas e Patentes</v>
          </cell>
        </row>
        <row r="240">
          <cell r="A240" t="str">
            <v>1750102010 Intangivel Op-Cto das Software ou Prog de Comput</v>
          </cell>
        </row>
        <row r="241">
          <cell r="A241" t="str">
            <v>1750102014 Intangivel Op-AV de Software ou Prog de Comput</v>
          </cell>
        </row>
        <row r="242">
          <cell r="A242" t="str">
            <v>1750602010 (-)Amort-Cto dos Software ou Programas de Comput</v>
          </cell>
        </row>
        <row r="243">
          <cell r="A243" t="str">
            <v>1750602014 (-)Amort-Contrapartida do AVP de Softwares</v>
          </cell>
        </row>
        <row r="244">
          <cell r="A244" t="str">
            <v>Ágio Goodwill</v>
          </cell>
        </row>
        <row r="245">
          <cell r="A245" t="str">
            <v>1750190011 Intangivel Op-Mais Valia Ativ n Alocados</v>
          </cell>
        </row>
        <row r="246">
          <cell r="A246" t="str">
            <v>Tributos diferidos s/ágio não alocado</v>
          </cell>
        </row>
        <row r="247">
          <cell r="A247" t="str">
            <v>1750190021 Intangivel Op-Tribs Dif S/Mais Valia de Ativos (R)</v>
          </cell>
        </row>
        <row r="248">
          <cell r="A248" t="str">
            <v>1754900020 Int const p/trib Dif s/Mais Valia Ativos CN (Real)</v>
          </cell>
        </row>
        <row r="249">
          <cell r="A249" t="str">
            <v>PASSIVO E PATRIMÔNIO LÍQUIDO</v>
          </cell>
        </row>
        <row r="250">
          <cell r="A250" t="str">
            <v>CIRCULANTE</v>
          </cell>
        </row>
        <row r="251">
          <cell r="A251" t="str">
            <v>FORNECEDORES</v>
          </cell>
        </row>
        <row r="252">
          <cell r="A252" t="str">
            <v>Serviços</v>
          </cell>
        </row>
        <row r="253">
          <cell r="A253" t="str">
            <v>2110101010 Fornecedores Nacionais de Serviços (Realizado)</v>
          </cell>
        </row>
        <row r="254">
          <cell r="A254" t="str">
            <v>Matérias Primas</v>
          </cell>
        </row>
        <row r="255">
          <cell r="A255" t="str">
            <v>2110101020 Fornecedores Nacionais de MP (Realizado)</v>
          </cell>
        </row>
        <row r="256">
          <cell r="A256" t="str">
            <v>2110102020 Fornecedores do Exterior de MP (Realizado)</v>
          </cell>
        </row>
        <row r="257">
          <cell r="A257" t="str">
            <v>Fretes</v>
          </cell>
        </row>
        <row r="258">
          <cell r="A258" t="str">
            <v>2110101070 Fornecedores Nacionais de Fretes (Realizado)</v>
          </cell>
        </row>
        <row r="259">
          <cell r="A259" t="str">
            <v>Materiais de Consumo</v>
          </cell>
        </row>
        <row r="260">
          <cell r="A260" t="str">
            <v>2110101040 Fornecedores Nacionais de Mat de Cons(Realizado)</v>
          </cell>
        </row>
        <row r="261">
          <cell r="A261" t="str">
            <v>2110102040 Fornecedores do Ext de Mat de Cons (Realizado)</v>
          </cell>
        </row>
        <row r="262">
          <cell r="A262" t="str">
            <v>Demais tipos de fornecedores</v>
          </cell>
        </row>
        <row r="263">
          <cell r="A263" t="str">
            <v>2110101030 Fornecedores Nacionais de Energia (Realizado)</v>
          </cell>
        </row>
        <row r="264">
          <cell r="A264" t="str">
            <v>2110101050 Fornecedores Nacionais Funcionarios (Realizado)</v>
          </cell>
        </row>
        <row r="265">
          <cell r="A265" t="str">
            <v>2110101060 Fornecedores Nacionais Imps e Contrib (Realizado)</v>
          </cell>
        </row>
        <row r="266">
          <cell r="A266" t="str">
            <v>2110101990 Fornecedores Nacionais Outros (Realizado)</v>
          </cell>
        </row>
        <row r="267">
          <cell r="A267" t="str">
            <v>2110199010 Entrada de Mercadoria e de Fat (EM/EF) (Realizado)</v>
          </cell>
        </row>
        <row r="268">
          <cell r="A268" t="str">
            <v>2110199011 Provisao de Entrada de Mercad e de Fatura (EM/EF)</v>
          </cell>
        </row>
        <row r="269">
          <cell r="A269" t="str">
            <v>EMPRÉSTIMOS</v>
          </cell>
        </row>
        <row r="270">
          <cell r="A270" t="str">
            <v>Moeda nacional</v>
          </cell>
        </row>
        <row r="271">
          <cell r="A271" t="str">
            <v>2110502010 Emprest e Financs em Moeda Nacional CP (Realizado)</v>
          </cell>
        </row>
        <row r="272">
          <cell r="A272" t="str">
            <v>2110502020 Juros s/Empr Fin em Moeda Nacional CP (Realizado)</v>
          </cell>
        </row>
        <row r="273">
          <cell r="A273" t="str">
            <v>2110502500 Custo de Emprest e Finan Amort em MN CP (Realiz)</v>
          </cell>
        </row>
        <row r="274">
          <cell r="A274" t="str">
            <v>Moeda estrangeira</v>
          </cell>
        </row>
        <row r="275">
          <cell r="A275" t="str">
            <v>2110502600 Emprestimos e Finan em Moeda Estrang CP (Realiz)</v>
          </cell>
        </row>
        <row r="276">
          <cell r="A276" t="str">
            <v>2110502610 Jur s/Emprest e Finan Moeda Estrang CP (Realizado)</v>
          </cell>
        </row>
        <row r="277">
          <cell r="A277" t="str">
            <v>SALÁRIOS E ENCARGOS SOCIAIS</v>
          </cell>
        </row>
        <row r="278">
          <cell r="A278" t="str">
            <v>Salários, Férias e Gratificações</v>
          </cell>
        </row>
        <row r="279">
          <cell r="A279" t="str">
            <v>2111001010 Salarios a Pagar (Realizado)</v>
          </cell>
        </row>
        <row r="280">
          <cell r="A280" t="str">
            <v>2111001050 Provisao de 13º Salario (Realizado)</v>
          </cell>
        </row>
        <row r="281">
          <cell r="A281" t="str">
            <v>2111001060 Provisao de Ferias (Realizado)</v>
          </cell>
        </row>
        <row r="282">
          <cell r="A282" t="str">
            <v>2111001080 Provisao de Gratificaçoes Ferias (Realizado)</v>
          </cell>
        </row>
        <row r="283">
          <cell r="A283" t="str">
            <v>2111001090 Provisao de Gratificaçoes Diretores Estatutários</v>
          </cell>
        </row>
        <row r="284">
          <cell r="A284" t="str">
            <v>2111001100 Provisão de Gratificações  - CLT</v>
          </cell>
        </row>
        <row r="285">
          <cell r="A285" t="str">
            <v>2111001900 Provisoes Partic nos Lucros de Funcion (Realizado)</v>
          </cell>
        </row>
        <row r="286">
          <cell r="A286" t="str">
            <v>INSS</v>
          </cell>
        </row>
        <row r="287">
          <cell r="A287" t="str">
            <v>2111005010 Contrib Prev a Recolher-INSS s/Folha (Realizado)</v>
          </cell>
        </row>
        <row r="288">
          <cell r="A288" t="str">
            <v>2111005020 Contrib Prev a Recolher-INSS s/Autonomos (Realiz)</v>
          </cell>
        </row>
        <row r="289">
          <cell r="A289" t="str">
            <v>2111005030 Contrib Prev a Recolher-INSS s/Cooperativas (Real)</v>
          </cell>
        </row>
        <row r="290">
          <cell r="A290" t="str">
            <v>2111005050 Prov de Contrib Prev-INSS sobre 13º Salario (R)</v>
          </cell>
        </row>
        <row r="291">
          <cell r="A291" t="str">
            <v>2111005060 Prov de Contrib Prev-INSS sobre Ferias (Realizado)</v>
          </cell>
        </row>
        <row r="292">
          <cell r="A292" t="str">
            <v>FGTS</v>
          </cell>
        </row>
        <row r="293">
          <cell r="A293" t="str">
            <v>2111006010 Contrib Prev a Recolher-FGTS s/Folha (Realizado)</v>
          </cell>
        </row>
        <row r="294">
          <cell r="A294" t="str">
            <v>2111006050 Prov Contrib Prev-FGTS s/ 13º Salario (Realizado)</v>
          </cell>
        </row>
        <row r="295">
          <cell r="A295" t="str">
            <v>2111006060 Prov Contrib Prev-FGTS sobre Ferias (Realizado)</v>
          </cell>
        </row>
        <row r="296">
          <cell r="A296" t="str">
            <v>OUTROS IMPOSTOS E CONTRIBUIÇÕES A PAGAR</v>
          </cell>
        </row>
        <row r="297">
          <cell r="A297" t="str">
            <v>ICMS a recolher</v>
          </cell>
        </row>
        <row r="298">
          <cell r="A298" t="str">
            <v>2113005300 ICMS a Recolher (Realizado)</v>
          </cell>
        </row>
        <row r="299">
          <cell r="A299" t="str">
            <v>PIS a recolher</v>
          </cell>
        </row>
        <row r="300">
          <cell r="A300" t="str">
            <v>2113005010 PIS a Recolher (Realizado)</v>
          </cell>
        </row>
        <row r="301">
          <cell r="A301" t="str">
            <v>Cofins a recolher</v>
          </cell>
        </row>
        <row r="302">
          <cell r="A302" t="str">
            <v>2113005020 COFINS a Recolher (Realizado)</v>
          </cell>
        </row>
        <row r="303">
          <cell r="A303" t="str">
            <v>Obrigações tributárias s/ servs.de terceiros</v>
          </cell>
        </row>
        <row r="304">
          <cell r="A304" t="str">
            <v>2113001010 IR de Funcionarios (Realizado)</v>
          </cell>
        </row>
        <row r="305">
          <cell r="A305" t="str">
            <v>2113001200 Imposto Sindical de Funcionarios (Realizado)</v>
          </cell>
        </row>
        <row r="306">
          <cell r="A306" t="str">
            <v>2113001300 Imposto de Renda s/Servs de Terceiros (Realizado)</v>
          </cell>
        </row>
        <row r="307">
          <cell r="A307" t="str">
            <v>2113001310 INSS s/Serviços de Terceiros PF</v>
          </cell>
        </row>
        <row r="308">
          <cell r="A308" t="str">
            <v>2113001320 INSS s/Serviços de Terceiros PJ</v>
          </cell>
        </row>
        <row r="309">
          <cell r="A309" t="str">
            <v>2113001350 CSLL s/Serviços de Terceiros (Realizado)</v>
          </cell>
        </row>
        <row r="310">
          <cell r="A310" t="str">
            <v>2113001360 PIS s/Serviços de Terceiros (Realizado)</v>
          </cell>
        </row>
        <row r="311">
          <cell r="A311" t="str">
            <v>2113001370 COFINS s/Serviços de Terceiros (Realizado)</v>
          </cell>
        </row>
        <row r="312">
          <cell r="A312" t="str">
            <v>2113001400 ISS s/Serviços de Terceiros (Realizado)</v>
          </cell>
        </row>
        <row r="313">
          <cell r="A313" t="str">
            <v>DIVIDENDOS E JUROS S/ CAPITAL PROPRIO A PAGAR</v>
          </cell>
        </row>
        <row r="314">
          <cell r="A314" t="str">
            <v>Dividendos a pagar</v>
          </cell>
        </row>
        <row r="315">
          <cell r="A315" t="str">
            <v>2114001010 Dividendos a Pagar (Realizado)</v>
          </cell>
        </row>
        <row r="316">
          <cell r="A316" t="str">
            <v>Dividendos propostos</v>
          </cell>
        </row>
        <row r="317">
          <cell r="A317" t="str">
            <v>2114001020 Dividendos Propostos (Realizado)</v>
          </cell>
        </row>
        <row r="318">
          <cell r="A318" t="str">
            <v>DEMANDAS JUDICIAIS</v>
          </cell>
        </row>
        <row r="319">
          <cell r="A319" t="str">
            <v>Fiscais</v>
          </cell>
        </row>
        <row r="320">
          <cell r="A320" t="str">
            <v>2119001010 Prov Nat Trib s/Dep Gar CP-Imp,Taxas Contr Fed (R)</v>
          </cell>
        </row>
        <row r="321">
          <cell r="A321" t="str">
            <v>ENERGIA ELÉTRICA</v>
          </cell>
        </row>
        <row r="322">
          <cell r="A322" t="str">
            <v>Energia elétrica provisionada</v>
          </cell>
        </row>
        <row r="323">
          <cell r="A323" t="str">
            <v>2118005010 Fornec e nao Faturado-Energia Eletrica (Realizado)</v>
          </cell>
        </row>
        <row r="324">
          <cell r="A324" t="str">
            <v>OUTROS PASSIVOS CIRCULANTES</v>
          </cell>
        </row>
        <row r="325">
          <cell r="A325" t="str">
            <v>Serviços Técnicos profissionais</v>
          </cell>
        </row>
        <row r="326">
          <cell r="A326" t="str">
            <v>2119003020 Prov Nat Op Desp c/ Servs Tecn e Prof CP (Realiz)</v>
          </cell>
        </row>
        <row r="327">
          <cell r="A327" t="str">
            <v>Fretes sobre vendas</v>
          </cell>
        </row>
        <row r="328">
          <cell r="A328" t="str">
            <v>2119003010 Prov Nat Op Desp c/ Fretes s/Vendas CP (Realizado)</v>
          </cell>
        </row>
        <row r="329">
          <cell r="A329" t="str">
            <v>Desembaraço alfandegário</v>
          </cell>
        </row>
        <row r="330">
          <cell r="A330" t="str">
            <v>2118005040 Fornec e nao Faturado-Materiais de Cons (Realiz)</v>
          </cell>
        </row>
        <row r="331">
          <cell r="A331" t="str">
            <v>Obrigações de natureza fiscais</v>
          </cell>
        </row>
        <row r="332">
          <cell r="A332" t="str">
            <v>2119001030 Prov Nat Trib s/Dep Gar CP-Imp,Taxas Cont Mun (R)</v>
          </cell>
        </row>
        <row r="333">
          <cell r="A333" t="str">
            <v>Trabalhistas e previdênciárias</v>
          </cell>
        </row>
        <row r="334">
          <cell r="A334" t="str">
            <v>2119002020 Prov Ind Trab p/Desligamen Compulsório CP (Realiz)</v>
          </cell>
        </row>
        <row r="335">
          <cell r="A335" t="str">
            <v>2119002030 Prov Nat Trab s/Dep Gar CP-Previdenciaria (Realiz)</v>
          </cell>
        </row>
        <row r="336">
          <cell r="A336" t="str">
            <v>Outras obrigações e compromissos</v>
          </cell>
        </row>
        <row r="337">
          <cell r="A337" t="str">
            <v>2118005020 Fornec e nao Faturado-Agua (Realizado)</v>
          </cell>
        </row>
        <row r="338">
          <cell r="A338" t="str">
            <v>2118005090 Fornec e nao Faturado-Servs Prestados (Realizado)</v>
          </cell>
        </row>
        <row r="339">
          <cell r="A339" t="str">
            <v>2118010010 Retençoes s/Contratos de Compras (Realizado)</v>
          </cell>
        </row>
        <row r="340">
          <cell r="A340" t="str">
            <v>2118050010 Adiantamentos de Clientes (Realizado)</v>
          </cell>
        </row>
        <row r="341">
          <cell r="A341" t="str">
            <v>2119003030 Prov Nat Op Desp c/Servs de Auditoria CP (Realiz)</v>
          </cell>
        </row>
        <row r="342">
          <cell r="A342" t="str">
            <v>2119003040 Prov Nat Op Desp c/Seguros Gerais CP (Realizado)</v>
          </cell>
        </row>
        <row r="343">
          <cell r="A343" t="str">
            <v>2119003990 Prov Nat Op Outras Desp Provisionadas CP (Realiz)</v>
          </cell>
        </row>
        <row r="344">
          <cell r="A344" t="str">
            <v>NÃO CIRCULANTE</v>
          </cell>
        </row>
        <row r="345">
          <cell r="A345" t="str">
            <v>EMPRÉSTIMOS</v>
          </cell>
        </row>
        <row r="346">
          <cell r="A346" t="str">
            <v>Moeda nacional</v>
          </cell>
        </row>
        <row r="347">
          <cell r="A347" t="str">
            <v>2310502010 Emprest Finan Bancarios Moeda Nacional LP (R)</v>
          </cell>
        </row>
        <row r="348">
          <cell r="A348" t="str">
            <v>Moeda estrangeira</v>
          </cell>
        </row>
        <row r="349">
          <cell r="A349" t="str">
            <v>2310502600 Empr Financiamentos Moeda Estrangeira LP (Realiz)</v>
          </cell>
        </row>
        <row r="350">
          <cell r="A350" t="str">
            <v>IR E CONTRIBUIÇÃO SOCIAL DIFERIDOS</v>
          </cell>
        </row>
        <row r="351">
          <cell r="A351" t="str">
            <v>Ativo de imposto diferido</v>
          </cell>
        </row>
        <row r="352">
          <cell r="A352" t="str">
            <v>1111505014 Ajustes Temporarios Aliq Efetiva CSLL (Realiz)</v>
          </cell>
        </row>
        <row r="353">
          <cell r="A353" t="str">
            <v>1111506014 Ajustes Temps Aliq Efetiva IRPJ (Realiz)</v>
          </cell>
        </row>
        <row r="354">
          <cell r="A354" t="str">
            <v>1711505000 Cred Fisc CSLL-Bas de Cal Negativa LP (Real)</v>
          </cell>
        </row>
        <row r="355">
          <cell r="A355" t="str">
            <v>1711505010 Cred Fisc CSLL-Dif Temp e Bas de Cal Negtiv (Real)</v>
          </cell>
        </row>
        <row r="356">
          <cell r="A356" t="str">
            <v>1711506000 Cred Fisc IRPJL-Prejuizo Fiscal LP (Real)</v>
          </cell>
        </row>
        <row r="357">
          <cell r="A357" t="str">
            <v>1711506010 Cred Fisc IRPJ-Dif Temp e Prej Fiscais (Realizado)</v>
          </cell>
        </row>
        <row r="358">
          <cell r="A358" t="str">
            <v>Passivo de imposto diferido</v>
          </cell>
        </row>
        <row r="359">
          <cell r="A359" t="str">
            <v>2312001030 Prov p/CSLL Diferida s/Depr Fiscal LP (Realiz)</v>
          </cell>
        </row>
        <row r="360">
          <cell r="A360" t="str">
            <v>2312001040 Prov p/CSLL Diferida s/Dif Temp (Realiz)</v>
          </cell>
        </row>
        <row r="361">
          <cell r="A361" t="str">
            <v>2312002030 Prov p/IR Diferida s/Depr Fiscal LP (Realiz)</v>
          </cell>
        </row>
        <row r="362">
          <cell r="A362" t="str">
            <v>2312002040 Prov p/IR Diferida s/Dif Temp (Realiz)</v>
          </cell>
        </row>
        <row r="363">
          <cell r="A363" t="str">
            <v>OBRIGAÇÕES COM BENEFICIOS AOS EMPREGADOS</v>
          </cell>
        </row>
        <row r="364">
          <cell r="A364" t="str">
            <v>Provisão para previdência privada</v>
          </cell>
        </row>
        <row r="365">
          <cell r="A365" t="str">
            <v>2318001010 Previdencia Privada-CVM 371 LP (Realizado)</v>
          </cell>
        </row>
        <row r="366">
          <cell r="A366" t="str">
            <v>Provisão para assistência médica</v>
          </cell>
        </row>
        <row r="367">
          <cell r="A367" t="str">
            <v>2319002150 Prov Nat Trab Assist Medica Aposent LP (Realizado)</v>
          </cell>
        </row>
        <row r="368">
          <cell r="A368" t="str">
            <v>Provisão para aposentadoria compulsória</v>
          </cell>
        </row>
        <row r="369">
          <cell r="A369" t="str">
            <v>2319002100 Prov Nat Trab FGTS Aviso Prev s/Aposen Comp LP (R)</v>
          </cell>
        </row>
        <row r="370">
          <cell r="A370" t="str">
            <v>Provisão para gratificação tempo de casa</v>
          </cell>
        </row>
        <row r="371">
          <cell r="A371" t="str">
            <v>2319002200 Prov Nat Trab Gratif Tempo Serv LP-Quinq (Realiz)</v>
          </cell>
        </row>
        <row r="372">
          <cell r="A372" t="str">
            <v>DEMANDAS JUDICIAIS</v>
          </cell>
        </row>
        <row r="373">
          <cell r="A373" t="str">
            <v>Fiscais</v>
          </cell>
        </row>
        <row r="374">
          <cell r="A374" t="str">
            <v>2319001010 Prov Nat Trib s/Dep Gar LP-Imp,Taxs Cont Fed (R)</v>
          </cell>
        </row>
        <row r="375">
          <cell r="A375" t="str">
            <v>2319101010 Prov Nat Trib c/Dep Gar LP-Imp,Taxas Cont Fed (R)</v>
          </cell>
        </row>
        <row r="376">
          <cell r="A376" t="str">
            <v>2319101030 Prov Nat Trib c/Dep em Gar LP-Imps Taxs Ctrb M (R)</v>
          </cell>
        </row>
        <row r="377">
          <cell r="A377" t="str">
            <v>Trabalhistas</v>
          </cell>
        </row>
        <row r="378">
          <cell r="A378" t="str">
            <v>2319002010 Prov Nat Trab s/Dep em Gar LP-Recl Trabalh (Real)</v>
          </cell>
        </row>
        <row r="379">
          <cell r="A379" t="str">
            <v>2319102030 Prov Nat Trab c/Dep em Gar LP - Previd (Realizado)</v>
          </cell>
        </row>
        <row r="380">
          <cell r="A380" t="str">
            <v>Ambientais</v>
          </cell>
        </row>
        <row r="381">
          <cell r="A381" t="str">
            <v>2319003100 Prov Nat Op Desp Amb Trat Subsolo LP (Realiz)</v>
          </cell>
        </row>
        <row r="382">
          <cell r="A382" t="str">
            <v>Outras perdas possiveis</v>
          </cell>
        </row>
        <row r="383">
          <cell r="A383" t="str">
            <v>2319003900 Prov Nat Op Outras Desps LP (Realiz)</v>
          </cell>
        </row>
        <row r="384">
          <cell r="A384" t="str">
            <v>Depósitos judiciais</v>
          </cell>
        </row>
        <row r="385">
          <cell r="A385" t="str">
            <v>1719101010 Dep Jud c/ Reserv-Imp,Taxas e Contrib Fed (Realiz)</v>
          </cell>
        </row>
        <row r="386">
          <cell r="A386" t="str">
            <v>1719101030 Dep Jud c/Res-Imp, Taxas e Contrib Munic (Realiz)</v>
          </cell>
        </row>
        <row r="387">
          <cell r="A387" t="str">
            <v>1719102030 Dep Judiciais c/Res -Previdenciarios (Realizado)</v>
          </cell>
        </row>
        <row r="388">
          <cell r="A388" t="str">
            <v>PATRIMÔNIO LÍQUIDO</v>
          </cell>
        </row>
        <row r="389">
          <cell r="A389" t="str">
            <v>CAPITAL SOCIAL</v>
          </cell>
        </row>
        <row r="390">
          <cell r="A390" t="str">
            <v>Capital Subscrito</v>
          </cell>
        </row>
        <row r="391">
          <cell r="A391" t="str">
            <v>2710101010 Capital  Subs Domic e Resids no Pais (Realizado)</v>
          </cell>
        </row>
        <row r="392">
          <cell r="A392" t="str">
            <v>AÇÕES EM TESOURARIA</v>
          </cell>
        </row>
        <row r="393">
          <cell r="A393" t="str">
            <v>Preferenciais</v>
          </cell>
        </row>
        <row r="394">
          <cell r="A394" t="str">
            <v>2760101010 Acoes Preferenciais em Tesouraria</v>
          </cell>
        </row>
        <row r="395">
          <cell r="A395" t="str">
            <v>Ordinárias</v>
          </cell>
        </row>
        <row r="396">
          <cell r="A396" t="str">
            <v>2760101020 Acoes Ordinarias em Tesouraria</v>
          </cell>
        </row>
        <row r="397">
          <cell r="A397" t="str">
            <v>RESERVA DE CAPITAL</v>
          </cell>
        </row>
        <row r="398">
          <cell r="A398" t="str">
            <v>Reserva de capital</v>
          </cell>
        </row>
        <row r="399">
          <cell r="A399" t="str">
            <v>2740101010 Reservas de Capital (Realizado)</v>
          </cell>
        </row>
        <row r="400">
          <cell r="A400" t="str">
            <v>RESERVAS DE LUCROS</v>
          </cell>
        </row>
        <row r="401">
          <cell r="A401" t="str">
            <v>Reserva legal</v>
          </cell>
        </row>
        <row r="402">
          <cell r="A402" t="str">
            <v>2740201010 Reserva Legal (Realizado)</v>
          </cell>
        </row>
        <row r="403">
          <cell r="A403" t="str">
            <v>Reserva especial para dividendos</v>
          </cell>
        </row>
        <row r="404">
          <cell r="A404" t="str">
            <v>2740203010 Reserva Especial p/Dividendos (Realizado)</v>
          </cell>
        </row>
        <row r="405">
          <cell r="A405" t="str">
            <v>Reserva de retenção de lucros</v>
          </cell>
        </row>
        <row r="406">
          <cell r="A406" t="str">
            <v>2740202000 Reserva Est-Ret de Lucros An Anteriores (Realiz)</v>
          </cell>
        </row>
        <row r="407">
          <cell r="A407" t="str">
            <v>2740202100 Reserva Est-Ret de Lucros Exer de 2.014 (Realiz)</v>
          </cell>
        </row>
        <row r="408">
          <cell r="A408" t="str">
            <v>Reserva de lucros a realizar</v>
          </cell>
        </row>
        <row r="409">
          <cell r="A409" t="str">
            <v>2740204010 Reserva de Lucros a Realizar (Realizado)</v>
          </cell>
        </row>
        <row r="410">
          <cell r="A410" t="str">
            <v>OUTROS RESULTADOS ABRANGENTES DO PERIODO</v>
          </cell>
        </row>
        <row r="411">
          <cell r="A411" t="str">
            <v>Ajuste às normas internacionais de contab.</v>
          </cell>
        </row>
        <row r="412">
          <cell r="A412" t="str">
            <v>2750101010 Ajs as Normas Internac de Contab (Realizado)</v>
          </cell>
        </row>
        <row r="413">
          <cell r="A413" t="str">
            <v>2750102010 (-)Ajs as Normas Internac de Contab (Realizado)</v>
          </cell>
        </row>
        <row r="414">
          <cell r="A414" t="str">
            <v>LUCROS ACUMULADOS</v>
          </cell>
        </row>
        <row r="415">
          <cell r="A415" t="str">
            <v>Resultado líquido do periodo</v>
          </cell>
        </row>
        <row r="416">
          <cell r="A416" t="str">
            <v>Resultado antes dos tributos sobre o lucro</v>
          </cell>
        </row>
        <row r="417">
          <cell r="A417" t="str">
            <v>Resultado antes do resultado financeiro</v>
          </cell>
        </row>
        <row r="418">
          <cell r="A418" t="str">
            <v>Lucro bruto</v>
          </cell>
        </row>
        <row r="419">
          <cell r="A419" t="str">
            <v>Receita líquida de vendas</v>
          </cell>
        </row>
        <row r="420">
          <cell r="A420" t="str">
            <v>Receita bruta de vendas</v>
          </cell>
        </row>
        <row r="421">
          <cell r="A421" t="str">
            <v>Mercado interno</v>
          </cell>
        </row>
        <row r="422">
          <cell r="A422" t="str">
            <v>3110101030 Rec Brt-Vendas de Produtos no MI (Realizado)</v>
          </cell>
        </row>
        <row r="423">
          <cell r="A423" t="str">
            <v>3110105030 Rec Brt-Rev de Mercs Nacionais no MI (Realizado)</v>
          </cell>
        </row>
        <row r="424">
          <cell r="A424" t="str">
            <v>3110106030 Rec Brt-Rev de Mercs Importadas MI ( Realizado)</v>
          </cell>
        </row>
        <row r="425">
          <cell r="A425" t="str">
            <v>3110108030 Rec Brt-Rev de Mercs Diversas no MI (Realizado)</v>
          </cell>
        </row>
        <row r="426">
          <cell r="A426" t="str">
            <v>3110301030 (-)Vendas Canc e Dev de Prod no MI (Realizado)</v>
          </cell>
        </row>
        <row r="427">
          <cell r="A427" t="str">
            <v>Mercado externo</v>
          </cell>
        </row>
        <row r="428">
          <cell r="A428" t="str">
            <v>3110101010 Rec Brt-Export Direta de Produtos FP (Realizado)</v>
          </cell>
        </row>
        <row r="429">
          <cell r="A429" t="str">
            <v>3110305010 (-)Rev Canc e Dev de Merc Nac no ME (Realizado)</v>
          </cell>
        </row>
        <row r="430">
          <cell r="A430" t="str">
            <v>Impostos incidentes s/ vendas e abatimentos</v>
          </cell>
        </row>
        <row r="431">
          <cell r="A431" t="str">
            <v>3110401030 (-)Desc Incond s/Vend de Prod FP no MI (Realizado)</v>
          </cell>
        </row>
        <row r="432">
          <cell r="A432" t="str">
            <v>3110405030 (-)Desc Incond s/Rev Merc Nacional no MI (Realiz)</v>
          </cell>
        </row>
        <row r="433">
          <cell r="A433" t="str">
            <v>3110408030 (-)Desc Incond s/Rev Merc Diversas no MI (Realiz)</v>
          </cell>
        </row>
        <row r="434">
          <cell r="A434" t="str">
            <v>3110501030 (-)ICMS s/Vendas de Produtos FP no MI (Realiz)</v>
          </cell>
        </row>
        <row r="435">
          <cell r="A435" t="str">
            <v>3110505030 (-)ICMS s/Rev de Mercs Nacionais no MI (Realiz)</v>
          </cell>
        </row>
        <row r="436">
          <cell r="A436" t="str">
            <v>3110506030 (-)ICMS s/Rev de Merc Imports no MI (Realiz)</v>
          </cell>
        </row>
        <row r="437">
          <cell r="A437" t="str">
            <v>3110508030 (-)ICMS s/Rev Mercadorias Divs no MI (Realizado)</v>
          </cell>
        </row>
        <row r="438">
          <cell r="A438" t="str">
            <v>3110590900 (-)ICMS s/Remessas Mercadorias Div no MI (Realiz)</v>
          </cell>
        </row>
        <row r="439">
          <cell r="A439" t="str">
            <v>3110601030 (-)Cofins s/Venda Produtos FP no MI (R)</v>
          </cell>
        </row>
        <row r="440">
          <cell r="A440" t="str">
            <v>3110605030 (-)Cofins s/Revenda Merc Nacionais no MI (Realiz)</v>
          </cell>
        </row>
        <row r="441">
          <cell r="A441" t="str">
            <v>3110606030 (-)Cofins s/Revenda Merc Importadas no MI (Realiz)</v>
          </cell>
        </row>
        <row r="442">
          <cell r="A442" t="str">
            <v>3110608030 (-)Cofins s/Revenda Mercad Divs no MI (Realiz)</v>
          </cell>
        </row>
        <row r="443">
          <cell r="A443" t="str">
            <v>3110701030 (-)PIS/Pasep s/Vendas Produtos FP no MI (Realiz)</v>
          </cell>
        </row>
        <row r="444">
          <cell r="A444" t="str">
            <v>3110705030 (-)PIS/Pasep s/Rev Merc Nacionais no MI (Realiz)</v>
          </cell>
        </row>
        <row r="445">
          <cell r="A445" t="str">
            <v>3110706030 (-)PIS/Pasep s/Rev Merc Importadas no MI (Realiz)</v>
          </cell>
        </row>
        <row r="446">
          <cell r="A446" t="str">
            <v>3110708030 (-)PIS/Pasep s/Revenda Merc Divs no MI (Realiz)</v>
          </cell>
        </row>
        <row r="447">
          <cell r="A447" t="str">
            <v>Custo dos bens e serviços vendidos</v>
          </cell>
        </row>
        <row r="448">
          <cell r="A448" t="str">
            <v>Variações nos estoques de Materiais</v>
          </cell>
        </row>
        <row r="449">
          <cell r="A449" t="str">
            <v>3130101010 Custo de Exportaçao Direta de Produtos (Realiz)</v>
          </cell>
        </row>
        <row r="450">
          <cell r="A450" t="str">
            <v>3130101012 Rev Prov p/ Desv de Exportaçao Direta de Produtos</v>
          </cell>
        </row>
        <row r="451">
          <cell r="A451" t="str">
            <v>3130101015 Prov p/Desv de Exportaçao Direta de Produtos</v>
          </cell>
        </row>
        <row r="452">
          <cell r="A452" t="str">
            <v>3130101030 Custo das Vendas de Produtos MI (Realizado)</v>
          </cell>
        </row>
        <row r="453">
          <cell r="A453" t="str">
            <v>3130101031 Custo Vendas de Produtos MI - AJ</v>
          </cell>
        </row>
        <row r="454">
          <cell r="A454" t="str">
            <v>3130101039 Custo das Vendas de Produtos MI Serv (Realizado)</v>
          </cell>
        </row>
        <row r="455">
          <cell r="A455" t="str">
            <v>3130105030 Custo das Revendas de Mercadorias no MI (Realiz)</v>
          </cell>
        </row>
        <row r="456">
          <cell r="A456" t="str">
            <v>3130105031 Custo Revendas de Produtos MI - AJ</v>
          </cell>
        </row>
        <row r="457">
          <cell r="A457" t="str">
            <v>3130106030 Custo da Revenda de Merc Importadas no MI (Realiz)</v>
          </cell>
        </row>
        <row r="458">
          <cell r="A458" t="str">
            <v>3130130030 Custo das Vendas de Serviços no MI (Realizado)</v>
          </cell>
        </row>
        <row r="459">
          <cell r="A459" t="str">
            <v>5110101010 Estoq Consumido Prod-Materia Prima SAL (Realizado)</v>
          </cell>
        </row>
        <row r="460">
          <cell r="A460" t="str">
            <v>5110101011 Estoq Consumido Prod-Materia Prima SAL (Aj Real)</v>
          </cell>
        </row>
        <row r="461">
          <cell r="A461" t="str">
            <v>5110101020 Estoq Consumido Prod-MP-Etileno (Realizado)</v>
          </cell>
        </row>
        <row r="462">
          <cell r="A462" t="str">
            <v>5110101021 Estoq Consumido Prod-MP-Etileno (Aj Real)</v>
          </cell>
        </row>
        <row r="463">
          <cell r="A463" t="str">
            <v>5110101300 Estoq Consumido Prod-Mat Aux Gas Natural (Realiz)</v>
          </cell>
        </row>
        <row r="464">
          <cell r="A464" t="str">
            <v>5110101301 Estoq Consumido Prod-Mat Aux Gas Natural (Aj Real)</v>
          </cell>
        </row>
        <row r="465">
          <cell r="A465" t="str">
            <v>5110101310 Estoq Consumido Prod-M Aux Vapor Petroc (Realiz)</v>
          </cell>
        </row>
        <row r="466">
          <cell r="A466" t="str">
            <v>5110101311 Estoq Consumido Prod-M Aux Vapor Petroc (Aj Real)</v>
          </cell>
        </row>
        <row r="467">
          <cell r="A467" t="str">
            <v>5110101490 Estoq Consumido Prod-M Aux Demais (Realizado)</v>
          </cell>
        </row>
        <row r="468">
          <cell r="A468" t="str">
            <v>5110101491 Estoq Consumido Prod-M Aux Demais (Aj Real)</v>
          </cell>
        </row>
        <row r="469">
          <cell r="A469" t="str">
            <v>5110101500 Estoq Consumido Prod-Embalagens (Realizado)</v>
          </cell>
        </row>
        <row r="470">
          <cell r="A470" t="str">
            <v>5110101501 Estoq Consumido Prod-Embalagens (Aj Real)</v>
          </cell>
        </row>
        <row r="471">
          <cell r="A471" t="str">
            <v>5110102010 Cons.Insumo-Revestimentos de Anodos (Realizado)</v>
          </cell>
        </row>
        <row r="472">
          <cell r="A472" t="str">
            <v>5110503100 Aj Preço-Var Preço Dif Cambio Ent Mat-Rev Imp(KDM)</v>
          </cell>
        </row>
        <row r="473">
          <cell r="A473" t="str">
            <v>5110504070 Aj Preço-Var Preço Dif C Mud Nivel-Semi Acab (KDV)</v>
          </cell>
        </row>
        <row r="474">
          <cell r="A474" t="str">
            <v>5110505010 Aj Preço-Dif Preço Nivel Único-Sal (PRD)</v>
          </cell>
        </row>
        <row r="475">
          <cell r="A475" t="str">
            <v>5110505020 Aj Preço-Dif Preço Nivel Único-Etileno (PRD)</v>
          </cell>
        </row>
        <row r="476">
          <cell r="A476" t="str">
            <v>5110505030 Aj Preço-Dif Preço Nivel Único-Gás Natural (PRD)</v>
          </cell>
        </row>
        <row r="477">
          <cell r="A477" t="str">
            <v>5110505040 Aj Preço-Dif Preço Nivel Único-Vapor (PRD)</v>
          </cell>
        </row>
        <row r="478">
          <cell r="A478" t="str">
            <v>5110505050 Aj Preço-Dif Preço Nivel Único-Mat Auxiliares(PRD)</v>
          </cell>
        </row>
        <row r="479">
          <cell r="A479" t="str">
            <v>5110505060 Aj Preço-Dif Preço Nivel Único-Embalagens (PRD)</v>
          </cell>
        </row>
        <row r="480">
          <cell r="A480" t="str">
            <v>5110505070 Aj Preço-Dif Preço Nivel Único-Semi Acabados (PRD)</v>
          </cell>
        </row>
        <row r="481">
          <cell r="A481" t="str">
            <v>5110505080 Aj Preço-Dif Preço Nivel Único-Acabados (PRD)</v>
          </cell>
        </row>
        <row r="482">
          <cell r="A482" t="str">
            <v>5110505090 Aj Preço-Dif Preço Nivel Único-Revenda (PRD)</v>
          </cell>
        </row>
        <row r="483">
          <cell r="A483" t="str">
            <v>5110505100 Aj Preço-Dif Preço Nivel Único-Revenda Imp (PRD)</v>
          </cell>
        </row>
        <row r="484">
          <cell r="A484" t="str">
            <v>5110506070 Aj Preço-Dif Preço Multinivel-Semi Acabado (PRV)</v>
          </cell>
        </row>
        <row r="485">
          <cell r="A485" t="str">
            <v>5110507010 Aj Preço-Dif Preço Fechamento ML-Sal (PRY)</v>
          </cell>
        </row>
        <row r="486">
          <cell r="A486" t="str">
            <v>5110507020 Aj Preço-Dif Preço Fechamento ML-Etileno (PRY)</v>
          </cell>
        </row>
        <row r="487">
          <cell r="A487" t="str">
            <v>5110507030 Aj Preço-Dif Preço Fechamento ML-Gas Natural (PRY)</v>
          </cell>
        </row>
        <row r="488">
          <cell r="A488" t="str">
            <v>5110507040 Aj Preço-Dif Preço Fechamento ML-Vapor (PRY)</v>
          </cell>
        </row>
        <row r="489">
          <cell r="A489" t="str">
            <v>5110507050 Aj Preço-Dif Preço Fechamento ML-Mat Auxiliar(PRY)</v>
          </cell>
        </row>
        <row r="490">
          <cell r="A490" t="str">
            <v>5110507060 Aj Preço-Dif Preço Fechamento ML-Embalagens (PRY)</v>
          </cell>
        </row>
        <row r="491">
          <cell r="A491" t="str">
            <v>5110507070 Aj Preço-Dif Preço Fechamento ML-Semi Acabad (PRY)</v>
          </cell>
        </row>
        <row r="492">
          <cell r="A492" t="str">
            <v>5110507080 Aj Preço-Dif Preço Fechamento ML-Acabados (PRY)</v>
          </cell>
        </row>
        <row r="493">
          <cell r="A493" t="str">
            <v>5110507090 Aj Preço-Dif Preço Fechamento ML-Revenda (PRY)</v>
          </cell>
        </row>
        <row r="494">
          <cell r="A494" t="str">
            <v>5110599010 Ajustes do Grupo Material Ledger - Realizado</v>
          </cell>
        </row>
        <row r="495">
          <cell r="A495" t="str">
            <v>5110608010 Proj Inv.Est.Pesq-Mat Cons-Imobilizado (Realizado)</v>
          </cell>
        </row>
        <row r="496">
          <cell r="A496" t="str">
            <v>5110620010 Proj Inv.Est.Pesq-S.Prest Terc-Imobiliz PJ(Realiz)</v>
          </cell>
        </row>
        <row r="497">
          <cell r="A497" t="str">
            <v>5110620020 Proj Inv.Est.Pesq-S.Prest Terc-Estudo PJ (Realiz)</v>
          </cell>
        </row>
        <row r="498">
          <cell r="A498" t="str">
            <v>5110635010 Proj Inv.Est.Pesq-Encarg Financ-Imobiliz (Realiz)</v>
          </cell>
        </row>
        <row r="499">
          <cell r="A499" t="str">
            <v>5110690050 (-)Proj Inv.Est.Pesq-Imp Aq-ICMS s/Aquis Imob (R)</v>
          </cell>
        </row>
        <row r="500">
          <cell r="A500" t="str">
            <v>5110690060 (-)Proj Inv.Est.Pesq-Imp Aq-COFINS Aquis Imob (R)</v>
          </cell>
        </row>
        <row r="501">
          <cell r="A501" t="str">
            <v>5110690070 (-)Proj Inv.Est.Pesq-Imp Aquis-PIS Aquis Imob (R)</v>
          </cell>
        </row>
        <row r="502">
          <cell r="A502" t="str">
            <v>5110699010 Proj Inv.Est.Pesq-Transf p/Imob em Andamento (R)</v>
          </cell>
        </row>
        <row r="503">
          <cell r="A503" t="str">
            <v>5110699020 Proj Inv.Est.Pesq-Transf p/Estudos/Pesq (Realiz)</v>
          </cell>
        </row>
        <row r="504">
          <cell r="A504" t="str">
            <v>5120101010 Cst P.Fab Próp Transf p/S.Acabado(F.Fab)-(Aj.Real)</v>
          </cell>
        </row>
        <row r="505">
          <cell r="A505" t="str">
            <v>5120101011 Cst P.Fab Próp Transf p/S.Acab(AjOrdProd)-(Planej)</v>
          </cell>
        </row>
        <row r="506">
          <cell r="A506" t="str">
            <v>5120101012 Cst P.Fab Próp Transf p/S.Acab(Zerar Centro Cst)</v>
          </cell>
        </row>
        <row r="507">
          <cell r="A507" t="str">
            <v>5120101013 Cst P.Fab Próp Consumo S.Acab (Realizado)</v>
          </cell>
        </row>
        <row r="508">
          <cell r="A508" t="str">
            <v>5120101020 Cst P.Fab Próp Transf p/P.Acabado(F.Fab)-(Aj.Real)</v>
          </cell>
        </row>
        <row r="509">
          <cell r="A509" t="str">
            <v>5120101021 Cst P.Fab Próp Transf p/P.Acabado(F.Fab)-(Planej)</v>
          </cell>
        </row>
        <row r="510">
          <cell r="A510" t="str">
            <v>5120101022 Cst P.Fab Próp Transf p/P.Acabado(Zerar CentroCst)</v>
          </cell>
        </row>
        <row r="511">
          <cell r="A511" t="str">
            <v>5120101030 Cst P.Fab Próp Transf p/P.Acabado(Aj Cons Real)</v>
          </cell>
        </row>
        <row r="512">
          <cell r="A512" t="str">
            <v>Energia Elétrica</v>
          </cell>
        </row>
        <row r="513">
          <cell r="A513" t="str">
            <v>5110105010 Cons Insumo E Eletrica Cons Energia Eletrica (R)</v>
          </cell>
        </row>
        <row r="514">
          <cell r="A514" t="str">
            <v>Despesas com salários e benefícios a empregad</v>
          </cell>
        </row>
        <row r="515">
          <cell r="A515" t="str">
            <v>5111001030 FLPG-Ordena.Sal.Outras Remune Empreg(R)</v>
          </cell>
        </row>
        <row r="516">
          <cell r="A516" t="str">
            <v>5111001040 FLPG-13º Salario (Realizado)</v>
          </cell>
        </row>
        <row r="517">
          <cell r="A517" t="str">
            <v>5111001041 FLPG-Provisao de 13º Salario</v>
          </cell>
        </row>
        <row r="518">
          <cell r="A518" t="str">
            <v>5111001042 FLPG-Reversao da Provisao de 13º Salario</v>
          </cell>
        </row>
        <row r="519">
          <cell r="A519" t="str">
            <v>5111001050 FLPG-Ferias (Realizado)</v>
          </cell>
        </row>
        <row r="520">
          <cell r="A520" t="str">
            <v>5111001051 FLPG-Provisao de Ferias</v>
          </cell>
        </row>
        <row r="521">
          <cell r="A521" t="str">
            <v>5111001052 FLPG-Reversao da Provisao de Ferias</v>
          </cell>
        </row>
        <row r="522">
          <cell r="A522" t="str">
            <v>5111001080 FLPG-Gratificaçoes de Ferias(Realizado)</v>
          </cell>
        </row>
        <row r="523">
          <cell r="A523" t="str">
            <v>5111001081 FLPG-Provisao de Gratificaçoes de Ferias</v>
          </cell>
        </row>
        <row r="524">
          <cell r="A524" t="str">
            <v>5111001082 FLPG-Rever Provi Gratificaçoes de Ferias</v>
          </cell>
        </row>
        <row r="525">
          <cell r="A525" t="str">
            <v>5111001090 FLPG-Gratificaçoes (Realizado)</v>
          </cell>
        </row>
        <row r="526">
          <cell r="A526" t="str">
            <v>5111001091 FLPG-Provisao de Gratificaçoes</v>
          </cell>
        </row>
        <row r="527">
          <cell r="A527" t="str">
            <v>5111001092 FLPG-Rever da Provisao de Gratificaçoes</v>
          </cell>
        </row>
        <row r="528">
          <cell r="A528" t="str">
            <v>5111001100 FLPG-Gratificaçoes Quinquenios (Realizado)</v>
          </cell>
        </row>
        <row r="529">
          <cell r="A529" t="str">
            <v>5111001101 FLPG-Prov Gratificaçoes Quinquenios</v>
          </cell>
        </row>
        <row r="530">
          <cell r="A530" t="str">
            <v>5111001102 FLPG-Rever Prov Gratificaçoes Quinquenios</v>
          </cell>
        </row>
        <row r="531">
          <cell r="A531" t="str">
            <v>5111001120 FLPG-Aviso Previo (Realizado)</v>
          </cell>
        </row>
        <row r="532">
          <cell r="A532" t="str">
            <v>5111001122 FLPG-Reversao da Provisao de Aviso Previo</v>
          </cell>
        </row>
        <row r="533">
          <cell r="A533" t="str">
            <v>5111001130 FLPG-Indenizaçoes (Realizado)</v>
          </cell>
        </row>
        <row r="534">
          <cell r="A534" t="str">
            <v>5111001240 FLPG-Auxilio Doença (Realizado)</v>
          </cell>
        </row>
        <row r="535">
          <cell r="A535" t="str">
            <v>5111001250 FLPG-Auxilio Ensino (Realizado)</v>
          </cell>
        </row>
        <row r="536">
          <cell r="A536" t="str">
            <v>5111001300 FLPG-Bolsa Estudos de Estagiarios (Realizado)</v>
          </cell>
        </row>
        <row r="537">
          <cell r="A537" t="str">
            <v>5111001990 Rateio da Mão de Obra da Manutenção</v>
          </cell>
        </row>
        <row r="538">
          <cell r="A538" t="str">
            <v>5111002010 FGTS-Folha de Pagamento (Realizado)</v>
          </cell>
        </row>
        <row r="539">
          <cell r="A539" t="str">
            <v>5111002020 FGTS-Ferias (Realizado)</v>
          </cell>
        </row>
        <row r="540">
          <cell r="A540" t="str">
            <v>5111002021 FGTS-Provisao de FGTS s/Ferias</v>
          </cell>
        </row>
        <row r="541">
          <cell r="A541" t="str">
            <v>5111002022 FGTS-Reversao da Provisao de FGTS s/Ferias</v>
          </cell>
        </row>
        <row r="542">
          <cell r="A542" t="str">
            <v>5111002030 FGTS-13º Salario (Realizado)</v>
          </cell>
        </row>
        <row r="543">
          <cell r="A543" t="str">
            <v>5111002031 FGTS-Provisao de FGTS S/13º Salario</v>
          </cell>
        </row>
        <row r="544">
          <cell r="A544" t="str">
            <v>5111002032 FGTS-Reversao da Provisao FGTS S/13º Salario</v>
          </cell>
        </row>
        <row r="545">
          <cell r="A545" t="str">
            <v>5111002040 FGTS-Desligamento de Funcionarios (Realizado)</v>
          </cell>
        </row>
        <row r="546">
          <cell r="A546" t="str">
            <v>5111002041 FGTS-Provisao FGTS s/Desligamento Funcionario</v>
          </cell>
        </row>
        <row r="547">
          <cell r="A547" t="str">
            <v>5111002042 FGTS-Rever Prov FGTS s/Desligamento Funcionario</v>
          </cell>
        </row>
        <row r="548">
          <cell r="A548" t="str">
            <v>5111002051 FGTS-Provisao FGTS s/Gratificações</v>
          </cell>
        </row>
        <row r="549">
          <cell r="A549" t="str">
            <v>5111003010 INSS-Folha de Pagamento (Realizado)</v>
          </cell>
        </row>
        <row r="550">
          <cell r="A550" t="str">
            <v>5111003021 INSS-Provisao de INSS s/Ferias</v>
          </cell>
        </row>
        <row r="551">
          <cell r="A551" t="str">
            <v>5111003022 INSS-Reversao da Provisao de INSS s/Ferias</v>
          </cell>
        </row>
        <row r="552">
          <cell r="A552" t="str">
            <v>5111003031 INSS-Provisao de INSS s/13º Salario</v>
          </cell>
        </row>
        <row r="553">
          <cell r="A553" t="str">
            <v>5111003032 INSS-Reversao Provisao de INSS s/13º Salario</v>
          </cell>
        </row>
        <row r="554">
          <cell r="A554" t="str">
            <v>5111003051 Provisao de INSS s/Gratificações</v>
          </cell>
        </row>
        <row r="555">
          <cell r="A555" t="str">
            <v>5111503040 Desp Medicas Hospitalares (Realizado)</v>
          </cell>
        </row>
        <row r="556">
          <cell r="A556" t="str">
            <v>5111504050 Desenv Prof-Transportes em Cursos (Realizado)</v>
          </cell>
        </row>
        <row r="557">
          <cell r="A557" t="str">
            <v>5111504060 Desenv Prof-Refeiçoes em Cursos (Realizado)</v>
          </cell>
        </row>
        <row r="558">
          <cell r="A558" t="str">
            <v>5111504070 Desenv Prof-Aprendiz de Menores em Cursos (Realiz)</v>
          </cell>
        </row>
        <row r="559">
          <cell r="A559" t="str">
            <v>5111505010 Desp Soc-Contrib Associaçao Desportiva (Realizado)</v>
          </cell>
        </row>
        <row r="560">
          <cell r="A560" t="str">
            <v>5111505020 Desp Soc-Comemoraçoes e Eventos (Realizado)</v>
          </cell>
        </row>
        <row r="561">
          <cell r="A561" t="str">
            <v>5111505040 Desp Soc-Vestuario (Realizado)</v>
          </cell>
        </row>
        <row r="562">
          <cell r="A562" t="str">
            <v>5111505050 Desp Soc-Comunicaçao Interna (Realizado)</v>
          </cell>
        </row>
        <row r="563">
          <cell r="A563" t="str">
            <v>5111506020 Despesa Vale Transporte (Realizado)</v>
          </cell>
        </row>
        <row r="564">
          <cell r="A564" t="str">
            <v>5111506030 Despesa Taxi e Conduçoes (Realizado)</v>
          </cell>
        </row>
        <row r="565">
          <cell r="A565" t="str">
            <v>5111506040 Despesa Aluguel de Veiculos (Realizado)</v>
          </cell>
        </row>
        <row r="566">
          <cell r="A566" t="str">
            <v>5111507010 Despesa Refeiçoes Prontas (Realizado)</v>
          </cell>
        </row>
        <row r="567">
          <cell r="A567" t="str">
            <v>5111507030 Despesa Refeiçoes-Visita e Outras (Realizado)</v>
          </cell>
        </row>
        <row r="568">
          <cell r="A568" t="str">
            <v>5111507040 Despesa Refeiçoes-Lanches Externos (Realizado)</v>
          </cell>
        </row>
        <row r="569">
          <cell r="A569" t="str">
            <v>Encargos de depreciação e amortização</v>
          </cell>
        </row>
        <row r="570">
          <cell r="A570" t="str">
            <v>5119001010 Encarg de Deprec e Amort-Depreciaçao (Realizado)</v>
          </cell>
        </row>
        <row r="571">
          <cell r="A571" t="str">
            <v>5119001011 Encarg de Depreciaçao Mais Valia (Realizado)</v>
          </cell>
        </row>
        <row r="572">
          <cell r="A572" t="str">
            <v>5119001012 Encarg de Depreciaçao Mais Valia CN (Realizado)</v>
          </cell>
        </row>
        <row r="573">
          <cell r="A573" t="str">
            <v>5119001014 Encarg de Depreciaçao AVP (Realizado)</v>
          </cell>
        </row>
        <row r="574">
          <cell r="A574" t="str">
            <v>5119001050 Encarg de Deprec e Amort-Amortizaçao (Realizado)</v>
          </cell>
        </row>
        <row r="575">
          <cell r="A575" t="str">
            <v>5119001054 Amortizaçao AVP (Realizado)</v>
          </cell>
        </row>
        <row r="576">
          <cell r="A576" t="str">
            <v>Serviços de terceiros</v>
          </cell>
        </row>
        <row r="577">
          <cell r="A577" t="str">
            <v>5112002010 Serviços Prestados Auditoria  p/PJ (Realizado)</v>
          </cell>
        </row>
        <row r="578">
          <cell r="A578" t="str">
            <v>5112003010 Serviços Prestados Consultoria p/PJ (Realizado)</v>
          </cell>
        </row>
        <row r="579">
          <cell r="A579" t="str">
            <v>5112003040 Serv Prest Consultoria p/PF s/Vinc Empr (Realiz)</v>
          </cell>
        </row>
        <row r="580">
          <cell r="A580" t="str">
            <v>5112008010 Serv Prest Propaganda e Publicidade p/PJ (Realiz)</v>
          </cell>
        </row>
        <row r="581">
          <cell r="A581" t="str">
            <v>5112009010 Serv Prest Atualiz/Suporte Tecnico p/PJ (Realiz)</v>
          </cell>
        </row>
        <row r="582">
          <cell r="A582" t="str">
            <v>5112010010 Serviços Prestados Temporario p/PJ (Realizado)</v>
          </cell>
        </row>
        <row r="583">
          <cell r="A583" t="str">
            <v>5112011010 Serviços Prestados Limpeza p/ PJ (Realizado)</v>
          </cell>
        </row>
        <row r="584">
          <cell r="A584" t="str">
            <v>5112012010 Serviços Prestados Vigilancia PJ (Realiz)</v>
          </cell>
        </row>
        <row r="585">
          <cell r="A585" t="str">
            <v>5112013010 Serviços Prestados Jardinagem p/PJ (Realizado)</v>
          </cell>
        </row>
        <row r="586">
          <cell r="A586" t="str">
            <v>5112014010 Serv Prest Estacionamento de Caminhoes PJ (Realiz)</v>
          </cell>
        </row>
        <row r="587">
          <cell r="A587" t="str">
            <v>5112015010 Serv Prest Fretes Carretos s/Compras p/PJ (Realiz)</v>
          </cell>
        </row>
        <row r="588">
          <cell r="A588" t="str">
            <v>5112016010 Serviços Prestados Construçao Civil p/PJ (Realiz)</v>
          </cell>
        </row>
        <row r="589">
          <cell r="A589" t="str">
            <v>5112017010 Serviços Prestados Engenharia p/PJ (Realiz)</v>
          </cell>
        </row>
        <row r="590">
          <cell r="A590" t="str">
            <v>5112018010 Serv Prest Reparos Assist Tecnica p/PJ (Realiz)</v>
          </cell>
        </row>
        <row r="591">
          <cell r="A591" t="str">
            <v>5112019010 Serv Prest Tratamento de Residuos p/PJ (Realiz)</v>
          </cell>
        </row>
        <row r="592">
          <cell r="A592" t="str">
            <v>5112099010 Prest Serv Tecnicos Profissionais p/PJ (Realiz)</v>
          </cell>
        </row>
        <row r="593">
          <cell r="A593" t="str">
            <v>5112150010 Serv Prest Manutençao Civil p/PJ (Realizado)</v>
          </cell>
        </row>
        <row r="594">
          <cell r="A594" t="str">
            <v>5112151010 Serv Prest Manutençao Eletricos p/PJ (Realiz)</v>
          </cell>
        </row>
        <row r="595">
          <cell r="A595" t="str">
            <v>5112152010 Serv Prest Manutençao Mecânicos p/PJ (Realizado)</v>
          </cell>
        </row>
        <row r="596">
          <cell r="A596" t="str">
            <v>5112153010 Serv Prest Manutençao Inspeçao PJ (Realizado)</v>
          </cell>
        </row>
        <row r="597">
          <cell r="A597" t="str">
            <v>5112154010 Serv Prest Manutençao Cald/Tubul PJ (Realzado)</v>
          </cell>
        </row>
        <row r="598">
          <cell r="A598" t="str">
            <v>5112155010 Serv Prest Manut Instrumentaçao PJ (Realizado)</v>
          </cell>
        </row>
        <row r="599">
          <cell r="A599" t="str">
            <v>5112170010 Serv Prest Manutenaçao Cel HG-PJ (Realizado)</v>
          </cell>
        </row>
        <row r="600">
          <cell r="A600" t="str">
            <v>5112175010 Serv Prest Manutençao Cel Diafrag p/PJ (Realiz)</v>
          </cell>
        </row>
        <row r="601">
          <cell r="A601" t="str">
            <v>5112180010 Serv Prest Manutençao Cel Memb PJ (Realizado)</v>
          </cell>
        </row>
        <row r="602">
          <cell r="A602" t="str">
            <v>5112199010 Serv Prest Manutençao Apoio-PJ (Realizado)</v>
          </cell>
        </row>
        <row r="603">
          <cell r="A603" t="str">
            <v>5112199310 Serv Prest Manutençao Fretes Carret-PJ (Realizado)</v>
          </cell>
        </row>
        <row r="604">
          <cell r="A604" t="str">
            <v>5112199410 Serv Prest Manutençao Pintura-PJ (Realizado)</v>
          </cell>
        </row>
        <row r="605">
          <cell r="A605" t="str">
            <v>5112199510 Serv Prest Manutençao Revestimentos-PJ (Realizado)</v>
          </cell>
        </row>
        <row r="606">
          <cell r="A606" t="str">
            <v>5112199610 Serv Prest Manutençao Isolamentos-PJ (Realizado)</v>
          </cell>
        </row>
        <row r="607">
          <cell r="A607" t="str">
            <v>Outras</v>
          </cell>
        </row>
        <row r="608">
          <cell r="A608" t="str">
            <v>5110801010 Mat Cons Oper-Combustiveis e Lubrificantes(Realiz)</v>
          </cell>
        </row>
        <row r="609">
          <cell r="A609" t="str">
            <v>5110801020 Mat Cons-Oper-Mat Processo Produtivo (Realiz)</v>
          </cell>
        </row>
        <row r="610">
          <cell r="A610" t="str">
            <v>5110801030 Mat Cons-Oper-Mat Tratamento Residuos (Realiz)</v>
          </cell>
        </row>
        <row r="611">
          <cell r="A611" t="str">
            <v>5110801040 Mat Cons-Oper-Mat Análises Quimicas (Realizado)</v>
          </cell>
        </row>
        <row r="612">
          <cell r="A612" t="str">
            <v>5110801060 Mat Cons-Oper-Ferramentas (Realizado)</v>
          </cell>
        </row>
        <row r="613">
          <cell r="A613" t="str">
            <v>5110801070 Mat Cons-Oper-Mat Reparo e Manutençao (Realizado)</v>
          </cell>
        </row>
        <row r="614">
          <cell r="A614" t="str">
            <v>5110801080 Mat Cons-Oper-Mat Conserv Ecológica (Realizado)</v>
          </cell>
        </row>
        <row r="615">
          <cell r="A615" t="str">
            <v>5110801090 Mat Cons-Oper-Mat Limpeza (Realizado)</v>
          </cell>
        </row>
        <row r="616">
          <cell r="A616" t="str">
            <v>5110801100 Mat Cons-Oper-Mat Segurança (Realizado)</v>
          </cell>
        </row>
        <row r="617">
          <cell r="A617" t="str">
            <v>5110801110 Mat Cons-Oper-Consumo de Água (Realizado)</v>
          </cell>
        </row>
        <row r="618">
          <cell r="A618" t="str">
            <v>5110801130 Mat Cons-Oper-Mat Escritório (Realizado)</v>
          </cell>
        </row>
        <row r="619">
          <cell r="A619" t="str">
            <v>5110801140 Mat Cons-Oper-Mat Imobilizado (Realizado)</v>
          </cell>
        </row>
        <row r="620">
          <cell r="A620" t="str">
            <v>5110802010 Mat Cons-Manutençao-Manut Civil (Realizado)</v>
          </cell>
        </row>
        <row r="621">
          <cell r="A621" t="str">
            <v>5110802020 Mat Cons-Manutençao-Eletrica (Realizado)</v>
          </cell>
        </row>
        <row r="622">
          <cell r="A622" t="str">
            <v>5110802030 Mat Cons-Manutençao-Mecânica (Realizado)</v>
          </cell>
        </row>
        <row r="623">
          <cell r="A623" t="str">
            <v>5110802040 Mat Cons-Manutençao-Manut Inspeçao (Realizado)</v>
          </cell>
        </row>
        <row r="624">
          <cell r="A624" t="str">
            <v>5110802050 Mat Cons-Manutençao-Calderaria/Tubul (Realizado)</v>
          </cell>
        </row>
        <row r="625">
          <cell r="A625" t="str">
            <v>5110802060 Mat Cons-Manutençao-Instrumentaçao (Realizado)</v>
          </cell>
        </row>
        <row r="626">
          <cell r="A626" t="str">
            <v>5110802070 Mat Cons-Manutençao-Celula HG (Realizado)</v>
          </cell>
        </row>
        <row r="627">
          <cell r="A627" t="str">
            <v>5110802080 Mat Cons-Manutençao-Celula Diafragma (Realizado)</v>
          </cell>
        </row>
        <row r="628">
          <cell r="A628" t="str">
            <v>5110802090 Mat Cons-Manutençao-Celula Membrana (Realizado)</v>
          </cell>
        </row>
        <row r="629">
          <cell r="A629" t="str">
            <v>5110802990 Mat Cons-Manutençao-Geral (Realizado)</v>
          </cell>
        </row>
        <row r="630">
          <cell r="A630" t="str">
            <v>5111902010 Despesa Viagens Nacionais (Realizado)</v>
          </cell>
        </row>
        <row r="631">
          <cell r="A631" t="str">
            <v>5111902020 Despesas Viagens Internacionais (Realizado)</v>
          </cell>
        </row>
        <row r="632">
          <cell r="A632" t="str">
            <v>5113501020 Desp Correspondencia-Postais (Realizado)</v>
          </cell>
        </row>
        <row r="633">
          <cell r="A633" t="str">
            <v>5114001030 DLF-Desp Autenticidade Reconhecde Firmas (Realiz)</v>
          </cell>
        </row>
        <row r="634">
          <cell r="A634" t="str">
            <v>5114002030 DITC-Licença e Funcionamento (Realizado)</v>
          </cell>
        </row>
        <row r="635">
          <cell r="A635" t="str">
            <v>5114002060 DITC-Txs Municipais,Estaduais,Federais (Realizado)</v>
          </cell>
        </row>
        <row r="636">
          <cell r="A636" t="str">
            <v>5116001010 Desp Real Even-Semi Fora da Cia Gestao (Realizado)</v>
          </cell>
        </row>
        <row r="637">
          <cell r="A637" t="str">
            <v>5116001020 Desp Reali Eventos-Eventos Gestao (Realizado)</v>
          </cell>
        </row>
        <row r="638">
          <cell r="A638" t="str">
            <v>5116002020 Desp c/Marketing-Relaçoes Publicas (Realizado)</v>
          </cell>
        </row>
        <row r="639">
          <cell r="A639" t="str">
            <v>5116002040 Desp c/Marketing-Programa Fabrica Aberta (Realiz)</v>
          </cell>
        </row>
        <row r="640">
          <cell r="A640" t="str">
            <v>5118002050 DPC Ded-Contrib a Entidades de Classes (Realizado)</v>
          </cell>
        </row>
        <row r="641">
          <cell r="A641" t="str">
            <v>5119905010 Desp Alug/Loc.Oper-Locaçao Equip Operaçao (Realiz)</v>
          </cell>
        </row>
        <row r="642">
          <cell r="A642" t="str">
            <v>5119905030 Desp Alug/Loc.Oper-Loc Equiptos Escritorio(Realiz)</v>
          </cell>
        </row>
        <row r="643">
          <cell r="A643" t="str">
            <v>5119905050 Desp Alug/Loc.Oper-Loc de Equip Telefonia(Realiz)</v>
          </cell>
        </row>
        <row r="644">
          <cell r="A644" t="str">
            <v>5119906010 Desp Alug/Loc. Op-Equipamentos de Manut (Realiz)</v>
          </cell>
        </row>
        <row r="645">
          <cell r="A645" t="str">
            <v>5119910010 Assin L.IT.J.R-Ass de Jornais e Revistas (Realiz)</v>
          </cell>
        </row>
        <row r="646">
          <cell r="A646" t="str">
            <v>5119910030 Assin L.IT.J.R-Ass Livros/Inform Tecnicos (Realiz)</v>
          </cell>
        </row>
        <row r="647">
          <cell r="A647" t="str">
            <v>5119915010 Desp c/Impressao e Copias fora da Cia (Realizado)</v>
          </cell>
        </row>
        <row r="648">
          <cell r="A648" t="str">
            <v>5119920010 Desp c/Veiculos-Abastecimento (Realizado)</v>
          </cell>
        </row>
        <row r="649">
          <cell r="A649" t="str">
            <v>5119920020 Desp c/Veiculos-Reparos e Manutençoes (Realizado)</v>
          </cell>
        </row>
        <row r="650">
          <cell r="A650" t="str">
            <v>5119920030 Desp c/Veiculos-Peças e Acessorios (Realizado)</v>
          </cell>
        </row>
        <row r="651">
          <cell r="A651" t="str">
            <v>5119920050 Desp c/Veiculos-Pedagio e Estacionam (Realizado)</v>
          </cell>
        </row>
        <row r="652">
          <cell r="A652" t="str">
            <v>5119920060 Desp c/Veiculos-Licenciamento (Realizado)</v>
          </cell>
        </row>
        <row r="653">
          <cell r="A653" t="str">
            <v>Despesas / Receitas Operacionais</v>
          </cell>
        </row>
        <row r="654">
          <cell r="A654" t="str">
            <v>Despesas com vendas</v>
          </cell>
        </row>
        <row r="655">
          <cell r="A655" t="str">
            <v>Despesas com fretes sobre vendas</v>
          </cell>
        </row>
        <row r="656">
          <cell r="A656" t="str">
            <v>3140101010 Fretes s/Exportaçao Direta de Produtos (Realizado)</v>
          </cell>
        </row>
        <row r="657">
          <cell r="A657" t="str">
            <v>3140101030 Fretes s/Vendas de Produtos no MI (Realizado)</v>
          </cell>
        </row>
        <row r="658">
          <cell r="A658" t="str">
            <v>3140105030 Fretes s/Revendas de Mercadorias no MI (Realiz)</v>
          </cell>
        </row>
        <row r="659">
          <cell r="A659" t="str">
            <v>Outras despesas com vendas</v>
          </cell>
        </row>
        <row r="660">
          <cell r="A660" t="str">
            <v>3140301010 Desp c/Desemb/Movim Export Prod FP ME (Realiz)</v>
          </cell>
        </row>
        <row r="661">
          <cell r="A661" t="str">
            <v>3140401030 Desp c/Armazenagem Produtos FP (Realizado)</v>
          </cell>
        </row>
        <row r="662">
          <cell r="A662" t="str">
            <v>3140406030 Desp c/Armazen Merc Imports p/Rev no MI (Realiz)</v>
          </cell>
        </row>
        <row r="663">
          <cell r="A663" t="str">
            <v>3140501030 Desp c/Fretes de Remessas p/Armaz Prod FP (Realiz)</v>
          </cell>
        </row>
        <row r="664">
          <cell r="A664" t="str">
            <v>3140601030 Desp Remessas p/Testes Ensaios e Prod FP (Realiz)</v>
          </cell>
        </row>
        <row r="665">
          <cell r="A665" t="str">
            <v>Despesas Gerais e Administrativas</v>
          </cell>
        </row>
        <row r="666">
          <cell r="A666" t="str">
            <v>Energia Elétrica consumo administrativo</v>
          </cell>
        </row>
        <row r="667">
          <cell r="A667" t="str">
            <v>3170801120 Mat Cons Oper-Luz (Realizado)</v>
          </cell>
        </row>
        <row r="668">
          <cell r="A668" t="str">
            <v>Despesas com salários e benefícios a empreg</v>
          </cell>
        </row>
        <row r="669">
          <cell r="A669" t="str">
            <v>3171001010 FLPG-Remuneraçao a Dirigentes Conselho Adm (Pgto)</v>
          </cell>
        </row>
        <row r="670">
          <cell r="A670" t="str">
            <v>3171001020 FLPG-Gratifiçao a Dirigentes Conselho Adm (Pgto)</v>
          </cell>
        </row>
        <row r="671">
          <cell r="A671" t="str">
            <v>3171001021 FLPG-Prov Gratificaçao a Dirigentes Conselho Adm</v>
          </cell>
        </row>
        <row r="672">
          <cell r="A672" t="str">
            <v>3171001022 FLPG-Rev Prov Gratif a Dirigentes Conselho Adm</v>
          </cell>
        </row>
        <row r="673">
          <cell r="A673" t="str">
            <v>3171001030 FLPG-Ordenados, Salars e Outras Remun a Empreg (R)</v>
          </cell>
        </row>
        <row r="674">
          <cell r="A674" t="str">
            <v>3171001040 FLPG-13º Salario (Realizado)</v>
          </cell>
        </row>
        <row r="675">
          <cell r="A675" t="str">
            <v>3171001041 FLPG-Provisao de 13º Salario</v>
          </cell>
        </row>
        <row r="676">
          <cell r="A676" t="str">
            <v>3171001042 FLPG-Reversao Provisao de 13º Salario</v>
          </cell>
        </row>
        <row r="677">
          <cell r="A677" t="str">
            <v>3171001050 FLPG-Ferias (Realizado)</v>
          </cell>
        </row>
        <row r="678">
          <cell r="A678" t="str">
            <v>3171001051 FLPG-Provisao de Ferias</v>
          </cell>
        </row>
        <row r="679">
          <cell r="A679" t="str">
            <v>3171001052 FLPG-Reversap da Provisao de Ferias</v>
          </cell>
        </row>
        <row r="680">
          <cell r="A680" t="str">
            <v>3171001080 FLPG-Gratificaçao de Ferias (Realiz)</v>
          </cell>
        </row>
        <row r="681">
          <cell r="A681" t="str">
            <v>3171001081 FLPG-Provisao de Gratificaçao de Ferias</v>
          </cell>
        </row>
        <row r="682">
          <cell r="A682" t="str">
            <v>3171001082 FLPG-Reversao da Prov de Gratificaçao de Ferias</v>
          </cell>
        </row>
        <row r="683">
          <cell r="A683" t="str">
            <v>3171001090 FLPG-Gratificaçoes (Realizado)</v>
          </cell>
        </row>
        <row r="684">
          <cell r="A684" t="str">
            <v>3171001091 FLPG-Provisao de Gratificaçoes</v>
          </cell>
        </row>
        <row r="685">
          <cell r="A685" t="str">
            <v>3171001092 FLPG-Reversao da Provisao de Gratificacoes</v>
          </cell>
        </row>
        <row r="686">
          <cell r="A686" t="str">
            <v>3171001100 FLPG-Gratificoes Quinquenios (Realizado)</v>
          </cell>
        </row>
        <row r="687">
          <cell r="A687" t="str">
            <v>3171001101 FLPG-Provisao de Gratificaçoes Quinquenios</v>
          </cell>
        </row>
        <row r="688">
          <cell r="A688" t="str">
            <v>3171001102 FLPG-Reversao Provisao Gratificacoes Quinquenios</v>
          </cell>
        </row>
        <row r="689">
          <cell r="A689" t="str">
            <v>3171001120 FLPG-Aviso Previo (Realizado)</v>
          </cell>
        </row>
        <row r="690">
          <cell r="A690" t="str">
            <v>3171001122 FLPG-Reversao da Provisao de Aviso Previo</v>
          </cell>
        </row>
        <row r="691">
          <cell r="A691" t="str">
            <v>3171001130 FLPG-Indenizacoes (Realizado)</v>
          </cell>
        </row>
        <row r="692">
          <cell r="A692" t="str">
            <v>3171001250 FLPG-Auxilio Ensino (Realizado)</v>
          </cell>
        </row>
        <row r="693">
          <cell r="A693" t="str">
            <v>3171001300 FLPG-Bolsa Estudos de Estagiarios (Realizado)</v>
          </cell>
        </row>
        <row r="694">
          <cell r="A694" t="str">
            <v>3171001990 Rateio da Mão de Obra da Manutenção</v>
          </cell>
        </row>
        <row r="695">
          <cell r="A695" t="str">
            <v>3171002010 FGTS s/Folha de Pagamento (Realizado)</v>
          </cell>
        </row>
        <row r="696">
          <cell r="A696" t="str">
            <v>3171002020 FGTS s/Ferias (Realizado)</v>
          </cell>
        </row>
        <row r="697">
          <cell r="A697" t="str">
            <v>3171002021 Provisao de FGTS s/Ferias</v>
          </cell>
        </row>
        <row r="698">
          <cell r="A698" t="str">
            <v>3171002022 Reversao da Provisao de FGTS s/Ferias</v>
          </cell>
        </row>
        <row r="699">
          <cell r="A699" t="str">
            <v>3171002030 FGTS s/13º Salario (Realizado)</v>
          </cell>
        </row>
        <row r="700">
          <cell r="A700" t="str">
            <v>3171002031 Provisao de FGTS s/13º Salario</v>
          </cell>
        </row>
        <row r="701">
          <cell r="A701" t="str">
            <v>3171002032 Reversao da Provisao de FGTS s/13º Salario</v>
          </cell>
        </row>
        <row r="702">
          <cell r="A702" t="str">
            <v>3171002040 FGTS s/Desligamento de Funcionario (Realizado)</v>
          </cell>
        </row>
        <row r="703">
          <cell r="A703" t="str">
            <v>3171002041 Provisao de FGTS s/Desligamento de Funcionario</v>
          </cell>
        </row>
        <row r="704">
          <cell r="A704" t="str">
            <v>3171002042 Reversao Provisao de FGTS s/Desl Funcionario</v>
          </cell>
        </row>
        <row r="705">
          <cell r="A705" t="str">
            <v>3171002051 Provisao de FGTS s/Gratificações</v>
          </cell>
        </row>
        <row r="706">
          <cell r="A706" t="str">
            <v>3171003010 INSS s/Folha de Pagamento (Realizado)</v>
          </cell>
        </row>
        <row r="707">
          <cell r="A707" t="str">
            <v>3171003021 Provisao de INSS s/Ferias</v>
          </cell>
        </row>
        <row r="708">
          <cell r="A708" t="str">
            <v>3171003022 Reversao da Provisao de INSS s/Ferias</v>
          </cell>
        </row>
        <row r="709">
          <cell r="A709" t="str">
            <v>3171003031 Provisao de INSS s/13º Salario</v>
          </cell>
        </row>
        <row r="710">
          <cell r="A710" t="str">
            <v>3171003032 Reversao da Provisao de INSS s/13º Salario</v>
          </cell>
        </row>
        <row r="711">
          <cell r="A711" t="str">
            <v>3171003051 Provisao de INSS s/Gratificações</v>
          </cell>
        </row>
        <row r="712">
          <cell r="A712" t="str">
            <v>3171501010 Prev Priv CD-Contribuicoes da Empresa (Realizado)</v>
          </cell>
        </row>
        <row r="713">
          <cell r="A713" t="str">
            <v>3171501015 Prev Priv CD-Participaçao dos Empregados</v>
          </cell>
        </row>
        <row r="714">
          <cell r="A714" t="str">
            <v>3171502010 Seguro de Vida em Grupo (Realizado)</v>
          </cell>
        </row>
        <row r="715">
          <cell r="A715" t="str">
            <v>3171502011 Provisao Seguro de Vida em Grupo</v>
          </cell>
        </row>
        <row r="716">
          <cell r="A716" t="str">
            <v>3171503010 Assistencia Medica e Hospitalar (Realizado)</v>
          </cell>
        </row>
        <row r="717">
          <cell r="A717" t="str">
            <v>3171503015 Partic dos Empregados Assistenc Medica e Hospit</v>
          </cell>
        </row>
        <row r="718">
          <cell r="A718" t="str">
            <v>3171503020 Assistencia Medica e Hospitalar Aposent (Realiz)</v>
          </cell>
        </row>
        <row r="719">
          <cell r="A719" t="str">
            <v>3171503021 Provisao Assistencia Medica Hospitalar Aposentados</v>
          </cell>
        </row>
        <row r="720">
          <cell r="A720" t="str">
            <v>3171503022 Reversao Prov Assist Medica Hospitalar Aposentados</v>
          </cell>
        </row>
        <row r="721">
          <cell r="A721" t="str">
            <v>3171503030 Assistencia Odontologica (Realizado)</v>
          </cell>
        </row>
        <row r="722">
          <cell r="A722" t="str">
            <v>3171503035 Participacao dos Empregados Assist Odontologica</v>
          </cell>
        </row>
        <row r="723">
          <cell r="A723" t="str">
            <v>3171503040 Despesas Medicas e Hospitalares (Realizado)</v>
          </cell>
        </row>
        <row r="724">
          <cell r="A724" t="str">
            <v>3171504010 Desenv Prof-Cursos (Realizado)</v>
          </cell>
        </row>
        <row r="725">
          <cell r="A725" t="str">
            <v>3171504030 Desenv Prof-Serviços de Tercrs em Cursos (Realiz)</v>
          </cell>
        </row>
        <row r="726">
          <cell r="A726" t="str">
            <v>3171504040 Desenv Prof-Diarias em Cursos (Realizado)</v>
          </cell>
        </row>
        <row r="727">
          <cell r="A727" t="str">
            <v>3171504050 Desenv Prof-Transportes em Cursos (Realizado)</v>
          </cell>
        </row>
        <row r="728">
          <cell r="A728" t="str">
            <v>3171504060 Desenv Prof-Refeiçoes em Cursos (Realizado)</v>
          </cell>
        </row>
        <row r="729">
          <cell r="A729" t="str">
            <v>3171504070 Desenv Prof-Aprendiz de Menores em Cursos (Realiz)</v>
          </cell>
        </row>
        <row r="730">
          <cell r="A730" t="str">
            <v>3171505010 Desp Soc-Contrib Associaçao Desportiva (Realizado)</v>
          </cell>
        </row>
        <row r="731">
          <cell r="A731" t="str">
            <v>3171505020 Desp Soc-Comemoraçoes e Eventos (Realizado)</v>
          </cell>
        </row>
        <row r="732">
          <cell r="A732" t="str">
            <v>3171505030 Desp Soc-Assistencia Social Funcionarios (Realiz)</v>
          </cell>
        </row>
        <row r="733">
          <cell r="A733" t="str">
            <v>3171505040 Desp Soc-Vestuario (Realizado)</v>
          </cell>
        </row>
        <row r="734">
          <cell r="A734" t="str">
            <v>3171505050 Desp Soc-Comunicaçao Interna (Realizado)</v>
          </cell>
        </row>
        <row r="735">
          <cell r="A735" t="str">
            <v>3171506010 Desp Transp-Conduçao Contratada (Realizado)</v>
          </cell>
        </row>
        <row r="736">
          <cell r="A736" t="str">
            <v>3171506015 Participaçao dos Empregados-Conduçao Contratada</v>
          </cell>
        </row>
        <row r="737">
          <cell r="A737" t="str">
            <v>3171506020 Despesa Vale Transporte (Realizado)</v>
          </cell>
        </row>
        <row r="738">
          <cell r="A738" t="str">
            <v>3171506025 Participaçao dos Empregados-Vale Transporte</v>
          </cell>
        </row>
        <row r="739">
          <cell r="A739" t="str">
            <v>3171506030 Despesa Taxi e Conduçoes (Realizado)</v>
          </cell>
        </row>
        <row r="740">
          <cell r="A740" t="str">
            <v>3171506040 Despesa Aluguel de Veiculos (Realizado)</v>
          </cell>
        </row>
        <row r="741">
          <cell r="A741" t="str">
            <v>3171506050 Despesas com Aluguel de Outros Veiculos(Realizado)</v>
          </cell>
        </row>
        <row r="742">
          <cell r="A742" t="str">
            <v>3171507010 Despesa Refeiçoes Prontas (Realizado)</v>
          </cell>
        </row>
        <row r="743">
          <cell r="A743" t="str">
            <v>3171507015 Participaçao dos Empregados-Refeiçoes Prontas</v>
          </cell>
        </row>
        <row r="744">
          <cell r="A744" t="str">
            <v>3171507020 Despesa Material de Consumo Refeitorio (Realiz)</v>
          </cell>
        </row>
        <row r="745">
          <cell r="A745" t="str">
            <v>3171507025 Desp Material Consumo Refeitorio Descont Func-R</v>
          </cell>
        </row>
        <row r="746">
          <cell r="A746" t="str">
            <v>3171507030 Despesa Refeiçoes-Visita e Outras (Realizado)</v>
          </cell>
        </row>
        <row r="747">
          <cell r="A747" t="str">
            <v>3171507040 Despesa Refeiçoes-Lanches Externos (Realizado)</v>
          </cell>
        </row>
        <row r="748">
          <cell r="A748" t="str">
            <v>3710101010 (-)PL-Participaçoes de Empregados (Realizado)</v>
          </cell>
        </row>
        <row r="749">
          <cell r="A749" t="str">
            <v>Encargos de depreciação e amortização na DGA</v>
          </cell>
        </row>
        <row r="750">
          <cell r="A750" t="str">
            <v>3179001010 Encarg de Deprec e Amort-Depreciaçao (Realizado)</v>
          </cell>
        </row>
        <row r="751">
          <cell r="A751" t="str">
            <v>3179001011 Encarg de Depreciaçao Mais Valia (Realizado)</v>
          </cell>
        </row>
        <row r="752">
          <cell r="A752" t="str">
            <v>3179001012 Encs de Depreciaçao Mais Valia Comb Neg(Realizado)</v>
          </cell>
        </row>
        <row r="753">
          <cell r="A753" t="str">
            <v>3179001014 Encarg de Depreciaçao do AVP (Realizado)</v>
          </cell>
        </row>
        <row r="754">
          <cell r="A754" t="str">
            <v>3179001050 Encarg de Deprec e Amort-Amortizaçao (Realizado)</v>
          </cell>
        </row>
        <row r="755">
          <cell r="A755" t="str">
            <v>3179001054 Encargs de Amortizaçao AVP (Realizado)</v>
          </cell>
        </row>
        <row r="756">
          <cell r="A756" t="str">
            <v>3179001104 Encargs de Amortizaçao Investimentos (Realizado)</v>
          </cell>
        </row>
        <row r="757">
          <cell r="A757" t="str">
            <v>Serviços de terceiros nas DGAs</v>
          </cell>
        </row>
        <row r="758">
          <cell r="A758" t="str">
            <v>3172001010 Serviços Prestados Advocacia p/PJ (Realizado)</v>
          </cell>
        </row>
        <row r="759">
          <cell r="A759" t="str">
            <v>3172001015 Rec Desps c/Honorarios Advocaticios (Realizado)</v>
          </cell>
        </row>
        <row r="760">
          <cell r="A760" t="str">
            <v>3172001040 Serv Prest Advocacia p/PF s/ Vinculo Empr (Realiz)</v>
          </cell>
        </row>
        <row r="761">
          <cell r="A761" t="str">
            <v>3172002010 Serviços Prestados Auditoria  p/PJ (Realizado)</v>
          </cell>
        </row>
        <row r="762">
          <cell r="A762" t="str">
            <v>3172003010 Serviços Prestados Consultoria p/PJ (Realizado)</v>
          </cell>
        </row>
        <row r="763">
          <cell r="A763" t="str">
            <v>3172003040 Serv Prest Consultoria p/PF s/Vinc Empr (Realiz)</v>
          </cell>
        </row>
        <row r="764">
          <cell r="A764" t="str">
            <v>3172007010 Serv Prest Informaçoes Cadastrais p/PJ (Realiz)</v>
          </cell>
        </row>
        <row r="765">
          <cell r="A765" t="str">
            <v>3172008010 Serv Prest Propaganda e Publicidade p/PJ (Realiz)</v>
          </cell>
        </row>
        <row r="766">
          <cell r="A766" t="str">
            <v>3172009010 Serv Prest Atualiz/Suporte Tecnico p/PJ (Realiz)</v>
          </cell>
        </row>
        <row r="767">
          <cell r="A767" t="str">
            <v>3172010010 Serviços Prestados Temporario p/PJ (Realizado)</v>
          </cell>
        </row>
        <row r="768">
          <cell r="A768" t="str">
            <v>3172011010 Serviços Prestados Limpeza p/ PJ (Realizado)</v>
          </cell>
        </row>
        <row r="769">
          <cell r="A769" t="str">
            <v>3172012010 Serviços Prestados Vigilancia PJ (Realiz)</v>
          </cell>
        </row>
        <row r="770">
          <cell r="A770" t="str">
            <v>3172015010 Serv Prest Fretes Carretos s/Compras p/PJ (Realiz)</v>
          </cell>
        </row>
        <row r="771">
          <cell r="A771" t="str">
            <v>3172018010 Serv Prest Reparos Assist Tecnica p/PJ (Realiz)</v>
          </cell>
        </row>
        <row r="772">
          <cell r="A772" t="str">
            <v>3172099010 Prest Serv Tecnicos Profissionais p/PJ (Realiz)</v>
          </cell>
        </row>
        <row r="773">
          <cell r="A773" t="str">
            <v>3172099020 Prest Serv Tec Profissionais p/Coop Trab (Realiz)</v>
          </cell>
        </row>
        <row r="774">
          <cell r="A774" t="str">
            <v>3172099040 Serv Prest Tec Profissionais p/PF s/Vin Empr (R)</v>
          </cell>
        </row>
        <row r="775">
          <cell r="A775" t="str">
            <v>3172150010 Serv Prest Manutençao Civil p/PJ (Realizado)</v>
          </cell>
        </row>
        <row r="776">
          <cell r="A776" t="str">
            <v>3172199010 Serv Prest Manutençao Geral p/PJ (Realizado)</v>
          </cell>
        </row>
        <row r="777">
          <cell r="A777" t="str">
            <v>Outras despesas gerais administrativas</v>
          </cell>
        </row>
        <row r="778">
          <cell r="A778" t="str">
            <v>3170801070 Mat Cons Oper-Reparo e Manutençao (Realiz)</v>
          </cell>
        </row>
        <row r="779">
          <cell r="A779" t="str">
            <v>3170801090 Mat Cons Oper-Limpeza (Realizado)</v>
          </cell>
        </row>
        <row r="780">
          <cell r="A780" t="str">
            <v>3170801100 Mat Cons Oper-Segurança (Realizado)</v>
          </cell>
        </row>
        <row r="781">
          <cell r="A781" t="str">
            <v>3170801130 Mat Cons Oper-Escritorio (Realizado)</v>
          </cell>
        </row>
        <row r="782">
          <cell r="A782" t="str">
            <v>3170801140 Mat Cons Oper-Imobilizado (Realizado)</v>
          </cell>
        </row>
        <row r="783">
          <cell r="A783" t="str">
            <v>3170802990 Materias Consumo-Manutencao em Geral (Realiz)</v>
          </cell>
        </row>
        <row r="784">
          <cell r="A784" t="str">
            <v>3171901010 Sel Recrut-Servs de Tercrs p/Seleçao e Recrut (R)</v>
          </cell>
        </row>
        <row r="785">
          <cell r="A785" t="str">
            <v>3171902010 Despesa Viagens Nacionais (Realizado)</v>
          </cell>
        </row>
        <row r="786">
          <cell r="A786" t="str">
            <v>3171902020 Despesas Viagens Internacionais (Realizado)</v>
          </cell>
        </row>
        <row r="787">
          <cell r="A787" t="str">
            <v>3173501010 Desp Correspondencia-Malote (Realizado)</v>
          </cell>
        </row>
        <row r="788">
          <cell r="A788" t="str">
            <v>3173501020 Desp Correspondencia-Postais (Realizado)</v>
          </cell>
        </row>
        <row r="789">
          <cell r="A789" t="str">
            <v>3173505010 Desp Telec-Desp c/Telefonia Fixa (Realizado)</v>
          </cell>
        </row>
        <row r="790">
          <cell r="A790" t="str">
            <v>3173505020 Desp Telec-Desp c/Telefonia Movel (Realizado)</v>
          </cell>
        </row>
        <row r="791">
          <cell r="A791" t="str">
            <v>3173505030 Desp Telec-Desp Comun Dados EC/FC Internet(Realiz)</v>
          </cell>
        </row>
        <row r="792">
          <cell r="A792" t="str">
            <v>3173505040 Desp Telec-Desp Comum Dados Internet (Realizado)</v>
          </cell>
        </row>
        <row r="793">
          <cell r="A793" t="str">
            <v>3173505060 Desp Telec-Desp Comum Dados Banda Larga(Realizado)</v>
          </cell>
        </row>
        <row r="794">
          <cell r="A794" t="str">
            <v>3173505070 Desp Telec-Desp Comum Dados Video Conferen(Realiz)</v>
          </cell>
        </row>
        <row r="795">
          <cell r="A795" t="str">
            <v>3174001010 DLF-Desp c/Publicidade Atas e Balanços (Realizado)</v>
          </cell>
        </row>
        <row r="796">
          <cell r="A796" t="str">
            <v>3174001020 DLF-Desp Escritur Procuraçoes e Contratos (Realiz)</v>
          </cell>
        </row>
        <row r="797">
          <cell r="A797" t="str">
            <v>3174001030 DLF-Desp Autenticidade Reconhecde Firmas (Realiz)</v>
          </cell>
        </row>
        <row r="798">
          <cell r="A798" t="str">
            <v>3174001040 DLF-Desp c/ Custas Judiciais (Realizado)</v>
          </cell>
        </row>
        <row r="799">
          <cell r="A799" t="str">
            <v>3174001990 DLF-Outras Despesas Legais (Realizado)</v>
          </cell>
        </row>
        <row r="800">
          <cell r="A800" t="str">
            <v>3174002010 DITC-Contribuiçao Sindical Patronal (Realizado)</v>
          </cell>
        </row>
        <row r="801">
          <cell r="A801" t="str">
            <v>3174002020 DITC-Predial e Territorial (Realizado)</v>
          </cell>
        </row>
        <row r="802">
          <cell r="A802" t="str">
            <v>3174002021 DITC-Provisao Imposto Predial Territorial (Realiz)</v>
          </cell>
        </row>
        <row r="803">
          <cell r="A803" t="str">
            <v>3174002030 DITC-Licença e Funcionamento (Realizado)</v>
          </cell>
        </row>
        <row r="804">
          <cell r="A804" t="str">
            <v>3174002040 DITC-ICMS s/Aquisiçao de Imobilizado (Realizado)</v>
          </cell>
        </row>
        <row r="805">
          <cell r="A805" t="str">
            <v>3174002050 DITC-ICMS-Debitos Extemporaneos (Realizado)</v>
          </cell>
        </row>
        <row r="806">
          <cell r="A806" t="str">
            <v>3174002060 DITC-Txs Municipais,Estaduais,Federais (Realizado)</v>
          </cell>
        </row>
        <row r="807">
          <cell r="A807" t="str">
            <v>3174003010 Multas Fiscais Indedutiveis (Realizado)</v>
          </cell>
        </row>
        <row r="808">
          <cell r="A808" t="str">
            <v>3174003020 Multas Fiscais Dedutiveis (Realizado)</v>
          </cell>
        </row>
        <row r="809">
          <cell r="A809" t="str">
            <v>3174003030 Multas Contratuais (Realizado)</v>
          </cell>
        </row>
        <row r="810">
          <cell r="A810" t="str">
            <v>3175001010 Desp Seguro-Automoveis (Realizado)</v>
          </cell>
        </row>
        <row r="811">
          <cell r="A811" t="str">
            <v>3175001020 Desp Seguro-Responsabilidade Civil (Realizado)</v>
          </cell>
        </row>
        <row r="812">
          <cell r="A812" t="str">
            <v>3175001030 Desp Seguro-Risco Nomeado (Realizado)</v>
          </cell>
        </row>
        <row r="813">
          <cell r="A813" t="str">
            <v>3175001040 Desp Seguro-Riscos Diversos (Realizado)</v>
          </cell>
        </row>
        <row r="814">
          <cell r="A814" t="str">
            <v>3176001010 Desp Real Even-Semi Fora da Cia Gestao (Realizado)</v>
          </cell>
        </row>
        <row r="815">
          <cell r="A815" t="str">
            <v>3176001020 Desp Reali Eventos-Eventos Gestao (Realizado)</v>
          </cell>
        </row>
        <row r="816">
          <cell r="A816" t="str">
            <v>3176002010 Desp Eventos Marketing (Realizado)</v>
          </cell>
        </row>
        <row r="817">
          <cell r="A817" t="str">
            <v>3176002020 Desp c/Marketing-Relaçoes Publicas (Realizado)</v>
          </cell>
        </row>
        <row r="818">
          <cell r="A818" t="str">
            <v>3176002030 Desp c/Marketing-Patrocinios (Realizado)</v>
          </cell>
        </row>
        <row r="819">
          <cell r="A819" t="str">
            <v>3177002020 EPCT-Estudos de Engenharia(Realizado)</v>
          </cell>
        </row>
        <row r="820">
          <cell r="A820" t="str">
            <v>3178001990 DPC Ind-Outras Contrib/Doaçoes Indeduts (Realiz)</v>
          </cell>
        </row>
        <row r="821">
          <cell r="A821" t="str">
            <v>3178002050 DPC Ded-Contrib a Entidades de Classes (Realizado)</v>
          </cell>
        </row>
        <row r="822">
          <cell r="A822" t="str">
            <v>3179905030 Desp Alug/Loc.Oper-Loc Equiptos Escritorio(Realiz)</v>
          </cell>
        </row>
        <row r="823">
          <cell r="A823" t="str">
            <v>3179905040 Desp Alug/Loc.Oper-Equip Impressao/Copias(Realiz)</v>
          </cell>
        </row>
        <row r="824">
          <cell r="A824" t="str">
            <v>3179905050 Desp Alug/Loc.Oper-Loc de Equip Telefonia(Realiz)</v>
          </cell>
        </row>
        <row r="825">
          <cell r="A825" t="str">
            <v>3179905100 Desp Alug/Loc.Oper-Aluguel de Imovel (Realizado)</v>
          </cell>
        </row>
        <row r="826">
          <cell r="A826" t="str">
            <v>3179910010 Assin L.IT.J.R-Ass de Jornais e Revistas (Realiz)</v>
          </cell>
        </row>
        <row r="827">
          <cell r="A827" t="str">
            <v>3179910030 Assin L.IT.J.R-Ass Livros/Inform Tecnicos (Realiz)</v>
          </cell>
        </row>
        <row r="828">
          <cell r="A828" t="str">
            <v>3179915010 Desp c/Impressao e Copias fora da Cia (Realizado)</v>
          </cell>
        </row>
        <row r="829">
          <cell r="A829" t="str">
            <v>3179920010 Desp c/Veiculos-Abastecimento (Realizado)</v>
          </cell>
        </row>
        <row r="830">
          <cell r="A830" t="str">
            <v>3179920020 Desp c/Veiculos-Reparos e Manutençoes (Realizado)</v>
          </cell>
        </row>
        <row r="831">
          <cell r="A831" t="str">
            <v>3179920030 Desp c/Veiculos-Peças e Acessorios (Realizado)</v>
          </cell>
        </row>
        <row r="832">
          <cell r="A832" t="str">
            <v>3179920040 Desp c/Veiculos-Lavagem e Lubrificaçao (Realizado)</v>
          </cell>
        </row>
        <row r="833">
          <cell r="A833" t="str">
            <v>3179920050 Desp c/Veiculos-Pedagio e Estacionam (Realizado)</v>
          </cell>
        </row>
        <row r="834">
          <cell r="A834" t="str">
            <v>3179920060 Desp c/Veiculos-Licenciamento (Realizado)</v>
          </cell>
        </row>
        <row r="835">
          <cell r="A835" t="str">
            <v>Outras despesas / receitas operacionais</v>
          </cell>
        </row>
        <row r="836">
          <cell r="A836" t="str">
            <v>Outras receitas operacionais</v>
          </cell>
        </row>
        <row r="837">
          <cell r="A837" t="str">
            <v>3310101010 Receita c/Dividendos Recebidos (Realizado)</v>
          </cell>
        </row>
        <row r="838">
          <cell r="A838" t="str">
            <v>3310105010 Res Liq Bx At Fixo-Rec Alienaç B/D At.Perman (R)</v>
          </cell>
        </row>
        <row r="839">
          <cell r="A839" t="str">
            <v>3310105020 (-)R Liq Bx At Fix-Vlr Contabil B/D Baixados (R)</v>
          </cell>
        </row>
        <row r="840">
          <cell r="A840" t="str">
            <v>3310105030 Outros Custos dos Bens e Direitos Alienados (R)</v>
          </cell>
        </row>
        <row r="841">
          <cell r="A841" t="str">
            <v>3310108990 Outros Imposto Recuperados (Realizado)</v>
          </cell>
        </row>
        <row r="842">
          <cell r="A842" t="str">
            <v>3310115010 Sinistros Indenizado (Realizado)</v>
          </cell>
        </row>
        <row r="843">
          <cell r="A843" t="str">
            <v>3310115020 Sinistro nao Indenizado (Realizados)</v>
          </cell>
        </row>
        <row r="844">
          <cell r="A844" t="str">
            <v>Outras despesas operacionais</v>
          </cell>
        </row>
        <row r="845">
          <cell r="A845" t="str">
            <v>3310110010 Desp c/Proc Jud-Tributarios (Realizado)</v>
          </cell>
        </row>
        <row r="846">
          <cell r="A846" t="str">
            <v>3310110011 Desp c/Proc Jud-Constit Contingencias Tributarias</v>
          </cell>
        </row>
        <row r="847">
          <cell r="A847" t="str">
            <v>3310110020 Desp c/Proc Trabalhista (Realizado)</v>
          </cell>
        </row>
        <row r="848">
          <cell r="A848" t="str">
            <v>3310110021 Desp c/Proc Trab-Constit Contingenc Trabalhistas</v>
          </cell>
        </row>
        <row r="849">
          <cell r="A849" t="str">
            <v>3310110031 Desp c/Proc Civeis-Constit Contingencias Civeis</v>
          </cell>
        </row>
        <row r="850">
          <cell r="A850" t="str">
            <v>3310110032 Desp c/Proc Civeis-Rev de Contingencias Civeis</v>
          </cell>
        </row>
        <row r="851">
          <cell r="A851" t="str">
            <v>3310140010 Desp n Cor Multas Indedutiveis (Realizado)</v>
          </cell>
        </row>
        <row r="852">
          <cell r="A852" t="str">
            <v>3310190011 Provisao Perdas em Opercao Credito-PCLD</v>
          </cell>
        </row>
        <row r="853">
          <cell r="A853" t="str">
            <v>Resultado de equivalência patrimonial</v>
          </cell>
        </row>
        <row r="854">
          <cell r="A854" t="str">
            <v>3310201010 Result Positivo Participacoes Societarias (R)</v>
          </cell>
        </row>
        <row r="855">
          <cell r="A855" t="str">
            <v>3310201020 Result Negativo Paticipacoes Societarias (R)</v>
          </cell>
        </row>
        <row r="856">
          <cell r="A856" t="str">
            <v>Resultado financeiro</v>
          </cell>
        </row>
        <row r="857">
          <cell r="A857" t="str">
            <v>Receitas financeiras</v>
          </cell>
        </row>
        <row r="858">
          <cell r="A858" t="str">
            <v>Receita de equivalentes de caixa e TVM</v>
          </cell>
        </row>
        <row r="859">
          <cell r="A859" t="str">
            <v>3510101010 Rec Financ-Juros s/Aplic Financeiras (Realizado)</v>
          </cell>
        </row>
        <row r="860">
          <cell r="A860" t="str">
            <v>Outras receitas financeiras</v>
          </cell>
        </row>
        <row r="861">
          <cell r="A861" t="str">
            <v>3510101090 Rec Financ-Juros s/Capital Proprio (Realizado)</v>
          </cell>
        </row>
        <row r="862">
          <cell r="A862" t="str">
            <v>3510101990 Rec Financ-Juros s/Outros Ativos (Realizado)</v>
          </cell>
        </row>
        <row r="863">
          <cell r="A863" t="str">
            <v>3510102011 Rec Financ-Prov Var Monet s/ Depositos Judiciais</v>
          </cell>
        </row>
        <row r="864">
          <cell r="A864" t="str">
            <v>3510102020 Rec Financ-Var Monet s/Impostos a Recup. (Realiza)</v>
          </cell>
        </row>
        <row r="865">
          <cell r="A865" t="str">
            <v>3510102990 Rec Finan-Var Monetaria s/Outros Ativos(Realizado)</v>
          </cell>
        </row>
        <row r="866">
          <cell r="A866" t="str">
            <v>3510103010 Rec Financ-Encargos s/Cobrança Duplic(Realizado)</v>
          </cell>
        </row>
        <row r="867">
          <cell r="A867" t="str">
            <v>3510103030 Rec Financ-Descontos Obtidos (Realizado)</v>
          </cell>
        </row>
        <row r="868">
          <cell r="A868" t="str">
            <v>3510105010 Rec Financ-Bonificaçoes s/Adm Apolice (Realizado)</v>
          </cell>
        </row>
        <row r="869">
          <cell r="A869" t="str">
            <v>3510106014 Rec Financ-Cont.AVP/ICMS Recup s/Aquis de At.Fixo</v>
          </cell>
        </row>
        <row r="870">
          <cell r="A870" t="str">
            <v>3510199990 Rec Financ-Demais Receitas Financeiras (Realizado)</v>
          </cell>
        </row>
        <row r="871">
          <cell r="A871" t="str">
            <v>Despesas financeiras</v>
          </cell>
        </row>
        <row r="872">
          <cell r="A872" t="str">
            <v>Juros de empréstimos e financiamentos</v>
          </cell>
        </row>
        <row r="873">
          <cell r="A873" t="str">
            <v>3510201010 (-)Desp Financ-Juros s/Emprestimos (Realizado)</v>
          </cell>
        </row>
        <row r="874">
          <cell r="A874" t="str">
            <v>Outras despesas financeiras</v>
          </cell>
        </row>
        <row r="875">
          <cell r="A875" t="str">
            <v>3510201020 (-)Desp Financ-Juros s/Pgtos em Atraso (Realizado)</v>
          </cell>
        </row>
        <row r="876">
          <cell r="A876" t="str">
            <v>3510201990 (-)Desp Financ-Juros s/Outros Passivos (Realizado)</v>
          </cell>
        </row>
        <row r="877">
          <cell r="A877" t="str">
            <v>3510202030 Desp Financ-Var Monet s/Pgto Imposto em Atraso(R)</v>
          </cell>
        </row>
        <row r="878">
          <cell r="A878" t="str">
            <v>3510202990 Desp Financ-Var Monet s/Outros Passivos(Realizado)</v>
          </cell>
        </row>
        <row r="879">
          <cell r="A879" t="str">
            <v>3510202991 Desp Financ-Prov Var Monetaria s/Contingencias</v>
          </cell>
        </row>
        <row r="880">
          <cell r="A880" t="str">
            <v>3510203020 Desp Financ-Encarg/Outros-Custas Judiciais(Realiz)</v>
          </cell>
        </row>
        <row r="881">
          <cell r="A881" t="str">
            <v>3510203500 Desp Financ-Encarg/Outros-I.O.C / I.O.F(Realizado)</v>
          </cell>
        </row>
        <row r="882">
          <cell r="A882" t="str">
            <v>3510203504 Ajuste a Valor Justo</v>
          </cell>
        </row>
        <row r="883">
          <cell r="A883" t="str">
            <v>3510204010 Desp Financ-EFE-Comissoes s/Aquis Empres Amort(R)</v>
          </cell>
        </row>
        <row r="884">
          <cell r="A884" t="str">
            <v>3510205010 Desp Financ-Bancarias-Comissoes (Ralizado)</v>
          </cell>
        </row>
        <row r="885">
          <cell r="A885" t="str">
            <v>3510205014 Ajuste a Valor Justo</v>
          </cell>
        </row>
        <row r="886">
          <cell r="A886" t="str">
            <v>3510205020 Desp Financ-Bancarias-Corretagens (Realiz)</v>
          </cell>
        </row>
        <row r="887">
          <cell r="A887" t="str">
            <v>3510205030 Desp Financ-Bancarias-Comissoes Fiança (Realiz)</v>
          </cell>
        </row>
        <row r="888">
          <cell r="A888" t="str">
            <v>3510205040 Desp Financ-Bancaria-Txa Expediente (Realiz)</v>
          </cell>
        </row>
        <row r="889">
          <cell r="A889" t="str">
            <v>3510299990 Demais Despesas Financeiras (Realizado)</v>
          </cell>
        </row>
        <row r="890">
          <cell r="A890" t="str">
            <v>Perdas cambiais financieras, líquidas</v>
          </cell>
        </row>
        <row r="891">
          <cell r="A891" t="str">
            <v>Variações cambiais passivas sobre empréstimos</v>
          </cell>
        </row>
        <row r="892">
          <cell r="A892" t="str">
            <v>3530102040 Var C Liq Pas-Perda Va rCamb s/Empres Exterior(R)</v>
          </cell>
        </row>
        <row r="893">
          <cell r="A893" t="str">
            <v>Outras variações cambiais</v>
          </cell>
        </row>
        <row r="894">
          <cell r="A894" t="str">
            <v>3530101010 Var C Liq At-Ganho Var Camb s/Receb Exterior (R)</v>
          </cell>
        </row>
        <row r="895">
          <cell r="A895" t="str">
            <v>3530101020 Var C Liq At-Perda Var Camb s/Receb Exterior (R)</v>
          </cell>
        </row>
        <row r="896">
          <cell r="A896" t="str">
            <v>3530102010 Var C Liq Pas-Ganho Var Camb s/Exigiv Exterior(R)</v>
          </cell>
        </row>
        <row r="897">
          <cell r="A897" t="str">
            <v>3530102020 Var C Liq Pas-Perda Var Camb s/Exigiv Exterior(R)</v>
          </cell>
        </row>
        <row r="898">
          <cell r="A898" t="str">
            <v>Imposto de renda e constribuição social</v>
          </cell>
        </row>
        <row r="899">
          <cell r="A899" t="str">
            <v>Corrente</v>
          </cell>
        </row>
        <row r="900">
          <cell r="A900" t="str">
            <v>3910101011 (-)Prov CSLL/Exerc.Corrente-CSLL Ajustado (Realiz)</v>
          </cell>
        </row>
        <row r="901">
          <cell r="A901" t="str">
            <v>3910101014 (-)Prov CSLL/Exerc.Corrente-CSLL Aj Aliq Efet (Rea</v>
          </cell>
        </row>
        <row r="902">
          <cell r="A902" t="str">
            <v>3920101011 (-)Prov IRPJ/Exerc.Correne-IRPJ s/Lucro Real</v>
          </cell>
        </row>
        <row r="903">
          <cell r="A903" t="str">
            <v>3920101014 (-)Prov IRPJ/Exerc.Corrente Aj Aliq Efetiva (Reali</v>
          </cell>
        </row>
        <row r="904">
          <cell r="A904" t="str">
            <v>Diferido</v>
          </cell>
        </row>
        <row r="905">
          <cell r="A905" t="str">
            <v>3910101021 (-)Prov CSLL/Exerc.Corrente-CSLL Diferido Ativos</v>
          </cell>
        </row>
        <row r="906">
          <cell r="A906" t="str">
            <v>3910101041 (-)Prov CSLL Diferida Base Negativa</v>
          </cell>
        </row>
        <row r="907">
          <cell r="A907" t="str">
            <v>3910102011 Prov CSLL/Exerc Ant-Prov CSLL Exerc Anterior</v>
          </cell>
        </row>
        <row r="908">
          <cell r="A908" t="str">
            <v>3920101021 (-)Prov IRPJ/Exerc.Corrente-IRPJ Diferido Ativos</v>
          </cell>
        </row>
        <row r="909">
          <cell r="A909" t="str">
            <v>3920101041 (-)Prov IRPJ Diferido Prej Fiscal</v>
          </cell>
        </row>
        <row r="910">
          <cell r="A910" t="str">
            <v>3920102011 Prov IRPJ/Exerc.Ant-Prov IRPJ Exerc Anterior</v>
          </cell>
        </row>
        <row r="911">
          <cell r="A911"/>
        </row>
        <row r="912">
          <cell r="A912"/>
        </row>
        <row r="913">
          <cell r="A913"/>
        </row>
        <row r="914">
          <cell r="A914"/>
        </row>
        <row r="915">
          <cell r="A915"/>
        </row>
        <row r="916">
          <cell r="A916"/>
        </row>
        <row r="917">
          <cell r="A917"/>
        </row>
        <row r="918">
          <cell r="A918"/>
        </row>
        <row r="919">
          <cell r="A919"/>
        </row>
        <row r="920">
          <cell r="A920"/>
        </row>
        <row r="921">
          <cell r="A921"/>
        </row>
        <row r="922">
          <cell r="A922"/>
        </row>
        <row r="923">
          <cell r="A923"/>
        </row>
        <row r="924">
          <cell r="A924"/>
        </row>
        <row r="925">
          <cell r="A925"/>
        </row>
        <row r="926">
          <cell r="A926"/>
        </row>
        <row r="927">
          <cell r="A927"/>
        </row>
        <row r="928">
          <cell r="A928"/>
        </row>
        <row r="929">
          <cell r="A929"/>
        </row>
        <row r="930">
          <cell r="A930"/>
        </row>
        <row r="931">
          <cell r="A931"/>
        </row>
        <row r="932">
          <cell r="A932"/>
        </row>
        <row r="933">
          <cell r="A933"/>
        </row>
        <row r="934">
          <cell r="A934"/>
        </row>
        <row r="935">
          <cell r="A935"/>
        </row>
        <row r="936">
          <cell r="A936"/>
        </row>
        <row r="937">
          <cell r="A937"/>
        </row>
        <row r="938">
          <cell r="A938"/>
        </row>
        <row r="939">
          <cell r="A939"/>
        </row>
        <row r="940">
          <cell r="A940"/>
        </row>
        <row r="941">
          <cell r="A941"/>
        </row>
        <row r="942">
          <cell r="A942"/>
        </row>
        <row r="943">
          <cell r="A943"/>
        </row>
        <row r="944">
          <cell r="A944"/>
        </row>
        <row r="945">
          <cell r="A945"/>
        </row>
        <row r="946">
          <cell r="A946"/>
        </row>
        <row r="947">
          <cell r="A947"/>
        </row>
        <row r="948">
          <cell r="A948"/>
        </row>
        <row r="949">
          <cell r="A949"/>
        </row>
        <row r="950">
          <cell r="A950"/>
        </row>
        <row r="951">
          <cell r="A951"/>
        </row>
        <row r="952">
          <cell r="A952"/>
        </row>
        <row r="953">
          <cell r="A953"/>
        </row>
        <row r="954">
          <cell r="A954"/>
        </row>
        <row r="955">
          <cell r="A955"/>
        </row>
        <row r="956">
          <cell r="A956"/>
        </row>
        <row r="957">
          <cell r="A957"/>
        </row>
        <row r="958">
          <cell r="A958"/>
        </row>
        <row r="959">
          <cell r="A959"/>
        </row>
        <row r="960">
          <cell r="A960"/>
        </row>
        <row r="961">
          <cell r="A961"/>
        </row>
        <row r="962">
          <cell r="A962"/>
        </row>
        <row r="963">
          <cell r="A963"/>
        </row>
        <row r="964">
          <cell r="A964"/>
        </row>
        <row r="965">
          <cell r="A965"/>
        </row>
        <row r="966">
          <cell r="A966"/>
        </row>
        <row r="967">
          <cell r="A967"/>
        </row>
        <row r="968">
          <cell r="A968"/>
        </row>
        <row r="969">
          <cell r="A969"/>
        </row>
      </sheetData>
      <sheetData sheetId="7" refreshError="1">
        <row r="2">
          <cell r="A2" t="str">
            <v>ATIVO</v>
          </cell>
        </row>
        <row r="3">
          <cell r="A3" t="str">
            <v>CIRCULANTE</v>
          </cell>
        </row>
        <row r="4">
          <cell r="A4" t="str">
            <v>CAIXA E EQUIVALENTE DE CAIXA</v>
          </cell>
        </row>
        <row r="5">
          <cell r="A5" t="str">
            <v>Recursos em caixa e contas correntes bancária</v>
          </cell>
        </row>
        <row r="6">
          <cell r="A6" t="str">
            <v>1110102030 Banco Itau (Realizado)</v>
          </cell>
        </row>
        <row r="7">
          <cell r="A7" t="str">
            <v>1110102040 Banco Santander (Realizado)</v>
          </cell>
        </row>
        <row r="8">
          <cell r="A8" t="str">
            <v>1110102072 Banco Safra (Transitorias - Saidas)</v>
          </cell>
        </row>
        <row r="9">
          <cell r="A9" t="str">
            <v>1110102080 Banco Votorantin (Realizado)</v>
          </cell>
        </row>
        <row r="10">
          <cell r="A10" t="str">
            <v>1110102100 Banco Pactual S.A.(Realizado)</v>
          </cell>
        </row>
        <row r="11">
          <cell r="A11" t="str">
            <v>1110102120 Banco Alfa de Investimentos S.A. (Realizado)</v>
          </cell>
        </row>
        <row r="12">
          <cell r="A12" t="str">
            <v>1110102210 Banco do Brasil  (Realizado)</v>
          </cell>
        </row>
        <row r="13">
          <cell r="A13" t="str">
            <v>1110102220 Banco Bradesco (Realizado)</v>
          </cell>
        </row>
        <row r="14">
          <cell r="A14" t="str">
            <v>1110102240 Banco Santander (Realizado)</v>
          </cell>
        </row>
        <row r="15">
          <cell r="A15" t="str">
            <v>1110102250 Caixa Economica Federal (Realizado)</v>
          </cell>
        </row>
        <row r="16">
          <cell r="A16" t="str">
            <v>1110102270 Banco Safra (Transitorias - Saidas)</v>
          </cell>
        </row>
        <row r="17">
          <cell r="A17" t="str">
            <v>1110102290 Banco Paulista (Realizado)</v>
          </cell>
        </row>
        <row r="18">
          <cell r="A18" t="str">
            <v>1110102320 Banco Bradesco (Realizado)</v>
          </cell>
        </row>
        <row r="19">
          <cell r="A19" t="str">
            <v>1110102350 Caixa Economica Federal (Realizado)</v>
          </cell>
        </row>
        <row r="20">
          <cell r="A20" t="str">
            <v>Aplicações Financeiras (CDBs)</v>
          </cell>
        </row>
        <row r="21">
          <cell r="A21" t="str">
            <v>1110105010 Aplicaçoes Financeiras (Realizado)</v>
          </cell>
        </row>
        <row r="22">
          <cell r="A22" t="str">
            <v>APLICAÇÕES FINANCEIRAS</v>
          </cell>
        </row>
        <row r="23">
          <cell r="A23" t="str">
            <v>Mantidos para negociação</v>
          </cell>
        </row>
        <row r="24">
          <cell r="A24" t="str">
            <v>1110201010 Tits do Merc de Cap Inter Mant p/ Neg (Realizado)</v>
          </cell>
        </row>
        <row r="25">
          <cell r="A25" t="str">
            <v>Mantidos até o vencimento</v>
          </cell>
        </row>
        <row r="26">
          <cell r="A26" t="str">
            <v>1110201020 Tits do Merc de Cap Inter Mant ate Ven (Realizado)</v>
          </cell>
        </row>
        <row r="27">
          <cell r="A27" t="str">
            <v>DUPLICATAS A RECEBER DE CLIENTES</v>
          </cell>
        </row>
        <row r="28">
          <cell r="A28" t="str">
            <v>Clientes nacionais</v>
          </cell>
        </row>
        <row r="29">
          <cell r="A29" t="str">
            <v>1110501010 Duplicatas a Receber no MI  (Realizado)</v>
          </cell>
        </row>
        <row r="30">
          <cell r="A30" t="str">
            <v>1110501011 Duplicatas a Receber no MI (Parcela de CP / LP)</v>
          </cell>
        </row>
        <row r="31">
          <cell r="A31" t="str">
            <v>1110501014 (-)Rec Financeira a apropriar s/Dups a Rec no MI</v>
          </cell>
        </row>
        <row r="32">
          <cell r="A32" t="str">
            <v>Clientes Internacionais</v>
          </cell>
        </row>
        <row r="33">
          <cell r="A33" t="str">
            <v>1110502010 Duplicatas a Receber no ME  (Realizado)</v>
          </cell>
        </row>
        <row r="34">
          <cell r="A34" t="str">
            <v>PCLD</v>
          </cell>
        </row>
        <row r="35">
          <cell r="A35" t="str">
            <v>1110501900 (-) Provisões para Créditos de Liquidação Duvidosa</v>
          </cell>
        </row>
        <row r="36">
          <cell r="A36" t="str">
            <v>IMPOSTOS A RECUPERAR</v>
          </cell>
        </row>
        <row r="37">
          <cell r="A37" t="str">
            <v>Impostos de renda e CSLL</v>
          </cell>
        </row>
        <row r="38">
          <cell r="A38" t="str">
            <v>1111505990 Cred Fisc CSLL- Sdo Negativo Per Anterior (Realiz)</v>
          </cell>
        </row>
        <row r="39">
          <cell r="A39" t="str">
            <v>1111506990 Cred Fisc IRPJ Sdo Negativo Per Anterior (Realiz)</v>
          </cell>
        </row>
        <row r="40">
          <cell r="A40" t="str">
            <v>ICMS a recuperar</v>
          </cell>
        </row>
        <row r="41">
          <cell r="A41" t="str">
            <v>1111507010 ICMS a Recup sobre Ativo Permanente (Realizado)</v>
          </cell>
        </row>
        <row r="42">
          <cell r="A42" t="str">
            <v>1111507014 (-)AVP sobre ICMS a Recup sobre Ativo Permanente</v>
          </cell>
        </row>
        <row r="43">
          <cell r="A43" t="str">
            <v>1111507050 ICMS a Recuperar s/Aquisição Entrega Futura (R)</v>
          </cell>
        </row>
        <row r="44">
          <cell r="A44" t="str">
            <v>INSS a compensar</v>
          </cell>
        </row>
        <row r="45">
          <cell r="A45" t="str">
            <v>1111599070 INSS a Compensar  - Decisão Judicial (Realizado)</v>
          </cell>
        </row>
        <row r="46">
          <cell r="A46" t="str">
            <v>PIS a compensar Lei nº 9.715</v>
          </cell>
        </row>
        <row r="47">
          <cell r="A47" t="str">
            <v>1111599000 PIS a Compensar Lei 9715 (Realizado)</v>
          </cell>
        </row>
        <row r="48">
          <cell r="A48" t="str">
            <v>Outros</v>
          </cell>
        </row>
        <row r="49">
          <cell r="A49" t="str">
            <v>1111599010 Imp Import a Rec-Recolhimento em Dupl (Realiz)</v>
          </cell>
        </row>
        <row r="50">
          <cell r="A50" t="str">
            <v>1111599020 INSS a Rec-Recolhimento em Duplicidade (Realizado)</v>
          </cell>
        </row>
        <row r="51">
          <cell r="A51" t="str">
            <v>1111599030 Adic Estadual doImposto de Renda a Rec (Realizado)</v>
          </cell>
        </row>
        <row r="52">
          <cell r="A52" t="str">
            <v>1111599040 FINSOCIAL 1982/83 (Realizado)</v>
          </cell>
        </row>
        <row r="53">
          <cell r="A53" t="str">
            <v>1111599050 IRRF Tercs Ret a Maior (Realizado)</v>
          </cell>
        </row>
        <row r="54">
          <cell r="A54" t="str">
            <v>1111599060 PIS/COF/COF Ret a maior (Realizado)</v>
          </cell>
        </row>
        <row r="55">
          <cell r="A55" t="str">
            <v>ESTOQUES</v>
          </cell>
        </row>
        <row r="56">
          <cell r="A56" t="str">
            <v>Matérias-primas</v>
          </cell>
        </row>
        <row r="57">
          <cell r="A57" t="str">
            <v>1112090010 Importaçoes em And de Materias Primas (Realizado)</v>
          </cell>
        </row>
        <row r="58">
          <cell r="A58" t="str">
            <v>Produtos em processo</v>
          </cell>
        </row>
        <row r="59">
          <cell r="A59" t="str">
            <v>1112003010 Estoques de Produtos em Elaboraçao (Realizado)</v>
          </cell>
        </row>
        <row r="60">
          <cell r="A60" t="str">
            <v>Produtos Acabados</v>
          </cell>
        </row>
        <row r="61">
          <cell r="A61" t="str">
            <v>1112010010 Estoques de Produtos Acabados (Realizado)</v>
          </cell>
        </row>
        <row r="62">
          <cell r="A62" t="str">
            <v>1112050010 Estoques de Mercadorias Rev Nacionais (Realizado)</v>
          </cell>
        </row>
        <row r="63">
          <cell r="A63" t="str">
            <v>1112050020 Estoques de Mercadorias Rev Importadas (Realizado)</v>
          </cell>
        </row>
        <row r="64">
          <cell r="A64" t="str">
            <v>Provisão para desvalorização</v>
          </cell>
        </row>
        <row r="65">
          <cell r="A65" t="str">
            <v>1112010014 (-)Prov p/ Aj. do Est ao Vlr de Merc - Prods Acab</v>
          </cell>
        </row>
        <row r="66">
          <cell r="A66" t="str">
            <v>Materiais auxiliares e embalagens</v>
          </cell>
        </row>
        <row r="67">
          <cell r="A67" t="str">
            <v>1112005010 Estoques de Insumos (Mat-Aux) (Realiz)</v>
          </cell>
        </row>
        <row r="68">
          <cell r="A68" t="str">
            <v>1112008010 Estoques de Materiais de Embalagens (Realizado)</v>
          </cell>
        </row>
        <row r="69">
          <cell r="A69" t="str">
            <v>Materiais de manutenção e outros</v>
          </cell>
        </row>
        <row r="70">
          <cell r="A70" t="str">
            <v>1112020020 Estoque Almoxarif CP-Manutençao Eletrica (Realiz)</v>
          </cell>
        </row>
        <row r="71">
          <cell r="A71" t="str">
            <v>1112020030 Estoque Almoxarif CP-Manutençao Mecanica (Realiz)</v>
          </cell>
        </row>
        <row r="72">
          <cell r="A72" t="str">
            <v>1112020050 Estoq Alm CP-Manut Calderaria e Tubulaçao (Realiz)</v>
          </cell>
        </row>
        <row r="73">
          <cell r="A73" t="str">
            <v>1112020060 Estoque Alm CP-Manutençao Instrumentaçao (Realiz)</v>
          </cell>
        </row>
        <row r="74">
          <cell r="A74" t="str">
            <v>1112020070 Estoque Alm CP-Manutençao Celula HG (Realizado)</v>
          </cell>
        </row>
        <row r="75">
          <cell r="A75" t="str">
            <v>1112020080 Estoque Almo CP-Manut Celula Diafragma (Realizado)</v>
          </cell>
        </row>
        <row r="76">
          <cell r="A76" t="str">
            <v>1112020090 Estoque Alm CP-Manutençao Celula Membrana (Realiz)</v>
          </cell>
        </row>
        <row r="77">
          <cell r="A77" t="str">
            <v>1112020100 Estoque Alm CP-Manut.de Cilindros e Carretas R</v>
          </cell>
        </row>
        <row r="78">
          <cell r="A78" t="str">
            <v>1112020490 Estoque Almo CP-Manutençao em Geral (Realizado)</v>
          </cell>
        </row>
        <row r="79">
          <cell r="A79" t="str">
            <v>1112020500 Estoque Alm CP-Almoxarifado de Uso Geral (Realiz)</v>
          </cell>
        </row>
        <row r="80">
          <cell r="A80" t="str">
            <v>1112020991 Estoque Almoxarifado Transf. Parcela Realizada L.P</v>
          </cell>
        </row>
        <row r="81">
          <cell r="A81" t="str">
            <v>1112080200 Etq de Outros Mats-Almox em Poder de Ters (Realiz)</v>
          </cell>
        </row>
        <row r="82">
          <cell r="A82" t="str">
            <v>DESPESAS DE EXERCICIO SEGUINTE</v>
          </cell>
        </row>
        <row r="83">
          <cell r="A83" t="str">
            <v>Pagamentos Antecipados</v>
          </cell>
        </row>
        <row r="84">
          <cell r="A84" t="str">
            <v>1119001010 Pagamentos Antecipados-Seguros (Realizado)</v>
          </cell>
        </row>
        <row r="85">
          <cell r="A85" t="str">
            <v>1119001030 Pagamentos Antecip-Serv Tecnicos Prof (Realizado)</v>
          </cell>
        </row>
        <row r="86">
          <cell r="A86" t="str">
            <v>1119001040 Pagamentos Antecipados-Impostos (Realizado)</v>
          </cell>
        </row>
        <row r="87">
          <cell r="A87" t="str">
            <v>1119001050 Pagtos Antecip-Contribuiçoes Associativas (Realiz)</v>
          </cell>
        </row>
        <row r="88">
          <cell r="A88" t="str">
            <v>1119001900 Pagtos Antecip-Outras Desps/Custos(Realizado)</v>
          </cell>
        </row>
        <row r="89">
          <cell r="A89" t="str">
            <v>OUTROS ATIVOS CIRCULANTE</v>
          </cell>
        </row>
        <row r="90">
          <cell r="A90" t="str">
            <v>Adiantamento a Fornecedores</v>
          </cell>
        </row>
        <row r="91">
          <cell r="A91" t="str">
            <v>1118001010 Adiantamentos a Fornec de Serviços (Realizado)</v>
          </cell>
        </row>
        <row r="92">
          <cell r="A92" t="str">
            <v>1118001020 Adiantamentos a Fornecedores de MP (Realizado)</v>
          </cell>
        </row>
        <row r="93">
          <cell r="A93" t="str">
            <v>1118001030 Adiantamentos a Fornecedores de Energ (Realizado)</v>
          </cell>
        </row>
        <row r="94">
          <cell r="A94" t="str">
            <v>1118001040 Adiant  Fornecs de Materias de Consumo (Realizado)</v>
          </cell>
        </row>
        <row r="95">
          <cell r="A95" t="str">
            <v>1118001050 Adiant Fornecs de Funcionarios (Realizado)</v>
          </cell>
        </row>
        <row r="96">
          <cell r="A96" t="str">
            <v>1118001060 Adiantamentos a Fornecedores de Fretes</v>
          </cell>
        </row>
        <row r="97">
          <cell r="A97" t="str">
            <v>1118001070 Adiantamentos a Fornecedores do Exterior</v>
          </cell>
        </row>
        <row r="98">
          <cell r="A98" t="str">
            <v>Créditos a receber na venda de ativos</v>
          </cell>
        </row>
        <row r="99">
          <cell r="A99" t="str">
            <v>1118099060 Outros Créditos- Contratos a Receber (Realizado)</v>
          </cell>
        </row>
        <row r="100">
          <cell r="A100" t="str">
            <v>Outros Créditos</v>
          </cell>
        </row>
        <row r="101">
          <cell r="A101" t="str">
            <v>1118002010 Adiantamentos a Empregados Salarios (Realizado)</v>
          </cell>
        </row>
        <row r="102">
          <cell r="A102" t="str">
            <v>1118002020 Adiantamentos a Empregados 13º Salario (Realizado)</v>
          </cell>
        </row>
        <row r="103">
          <cell r="A103" t="str">
            <v>1118002030 Adiantamentos a Empregados Ferias (Realizado)</v>
          </cell>
        </row>
        <row r="104">
          <cell r="A104" t="str">
            <v>1118002050 Adiant a Empregados Plano Auxilio Doen (Realizado)</v>
          </cell>
        </row>
        <row r="105">
          <cell r="A105" t="str">
            <v>1118002060 Adto a Empregados Cobertura de Sdo Devedor (R)</v>
          </cell>
        </row>
        <row r="106">
          <cell r="A106" t="str">
            <v>1118002090 Adto a Empregados Desp de Resp de Funcionario (R)</v>
          </cell>
        </row>
        <row r="107">
          <cell r="A107" t="str">
            <v>1118099020 Outros Creditos-Depositos e Cauçoes (Realizado)</v>
          </cell>
        </row>
        <row r="108">
          <cell r="A108" t="str">
            <v>NÃO CIRCULANTE</v>
          </cell>
        </row>
        <row r="109">
          <cell r="A109" t="str">
            <v>DUPLICATAS A RECEBER DE CLIENTES</v>
          </cell>
        </row>
        <row r="110">
          <cell r="A110" t="str">
            <v>Clientes nacionais</v>
          </cell>
        </row>
        <row r="111">
          <cell r="A111" t="str">
            <v>1710501011 Duplicatas a Receber no MI LP (Parcela de CP / LP)</v>
          </cell>
        </row>
        <row r="112">
          <cell r="A112" t="str">
            <v>1710501014 (-)Rec Fin a apr s/ Dups a Rec no MI LP (P CP/LP)</v>
          </cell>
        </row>
        <row r="113">
          <cell r="A113" t="str">
            <v>IMPOSTOS A RECUPERAR</v>
          </cell>
        </row>
        <row r="114">
          <cell r="A114" t="str">
            <v>ICMS a Recuperar</v>
          </cell>
        </row>
        <row r="115">
          <cell r="A115" t="str">
            <v>1711507010 ICMS a Recuperar s/e Ativo Permanet LP (Realizado)</v>
          </cell>
        </row>
        <row r="116">
          <cell r="A116" t="str">
            <v>1711507014 (-)AVP s/ ICMS a Recuperar s/ Ativo Permanente LP</v>
          </cell>
        </row>
        <row r="117">
          <cell r="A117" t="str">
            <v>Outros</v>
          </cell>
        </row>
        <row r="118">
          <cell r="A118" t="str">
            <v>1711599040 FINSOCIAL 1982/83 (Realizado)</v>
          </cell>
        </row>
        <row r="119">
          <cell r="A119" t="str">
            <v>ESTOQUES</v>
          </cell>
        </row>
        <row r="120">
          <cell r="A120" t="str">
            <v>Materiais de Almoxarifado de Giro Baixo</v>
          </cell>
        </row>
        <row r="121">
          <cell r="A121" t="str">
            <v>1712020991 Estoque Almoxarifado Parcela Realizada LP</v>
          </cell>
        </row>
        <row r="122">
          <cell r="A122" t="str">
            <v>DEPÓSITOS JUDICIAIS</v>
          </cell>
        </row>
        <row r="123">
          <cell r="A123" t="str">
            <v>Tributários</v>
          </cell>
        </row>
        <row r="124">
          <cell r="A124" t="str">
            <v>1719001010 Dep Jud s/Res Trib Fed R</v>
          </cell>
        </row>
        <row r="125">
          <cell r="A125" t="str">
            <v>1719001011 ATM Dep Jud s/Res Trib Fed R</v>
          </cell>
        </row>
        <row r="126">
          <cell r="A126" t="str">
            <v>1719001030 Depos Jud s/Reserva-Imp, Taxas e Contrib Munic (R)</v>
          </cell>
        </row>
        <row r="127">
          <cell r="A127" t="str">
            <v>Trabalhistas</v>
          </cell>
        </row>
        <row r="128">
          <cell r="A128" t="str">
            <v>1719002010 Depos Jud s/Reserva-Reclamaçoes Trab (Realizado)</v>
          </cell>
        </row>
        <row r="129">
          <cell r="A129" t="str">
            <v>1719002030 Dep Judiciais s/Res -Previdenciarios (Realizado)</v>
          </cell>
        </row>
        <row r="130">
          <cell r="A130" t="str">
            <v>Outros depósitos judiciais</v>
          </cell>
        </row>
        <row r="131">
          <cell r="A131" t="str">
            <v>1719003990 Outros Dep Judic s/Reserva de Nat Oper (Realizado)</v>
          </cell>
        </row>
        <row r="132">
          <cell r="A132" t="str">
            <v>1719003991 ATM Outros Dep Judic s/Reserva Nat Oper (Realiz)</v>
          </cell>
        </row>
        <row r="133">
          <cell r="A133" t="str">
            <v>OUTROS ATIVOS NÃO CIRCULANTES</v>
          </cell>
        </row>
        <row r="134">
          <cell r="A134" t="str">
            <v>Créditos a receber na venda de ativos</v>
          </cell>
        </row>
        <row r="135">
          <cell r="A135" t="str">
            <v>1718099060 Outros Créditos- Contratos a Receber (Realizado)</v>
          </cell>
        </row>
        <row r="136">
          <cell r="A136" t="str">
            <v>INVESTIMENTOS</v>
          </cell>
        </row>
        <row r="137">
          <cell r="A137" t="str">
            <v>PARTICIPAÇÃO EM COLIGADA</v>
          </cell>
        </row>
        <row r="138">
          <cell r="A138" t="str">
            <v>Tecsis tecnologia e sistemas avançados</v>
          </cell>
        </row>
        <row r="139">
          <cell r="A139" t="str">
            <v>1720201010 Cto Part Per em Coligada ou ControladaTecsis</v>
          </cell>
        </row>
        <row r="140">
          <cell r="A140" t="str">
            <v>1720201012 Agios em Partic Per Colig ou Control - Tecsis</v>
          </cell>
        </row>
        <row r="141">
          <cell r="A141" t="str">
            <v>1720201014 Vlr Justo Ativos em Part Per Col Cont Tecsis</v>
          </cell>
        </row>
        <row r="142">
          <cell r="A142" t="str">
            <v>1720201015 Realização Vlr Justo em Part Per Col Cont -Tecsis</v>
          </cell>
        </row>
        <row r="143">
          <cell r="A143" t="str">
            <v>1720201018 Ajust Aval Patrimonial em Part Per Col Cont Tecsis</v>
          </cell>
        </row>
        <row r="144">
          <cell r="A144" t="str">
            <v>IMOBILIZADO</v>
          </cell>
        </row>
        <row r="145">
          <cell r="A145" t="str">
            <v>CUSTO</v>
          </cell>
        </row>
        <row r="146">
          <cell r="A146" t="str">
            <v>Terrenos</v>
          </cell>
        </row>
        <row r="147">
          <cell r="A147" t="str">
            <v>1740101010 Imobilizado-Custo dos Terrenos</v>
          </cell>
        </row>
        <row r="148">
          <cell r="A148" t="str">
            <v>1740101011 Imobilizado-Mais Valia dos Terrenos</v>
          </cell>
        </row>
        <row r="149">
          <cell r="A149" t="str">
            <v>1740101012 Imobilizado-Mais Valia Comb Neg dos Terrenos</v>
          </cell>
        </row>
        <row r="150">
          <cell r="A150" t="str">
            <v>Edificações e construções</v>
          </cell>
        </row>
        <row r="151">
          <cell r="A151" t="str">
            <v>1740102010 Imobilizado-Custo dos Edificios</v>
          </cell>
        </row>
        <row r="152">
          <cell r="A152" t="str">
            <v>1740102011 Imobilizado-Mais Valia dos Edificios</v>
          </cell>
        </row>
        <row r="153">
          <cell r="A153" t="str">
            <v>1740102012 Imobilizado-Mais Valia Comb Negocios dos Edificios</v>
          </cell>
        </row>
        <row r="154">
          <cell r="A154" t="str">
            <v>1740102014 Imobilizado-Contrapartida do AVP de Edificios</v>
          </cell>
        </row>
        <row r="155">
          <cell r="A155" t="str">
            <v>1740102020 Imobilizado-Custo das Benfeitorias</v>
          </cell>
        </row>
        <row r="156">
          <cell r="A156" t="str">
            <v>1740102021 Imobilizado-Mais Valia Benfeitorias</v>
          </cell>
        </row>
        <row r="157">
          <cell r="A157" t="str">
            <v>1740102022 Imobilizado-Mais Valia Comb Neg Benfeitorias</v>
          </cell>
        </row>
        <row r="158">
          <cell r="A158" t="str">
            <v>1740102024 Imobilizado-Contrapartida do AVP de Beneficios</v>
          </cell>
        </row>
        <row r="159">
          <cell r="A159" t="str">
            <v>Equipamentos e Instalações</v>
          </cell>
        </row>
        <row r="160">
          <cell r="A160" t="str">
            <v>1740103010 Imobilizado-Custo de Equipamentos</v>
          </cell>
        </row>
        <row r="161">
          <cell r="A161" t="str">
            <v>1740103011 Imobilizado-Mais Valia Equipamentos</v>
          </cell>
        </row>
        <row r="162">
          <cell r="A162" t="str">
            <v>1740103012 Imobilizado-Mais Valia Comb Neg Equipamentos</v>
          </cell>
        </row>
        <row r="163">
          <cell r="A163" t="str">
            <v>1740103014 Imobilizado-AVP Equipamentos</v>
          </cell>
        </row>
        <row r="164">
          <cell r="A164" t="str">
            <v>1740103020 Imobilizado-Custo dos Sobressalentes</v>
          </cell>
        </row>
        <row r="165">
          <cell r="A165" t="str">
            <v>1740103021 Imobilizado-Mais Valia dos Sobressalentes</v>
          </cell>
        </row>
        <row r="166">
          <cell r="A166" t="str">
            <v>1740103022 Imobilizado-Custo dos Sobressalentes</v>
          </cell>
        </row>
        <row r="167">
          <cell r="A167" t="str">
            <v>1740105020 Imobilizado-Custo de Veiculos Fora de Estrada</v>
          </cell>
        </row>
        <row r="168">
          <cell r="A168" t="str">
            <v>Veículos</v>
          </cell>
        </row>
        <row r="169">
          <cell r="A169" t="str">
            <v>1740105010 Imob-Custo de Veiculos de Passageiros e Carga</v>
          </cell>
        </row>
        <row r="170">
          <cell r="A170" t="str">
            <v>1740105011 Imob-Mais Valia de Veiculos de Passageiros e Carga</v>
          </cell>
        </row>
        <row r="171">
          <cell r="A171" t="str">
            <v>1740105012 Imob-Mais Valia de Veiculos de Passageiros e Carga</v>
          </cell>
        </row>
        <row r="172">
          <cell r="A172" t="str">
            <v>1740105014 Imob-AVP de Veiculos de Passageiros e Carga</v>
          </cell>
        </row>
        <row r="173">
          <cell r="A173" t="str">
            <v>Móveis e utensílios</v>
          </cell>
        </row>
        <row r="174">
          <cell r="A174" t="str">
            <v>1740104010 Imob-Custo de Moveis, Utensilios e Inst Comerciais</v>
          </cell>
        </row>
        <row r="175">
          <cell r="A175" t="str">
            <v>1740104014 Imob-AVP de Moveis, Utensilios e Inst Comerciais</v>
          </cell>
        </row>
        <row r="176">
          <cell r="A176" t="str">
            <v>Demais bens</v>
          </cell>
        </row>
        <row r="177">
          <cell r="A177" t="str">
            <v>1740199010 Imobilizado-Custo de Material Auxiliar Permanente</v>
          </cell>
        </row>
        <row r="178">
          <cell r="A178" t="str">
            <v>1740199070 Imobilizado-Custo de Computadores e Perifericos</v>
          </cell>
        </row>
        <row r="179">
          <cell r="A179" t="str">
            <v>1740199074 Imobilizado- AVP de Computadores e Perifericos</v>
          </cell>
        </row>
        <row r="180">
          <cell r="A180" t="str">
            <v>imobilizado em andamento</v>
          </cell>
        </row>
        <row r="181">
          <cell r="A181" t="str">
            <v>1745001010 Imob Andament-Custo das Aquisiçoes p/Imob (Receb)</v>
          </cell>
        </row>
        <row r="182">
          <cell r="A182" t="str">
            <v>1745001014 Contrapartida dos Aj a Vr Presente de IeA</v>
          </cell>
        </row>
        <row r="183">
          <cell r="A183" t="str">
            <v>1745001020 Imob And-Cto das Aquisiç de Sobres de Imob (Receb)</v>
          </cell>
        </row>
        <row r="184">
          <cell r="A184" t="str">
            <v>1745002030 Imob And-Cto dos Adiants p/Aquis de Imobiliz (T)</v>
          </cell>
        </row>
        <row r="185">
          <cell r="A185" t="str">
            <v>1745099010 Imob And-Encar Fin s/ Aquis de Imob-Juros (Realiz)</v>
          </cell>
        </row>
        <row r="186">
          <cell r="A186" t="str">
            <v>1745099030 Imob And-Encar Fin s/ Aquis de Imob-Var Cam (R)</v>
          </cell>
        </row>
        <row r="187">
          <cell r="A187" t="str">
            <v>DEPRECIAÇÃO</v>
          </cell>
        </row>
        <row r="188">
          <cell r="A188" t="str">
            <v>Edificações e construções</v>
          </cell>
        </row>
        <row r="189">
          <cell r="A189" t="str">
            <v>1740502010 (-)Depreciaçao-Custo dos Edificios</v>
          </cell>
        </row>
        <row r="190">
          <cell r="A190" t="str">
            <v>1740502011 (-)Depreciaçao-Mais Valia Edificios</v>
          </cell>
        </row>
        <row r="191">
          <cell r="A191" t="str">
            <v>1740502012 (-)Depreciaçao-Mais Valia Combin Neg Edificios</v>
          </cell>
        </row>
        <row r="192">
          <cell r="A192" t="str">
            <v>1740502014 (-)Depr-Contrapartida do AVP de Edificios</v>
          </cell>
        </row>
        <row r="193">
          <cell r="A193" t="str">
            <v>1740502020 (-)Depreciaçao-Custo das Benfeitorias</v>
          </cell>
        </row>
        <row r="194">
          <cell r="A194" t="str">
            <v>1740502021 (-)Depreciaçao-Mais Valia Benfeitorias</v>
          </cell>
        </row>
        <row r="195">
          <cell r="A195" t="str">
            <v>1740502022 (-)Depreciaçao-Mais Valia Combin Neg Benfeitorias</v>
          </cell>
        </row>
        <row r="196">
          <cell r="A196" t="str">
            <v>1740502024 (-)Depr-Contrapartida do AVP de Benfeitorias</v>
          </cell>
        </row>
        <row r="197">
          <cell r="A197" t="str">
            <v>Equipamentos e Instalações</v>
          </cell>
        </row>
        <row r="198">
          <cell r="A198" t="str">
            <v>1740503010 (-)Depreciaçao-Custo de Equipamentos</v>
          </cell>
        </row>
        <row r="199">
          <cell r="A199" t="str">
            <v>1740503011 (-)Depreciaçao-Mais Valia Equipamentos</v>
          </cell>
        </row>
        <row r="200">
          <cell r="A200" t="str">
            <v>1740503012 (-)Depreciaçao-Mais Valia Combin Neg Equipamentos</v>
          </cell>
        </row>
        <row r="201">
          <cell r="A201" t="str">
            <v>1740503014 (-)Depr-Contrapartida do AVP de Equipamentos</v>
          </cell>
        </row>
        <row r="202">
          <cell r="A202" t="str">
            <v>1740503020 (-)Depreciaçao-Custo dos Sobressalentes</v>
          </cell>
        </row>
        <row r="203">
          <cell r="A203" t="str">
            <v>1740503021 (-)Depreciaçao-Mais Valia Sobressalentes</v>
          </cell>
        </row>
        <row r="204">
          <cell r="A204" t="str">
            <v>1740503022 (-)Depreciaçao-Mais Valia Combin Neg Sobressalente</v>
          </cell>
        </row>
        <row r="205">
          <cell r="A205" t="str">
            <v>1740505020 (-)Depreciaçao-Custo de Veiculos Fora da Estrada</v>
          </cell>
        </row>
        <row r="206">
          <cell r="A206" t="str">
            <v>Veículos</v>
          </cell>
        </row>
        <row r="207">
          <cell r="A207" t="str">
            <v>1740505010 (-)Depr-Custo de Veiculos de Passageiros e Carga</v>
          </cell>
        </row>
        <row r="208">
          <cell r="A208" t="str">
            <v>1740505011 (-)Depreciaçao-Mais Valia Veiculos</v>
          </cell>
        </row>
        <row r="209">
          <cell r="A209" t="str">
            <v>1740505012 (-)Depreciaçao-Mais Valia Combin Neg Veiculos</v>
          </cell>
        </row>
        <row r="210">
          <cell r="A210" t="str">
            <v>1740505014 (-)Depr-Contrapartida do AVP de Veículos</v>
          </cell>
        </row>
        <row r="211">
          <cell r="A211" t="str">
            <v>Móveis e utensílios</v>
          </cell>
        </row>
        <row r="212">
          <cell r="A212" t="str">
            <v>1740504010 (-)Depreciaçao-Custo dos Móveis, Utens e Inst Com</v>
          </cell>
        </row>
        <row r="213">
          <cell r="A213" t="str">
            <v>1740504014 (-)Depr-Contrapartida do AVP de Móveis, Utens</v>
          </cell>
        </row>
        <row r="214">
          <cell r="A214" t="str">
            <v>Demais bens</v>
          </cell>
        </row>
        <row r="215">
          <cell r="A215" t="str">
            <v>1740599070 (-)Depreciaçao-Custo de Computadores e Perifericos</v>
          </cell>
        </row>
        <row r="216">
          <cell r="A216" t="str">
            <v>1740599074 (-)Depr-Contrap do AVP dos Computad Perifericos</v>
          </cell>
        </row>
        <row r="217">
          <cell r="A217" t="str">
            <v>INTANGÍVEL</v>
          </cell>
        </row>
        <row r="218">
          <cell r="A218" t="str">
            <v>INTANGÍVEL EM OPERAÇÃO</v>
          </cell>
        </row>
        <row r="219">
          <cell r="A219" t="str">
            <v>Ágio - combinação de negócio em estágios</v>
          </cell>
        </row>
        <row r="220">
          <cell r="A220" t="str">
            <v>1750190012 Intangivel Op-Mais Valia C N Ativ n Alocados</v>
          </cell>
        </row>
        <row r="221">
          <cell r="A221" t="str">
            <v>Carteira de clientes</v>
          </cell>
        </row>
        <row r="222">
          <cell r="A222" t="str">
            <v>1750103011 Intangivel Op-Mais Valia de Carteira de Clientes</v>
          </cell>
        </row>
        <row r="223">
          <cell r="A223" t="str">
            <v>1750103012 Intangivel Op-Mais Valia de Carteira Clientes C N</v>
          </cell>
        </row>
        <row r="224">
          <cell r="A224" t="str">
            <v>1750603011 (-)Amort-Mais Valia Carteira de Clientes</v>
          </cell>
        </row>
        <row r="225">
          <cell r="A225" t="str">
            <v>1750603012 (-)Amort-Mais Valia C N Carteira de Clientes</v>
          </cell>
        </row>
        <row r="226">
          <cell r="A226" t="str">
            <v>Direito de uso de software e pesquisa e desen</v>
          </cell>
        </row>
        <row r="227">
          <cell r="A227" t="str">
            <v>1750101010 Intangivel Op-Custo das Marcas e Patentes</v>
          </cell>
        </row>
        <row r="228">
          <cell r="A228" t="str">
            <v>1750102010 Intangivel Op-Cto das Software ou Prog de Comput</v>
          </cell>
        </row>
        <row r="229">
          <cell r="A229" t="str">
            <v>1750102014 Intangivel Op-AV de Software ou Prog de Comput</v>
          </cell>
        </row>
        <row r="230">
          <cell r="A230" t="str">
            <v>1750602010 (-)Amort-Cto dos Software ou Programas de Comput</v>
          </cell>
        </row>
        <row r="231">
          <cell r="A231" t="str">
            <v>1750602014 (-)Amort-Contrapartida do AVP de Softwares</v>
          </cell>
        </row>
        <row r="232">
          <cell r="A232" t="str">
            <v>Ágio Goodwill</v>
          </cell>
        </row>
        <row r="233">
          <cell r="A233" t="str">
            <v>1750190011 Intangivel Op-Mais Valia Ativ n Alocados</v>
          </cell>
        </row>
        <row r="234">
          <cell r="A234" t="str">
            <v>Tributos diferidos s/ágio não alocado</v>
          </cell>
        </row>
        <row r="235">
          <cell r="A235" t="str">
            <v>1750190021 Intangivel Op-Tribs Dif S/Mais Valia de Ativos (R)</v>
          </cell>
        </row>
        <row r="236">
          <cell r="A236" t="str">
            <v>1754900020 Int const p/trib Dif s/Mais Valia Ativos CN (Real)</v>
          </cell>
        </row>
        <row r="237">
          <cell r="A237" t="str">
            <v>PASSIVO E PATRIMÔNIO LÍQUIDO</v>
          </cell>
        </row>
        <row r="238">
          <cell r="A238" t="str">
            <v>CIRCULANTE</v>
          </cell>
        </row>
        <row r="239">
          <cell r="A239" t="str">
            <v>FORNECEDORES</v>
          </cell>
        </row>
        <row r="240">
          <cell r="A240" t="str">
            <v>Serviços</v>
          </cell>
        </row>
        <row r="241">
          <cell r="A241" t="str">
            <v>2110101010 Fornecedores Nacionais de Serviços (Realizado)</v>
          </cell>
        </row>
        <row r="242">
          <cell r="A242" t="str">
            <v>Matérias Primas</v>
          </cell>
        </row>
        <row r="243">
          <cell r="A243" t="str">
            <v>2110101020 Fornecedores Nacionais de MP (Realizado)</v>
          </cell>
        </row>
        <row r="244">
          <cell r="A244" t="str">
            <v>Fretes</v>
          </cell>
        </row>
        <row r="245">
          <cell r="A245" t="str">
            <v>2110101070 Fornecedores Nacionais de Fretes (Realizado)</v>
          </cell>
        </row>
        <row r="246">
          <cell r="A246" t="str">
            <v>Materiais de Consumo</v>
          </cell>
        </row>
        <row r="247">
          <cell r="A247" t="str">
            <v>2110101040 Fornecedores Nacionais de Mat de Cons(Realizado)</v>
          </cell>
        </row>
        <row r="248">
          <cell r="A248" t="str">
            <v>2110102040 Fornecedores do Ext de Mat de Cons (Realizado)</v>
          </cell>
        </row>
        <row r="249">
          <cell r="A249" t="str">
            <v>Demais tipos de fornecedores</v>
          </cell>
        </row>
        <row r="250">
          <cell r="A250" t="str">
            <v>2110101030 Fornecedores Nacionais de Energia (Realizado)</v>
          </cell>
        </row>
        <row r="251">
          <cell r="A251" t="str">
            <v>2110101050 Fornecedores Nacionais Funcionarios (Realizado)</v>
          </cell>
        </row>
        <row r="252">
          <cell r="A252" t="str">
            <v>2110101060 Fornecedores Nacionais Imps e Contrib (Realizado)</v>
          </cell>
        </row>
        <row r="253">
          <cell r="A253" t="str">
            <v>2110101990 Fornecedores Nacionais Outros (Realizado)</v>
          </cell>
        </row>
        <row r="254">
          <cell r="A254" t="str">
            <v>2110199011 Provisao de Entrada de Mercad e de Fatura (EM/EF)</v>
          </cell>
        </row>
        <row r="255">
          <cell r="A255" t="str">
            <v>EMPRÉSTIMOS</v>
          </cell>
        </row>
        <row r="256">
          <cell r="A256" t="str">
            <v>Moeda nacional</v>
          </cell>
        </row>
        <row r="257">
          <cell r="A257" t="str">
            <v>2110502010 Emprest e Financs em Moeda Nacional CP (Realizado)</v>
          </cell>
        </row>
        <row r="258">
          <cell r="A258" t="str">
            <v>2110502020 Juros s/Empr Fin em Moeda Nacional CP (Realizado)</v>
          </cell>
        </row>
        <row r="259">
          <cell r="A259" t="str">
            <v>2110502500 Custo de Emprest e Finan Amort em MN CP (Realiz)</v>
          </cell>
        </row>
        <row r="260">
          <cell r="A260" t="str">
            <v>Moeda estrangeira</v>
          </cell>
        </row>
        <row r="261">
          <cell r="A261" t="str">
            <v>2110502600 Emprestimos e Finan em Moeda Estrang CP (Realiz)</v>
          </cell>
        </row>
        <row r="262">
          <cell r="A262" t="str">
            <v>2110502610 Jur s/Emprest e Finan Moeda Estrang CP (Realizado)</v>
          </cell>
        </row>
        <row r="263">
          <cell r="A263" t="str">
            <v>SALÁRIOS E ENCARGOS SOCIAIS</v>
          </cell>
        </row>
        <row r="264">
          <cell r="A264" t="str">
            <v>Salários, Férias e Gratificações</v>
          </cell>
        </row>
        <row r="265">
          <cell r="A265" t="str">
            <v>2111001010 Salarios a Pagar (Realizado)</v>
          </cell>
        </row>
        <row r="266">
          <cell r="A266" t="str">
            <v>2111001050 Provisao de 13º Salario (Realizado)</v>
          </cell>
        </row>
        <row r="267">
          <cell r="A267" t="str">
            <v>2111001060 Provisao de Ferias (Realizado)</v>
          </cell>
        </row>
        <row r="268">
          <cell r="A268" t="str">
            <v>2111001080 Provisao de Gratificaçoes Ferias (Realizado)</v>
          </cell>
        </row>
        <row r="269">
          <cell r="A269" t="str">
            <v>2111001090 Provisao de Gratificaçoes Diretores Estatutários</v>
          </cell>
        </row>
        <row r="270">
          <cell r="A270" t="str">
            <v>2111001100 Provisão de Gratificações  - CLT</v>
          </cell>
        </row>
        <row r="271">
          <cell r="A271" t="str">
            <v>2111001900 Provisoes Partic nos Lucros de Funcion (Realizado)</v>
          </cell>
        </row>
        <row r="272">
          <cell r="A272" t="str">
            <v>INSS</v>
          </cell>
        </row>
        <row r="273">
          <cell r="A273" t="str">
            <v>2111005010 Contrib Prev a Recolher-INSS s/Folha (Realizado)</v>
          </cell>
        </row>
        <row r="274">
          <cell r="A274" t="str">
            <v>2111005020 Contrib Prev a Recolher-INSS s/Autonomos (Realiz)</v>
          </cell>
        </row>
        <row r="275">
          <cell r="A275" t="str">
            <v>2111005030 Contrib Prev a Recolher-INSS s/Cooperativas (Real)</v>
          </cell>
        </row>
        <row r="276">
          <cell r="A276" t="str">
            <v>2111005050 Prov de Contrib Prev-INSS sobre 13º Salario (R)</v>
          </cell>
        </row>
        <row r="277">
          <cell r="A277" t="str">
            <v>2111005060 Prov de Contrib Prev-INSS sobre Ferias (Realizado)</v>
          </cell>
        </row>
        <row r="278">
          <cell r="A278" t="str">
            <v>FGTS</v>
          </cell>
        </row>
        <row r="279">
          <cell r="A279" t="str">
            <v>2111006010 Contrib Prev a Recolher-FGTS s/Folha (Realizado)</v>
          </cell>
        </row>
        <row r="280">
          <cell r="A280" t="str">
            <v>2111006050 Prov Contrib Prev-FGTS s/ 13º Salario (Realizado)</v>
          </cell>
        </row>
        <row r="281">
          <cell r="A281" t="str">
            <v>2111006060 Prov Contrib Prev-FGTS sobre Ferias (Realizado)</v>
          </cell>
        </row>
        <row r="282">
          <cell r="A282" t="str">
            <v>IMPOSTOS DE RENDA E CONTRIBUIÇÃO SOCIAL</v>
          </cell>
        </row>
        <row r="283">
          <cell r="A283" t="str">
            <v>IRPJ e CSLL</v>
          </cell>
        </row>
        <row r="284">
          <cell r="A284" t="str">
            <v>1111001010 Antecipaçoes de CSLL (Realizado)</v>
          </cell>
        </row>
        <row r="285">
          <cell r="A285" t="str">
            <v>1111001020 Antecipaçoes de IRPJ (Realizado)</v>
          </cell>
        </row>
        <row r="286">
          <cell r="A286" t="str">
            <v>1111506020 IRRF sobre Aplicaçoes Financeiras (Realizado)</v>
          </cell>
        </row>
        <row r="287">
          <cell r="A287" t="str">
            <v>1111506030 IRRF sobre Depositos Judiciais (Realizado)</v>
          </cell>
        </row>
        <row r="288">
          <cell r="A288" t="str">
            <v>2112001010 Prov p/ CSLL s/Resultado Operacional (Realizado)</v>
          </cell>
        </row>
        <row r="289">
          <cell r="A289" t="str">
            <v>2112001014 Prov p/ CSLL s/Alíquota Efetiva</v>
          </cell>
        </row>
        <row r="290">
          <cell r="A290" t="str">
            <v>2112001020 Provisao p/ CSLL Diferida (Realizado)</v>
          </cell>
        </row>
        <row r="291">
          <cell r="A291" t="str">
            <v>2112001030 Provisao p/ CSLL Diferida s/Depreciaçao Fiscal (R)</v>
          </cell>
        </row>
        <row r="292">
          <cell r="A292" t="str">
            <v>2112001040 Contribuição Social s/Compensação Base Negativa (R</v>
          </cell>
        </row>
        <row r="293">
          <cell r="A293" t="str">
            <v>2112002010 Prov p/  IR s/Resultando Operacional (Realizado)</v>
          </cell>
        </row>
        <row r="294">
          <cell r="A294" t="str">
            <v>2112002014 Prov p/  IR s/Alíquota Efetiva</v>
          </cell>
        </row>
        <row r="295">
          <cell r="A295" t="str">
            <v>2112002020 Provisao para IR Diferida (Realizado)</v>
          </cell>
        </row>
        <row r="296">
          <cell r="A296" t="str">
            <v>2112002030 Provisao p/ IR Diferida s/Depreciaçao Fiscal (R)</v>
          </cell>
        </row>
        <row r="297">
          <cell r="A297" t="str">
            <v>2112002040 Imposto de Renda s/ Compensação Prejuízo Fiscal (R</v>
          </cell>
        </row>
        <row r="298">
          <cell r="A298" t="str">
            <v>OUTROS IMPOSTOS E CONTRIBUIÇÕES A PAGAR</v>
          </cell>
        </row>
        <row r="299">
          <cell r="A299" t="str">
            <v>ICMS a recolher</v>
          </cell>
        </row>
        <row r="300">
          <cell r="A300" t="str">
            <v>2113005300 ICMS a Recolher (Realizado)</v>
          </cell>
        </row>
        <row r="301">
          <cell r="A301" t="str">
            <v>PIS a recolher</v>
          </cell>
        </row>
        <row r="302">
          <cell r="A302" t="str">
            <v>2113005010 PIS a Recolher (Realizado)</v>
          </cell>
        </row>
        <row r="303">
          <cell r="A303" t="str">
            <v>Cofins a recolher</v>
          </cell>
        </row>
        <row r="304">
          <cell r="A304" t="str">
            <v>2113005020 COFINS a Recolher (Realizado)</v>
          </cell>
        </row>
        <row r="305">
          <cell r="A305" t="str">
            <v>Obrigações tributárias s/ servs.de terceiros</v>
          </cell>
        </row>
        <row r="306">
          <cell r="A306" t="str">
            <v>2113001010 IR de Funcionarios (Realizado)</v>
          </cell>
        </row>
        <row r="307">
          <cell r="A307" t="str">
            <v>2113001300 Imposto de Renda s/Servs de Terceiros (Realizado)</v>
          </cell>
        </row>
        <row r="308">
          <cell r="A308" t="str">
            <v>2113001310 INSS s/Serviços de Terceiros PF</v>
          </cell>
        </row>
        <row r="309">
          <cell r="A309" t="str">
            <v>2113001320 INSS s/Serviços de Terceiros PJ</v>
          </cell>
        </row>
        <row r="310">
          <cell r="A310" t="str">
            <v>2113001350 CSLL s/Serviços de Terceiros (Realizado)</v>
          </cell>
        </row>
        <row r="311">
          <cell r="A311" t="str">
            <v>2113001360 PIS s/Serviços de Terceiros (Realizado)</v>
          </cell>
        </row>
        <row r="312">
          <cell r="A312" t="str">
            <v>2113001370 COFINS s/Serviços de Terceiros (Realizado)</v>
          </cell>
        </row>
        <row r="313">
          <cell r="A313" t="str">
            <v>2113001400 ISS s/Serviços de Terceiros (Realizado)</v>
          </cell>
        </row>
        <row r="314">
          <cell r="A314" t="str">
            <v>DIVIDENDOS E JUROS S/ CAPITAL PROPRIO A PAGAR</v>
          </cell>
        </row>
        <row r="315">
          <cell r="A315" t="str">
            <v>Dividendos a pagar</v>
          </cell>
        </row>
        <row r="316">
          <cell r="A316" t="str">
            <v>2114001010 Dividendos a Pagar (Realizado)</v>
          </cell>
        </row>
        <row r="317">
          <cell r="A317" t="str">
            <v>Dividendos propostos</v>
          </cell>
        </row>
        <row r="318">
          <cell r="A318" t="str">
            <v>2114001020 Dividendos Propostos (Realizado)</v>
          </cell>
        </row>
        <row r="319">
          <cell r="A319" t="str">
            <v>DEMANDAS JUDICIAIS</v>
          </cell>
        </row>
        <row r="320">
          <cell r="A320" t="str">
            <v>Fiscais</v>
          </cell>
        </row>
        <row r="321">
          <cell r="A321" t="str">
            <v>2119001010 Prov Nat Trib s/Dep Gar CP-Imp,Taxas Contr Fed (R)</v>
          </cell>
        </row>
        <row r="322">
          <cell r="A322" t="str">
            <v>ENERGIA ELÉTRICA</v>
          </cell>
        </row>
        <row r="323">
          <cell r="A323" t="str">
            <v>Energia elétrica provisionada</v>
          </cell>
        </row>
        <row r="324">
          <cell r="A324" t="str">
            <v>2118005010 Fornec e nao Faturado-Energia Eletrica (Realizado)</v>
          </cell>
        </row>
        <row r="325">
          <cell r="A325" t="str">
            <v>OUTROS PASSIVOS CIRCULANTES</v>
          </cell>
        </row>
        <row r="326">
          <cell r="A326" t="str">
            <v>Serviços Técnicos profissionais</v>
          </cell>
        </row>
        <row r="327">
          <cell r="A327" t="str">
            <v>2119003020 Prov Nat Op Desp c/ Servs Tecn e Prof CP (Realiz)</v>
          </cell>
        </row>
        <row r="328">
          <cell r="A328" t="str">
            <v>Fretes sobre vendas</v>
          </cell>
        </row>
        <row r="329">
          <cell r="A329" t="str">
            <v>2119003010 Prov Nat Op Desp c/ Fretes s/Vendas CP (Realizado)</v>
          </cell>
        </row>
        <row r="330">
          <cell r="A330" t="str">
            <v>Desembaraço alfandegário</v>
          </cell>
        </row>
        <row r="331">
          <cell r="A331" t="str">
            <v>2118005040 Fornec e nao Faturado-Materiais de Cons (Realiz)</v>
          </cell>
        </row>
        <row r="332">
          <cell r="A332" t="str">
            <v>Obrigações de natureza fiscais</v>
          </cell>
        </row>
        <row r="333">
          <cell r="A333" t="str">
            <v>2119001030 Prov Nat Trib s/Dep Gar CP-Imp,Taxas Cont Mun (R)</v>
          </cell>
        </row>
        <row r="334">
          <cell r="A334" t="str">
            <v>Trabalhistas e previdênciárias</v>
          </cell>
        </row>
        <row r="335">
          <cell r="A335" t="str">
            <v>2119002020 Prov Ind Trab p/Desligamen Compulsório CP (Realiz)</v>
          </cell>
        </row>
        <row r="336">
          <cell r="A336" t="str">
            <v>2119002030 Prov Nat Trab s/Dep Gar CP-Previdenciaria (Realiz)</v>
          </cell>
        </row>
        <row r="337">
          <cell r="A337" t="str">
            <v>Outras obrigações e compromissos</v>
          </cell>
        </row>
        <row r="338">
          <cell r="A338" t="str">
            <v>2118005020 Fornec e nao Faturado-Agua (Realizado)</v>
          </cell>
        </row>
        <row r="339">
          <cell r="A339" t="str">
            <v>2118005090 Fornec e nao Faturado-Servs Prestados (Realizado)</v>
          </cell>
        </row>
        <row r="340">
          <cell r="A340" t="str">
            <v>2118010010 Retençoes s/Contratos de Compras (Realizado)</v>
          </cell>
        </row>
        <row r="341">
          <cell r="A341" t="str">
            <v>2118050010 Adiantamentos de Clientes (Realizado)</v>
          </cell>
        </row>
        <row r="342">
          <cell r="A342" t="str">
            <v>2119003030 Prov Nat Op Desp c/Servs de Auditoria CP (Realiz)</v>
          </cell>
        </row>
        <row r="343">
          <cell r="A343" t="str">
            <v>2119003040 Prov Nat Op Desp c/Seguros Gerais CP (Realizado)</v>
          </cell>
        </row>
        <row r="344">
          <cell r="A344" t="str">
            <v>2119003990 Prov Nat Op Outras Desp Provisionadas CP (Realiz)</v>
          </cell>
        </row>
        <row r="345">
          <cell r="A345" t="str">
            <v>NÃO CIRCULANTE</v>
          </cell>
        </row>
        <row r="346">
          <cell r="A346" t="str">
            <v>EMPRÉSTIMOS</v>
          </cell>
        </row>
        <row r="347">
          <cell r="A347" t="str">
            <v>Moeda nacional</v>
          </cell>
        </row>
        <row r="348">
          <cell r="A348" t="str">
            <v>2310502010 Emprest Finan Bancarios Moeda Nacional LP (R)</v>
          </cell>
        </row>
        <row r="349">
          <cell r="A349" t="str">
            <v>Moeda estrangeira</v>
          </cell>
        </row>
        <row r="350">
          <cell r="A350" t="str">
            <v>2310502600 Empr Financiamentos Moeda Estrangeira LP (Realiz)</v>
          </cell>
        </row>
        <row r="351">
          <cell r="A351" t="str">
            <v>IR E CONTRIBUIÇÃO SOCIAL DIFERIDOS</v>
          </cell>
        </row>
        <row r="352">
          <cell r="A352" t="str">
            <v>Ativo de imposto diferido</v>
          </cell>
        </row>
        <row r="353">
          <cell r="A353" t="str">
            <v>1111505014 Ajustes Temporarios Aliq Efetiva CSLL (Realiz)</v>
          </cell>
        </row>
        <row r="354">
          <cell r="A354" t="str">
            <v>1111506014 Ajustes Temps Aliq Efetiva IRPJ (Realiz)</v>
          </cell>
        </row>
        <row r="355">
          <cell r="A355" t="str">
            <v>1711505000 Cred Fisc CSLL-Bas de Cal Negativa LP (Real)</v>
          </cell>
        </row>
        <row r="356">
          <cell r="A356" t="str">
            <v>1711505010 Cred Fisc CSLL-Dif Temp (Real)</v>
          </cell>
        </row>
        <row r="357">
          <cell r="A357" t="str">
            <v>1711506000 Cred Fisc IRPJL-Prejuizo Fiscal LP (Real)</v>
          </cell>
        </row>
        <row r="358">
          <cell r="A358" t="str">
            <v>1711506010 Cred Fisc IRPJ-Dif Temp (Realizado)</v>
          </cell>
        </row>
        <row r="359">
          <cell r="A359" t="str">
            <v>Passivo de imposto diferido</v>
          </cell>
        </row>
        <row r="360">
          <cell r="A360" t="str">
            <v>2312001030 Prov p/CSLL Diferida s/Depr Fiscal LP (Realiz)</v>
          </cell>
        </row>
        <row r="361">
          <cell r="A361" t="str">
            <v>2312001040 Prov p/CSLL Diferida s/Dif Temp (Realiz)</v>
          </cell>
        </row>
        <row r="362">
          <cell r="A362" t="str">
            <v>2312002030 Prov p/IR Diferida s/Depr Fiscal LP (Realiz)</v>
          </cell>
        </row>
        <row r="363">
          <cell r="A363" t="str">
            <v>2312002040 Prov p/IR Diferida s/Dif Temp (Realiz)</v>
          </cell>
        </row>
        <row r="364">
          <cell r="A364" t="str">
            <v>OBRIGAÇÕES COM BENEFICIOS AOS EMPREGADOS</v>
          </cell>
        </row>
        <row r="365">
          <cell r="A365" t="str">
            <v>Provisão para previdência privada</v>
          </cell>
        </row>
        <row r="366">
          <cell r="A366" t="str">
            <v>2318001010 Previdencia Privada-CVM 371 LP (Realizado)</v>
          </cell>
        </row>
        <row r="367">
          <cell r="A367" t="str">
            <v>Provisão para assistência médica</v>
          </cell>
        </row>
        <row r="368">
          <cell r="A368" t="str">
            <v>2319002150 Prov Nat Trab Assist Medica Aposent LP (Realizado)</v>
          </cell>
        </row>
        <row r="369">
          <cell r="A369" t="str">
            <v>Provisão para aposentadoria compulsória</v>
          </cell>
        </row>
        <row r="370">
          <cell r="A370" t="str">
            <v>2319002100 Prov Nat Trab FGTS Aviso Prev s/Aposen Comp LP (R)</v>
          </cell>
        </row>
        <row r="371">
          <cell r="A371" t="str">
            <v>Provisão para gratificação tempo de casa</v>
          </cell>
        </row>
        <row r="372">
          <cell r="A372" t="str">
            <v>2319002200 Prov Nat Trab Gratif Tempo Serv LP-Quinq (Realiz)</v>
          </cell>
        </row>
        <row r="373">
          <cell r="A373" t="str">
            <v>DEMANDAS JUDICIAIS</v>
          </cell>
        </row>
        <row r="374">
          <cell r="A374" t="str">
            <v>Fiscais</v>
          </cell>
        </row>
        <row r="375">
          <cell r="A375" t="str">
            <v>2319001010 Prov Nat Trib s/Dep Gar LP-Imp,Taxs Cont Fed (R)</v>
          </cell>
        </row>
        <row r="376">
          <cell r="A376" t="str">
            <v>2319101010 Prov Nat Trib c/Dep Gar LP-Imp,Taxas Cont Fed (R)</v>
          </cell>
        </row>
        <row r="377">
          <cell r="A377" t="str">
            <v>2319101030 Prov Nat Trib c/Dep em Gar LP-Imps Taxs Ctrb M (R)</v>
          </cell>
        </row>
        <row r="378">
          <cell r="A378" t="str">
            <v>Trabalhistas</v>
          </cell>
        </row>
        <row r="379">
          <cell r="A379" t="str">
            <v>2319002010 Prov Nat Trab s/Dep em Gar LP-Recl Trabalh (Real)</v>
          </cell>
        </row>
        <row r="380">
          <cell r="A380" t="str">
            <v>2319102030 Prov Nat Trab c/Dep em Gar LP - Previd (Realizado)</v>
          </cell>
        </row>
        <row r="381">
          <cell r="A381" t="str">
            <v>Cíveis</v>
          </cell>
        </row>
        <row r="382">
          <cell r="A382" t="str">
            <v>2319000010 Prov Nat Cível s/Dep Gar LP (R)</v>
          </cell>
        </row>
        <row r="383">
          <cell r="A383" t="str">
            <v>Ambientais</v>
          </cell>
        </row>
        <row r="384">
          <cell r="A384" t="str">
            <v>2319003100 Prov Nat Op Desp Amb Trat Subsolo LP (Realiz)</v>
          </cell>
        </row>
        <row r="385">
          <cell r="A385" t="str">
            <v>Depósitos judiciais</v>
          </cell>
        </row>
        <row r="386">
          <cell r="A386" t="str">
            <v>1719101010 Dep Jud c/ Reserv-Imp,Taxas e Contrib Fed (Realiz)</v>
          </cell>
        </row>
        <row r="387">
          <cell r="A387" t="str">
            <v>1719101030 Dep Jud c/Res-Imp, Taxas e Contrib Munic (Realiz)</v>
          </cell>
        </row>
        <row r="388">
          <cell r="A388" t="str">
            <v>1719102030 Dep Judiciais c/Res -Previdenciarios (Realizado)</v>
          </cell>
        </row>
        <row r="389">
          <cell r="A389" t="str">
            <v>PATRIMÔNIO LÍQUIDO</v>
          </cell>
        </row>
        <row r="390">
          <cell r="A390" t="str">
            <v>CAPITAL SOCIAL</v>
          </cell>
        </row>
        <row r="391">
          <cell r="A391" t="str">
            <v>Capital Subscrito</v>
          </cell>
        </row>
        <row r="392">
          <cell r="A392" t="str">
            <v>2710101010 Capital  Subs Domic e Resids no Pais (Realizado)</v>
          </cell>
        </row>
        <row r="393">
          <cell r="A393" t="str">
            <v>AÇÕES EM TESOURARIA</v>
          </cell>
        </row>
        <row r="394">
          <cell r="A394" t="str">
            <v>Preferenciais</v>
          </cell>
        </row>
        <row r="395">
          <cell r="A395" t="str">
            <v>2760101010 Acoes Preferenciais em Tesouraria</v>
          </cell>
        </row>
        <row r="396">
          <cell r="A396" t="str">
            <v>Ordinárias</v>
          </cell>
        </row>
        <row r="397">
          <cell r="A397" t="str">
            <v>2760101020 Acoes Ordinarias em Tesouraria</v>
          </cell>
        </row>
        <row r="398">
          <cell r="A398" t="str">
            <v>RESERVA DE CAPITAL</v>
          </cell>
        </row>
        <row r="399">
          <cell r="A399" t="str">
            <v>Reserva de capital</v>
          </cell>
        </row>
        <row r="400">
          <cell r="A400" t="str">
            <v>2740101010 Reservas de Capital (Realizado)</v>
          </cell>
        </row>
        <row r="401">
          <cell r="A401" t="str">
            <v>RESERVAS DE LUCROS</v>
          </cell>
        </row>
        <row r="402">
          <cell r="A402" t="str">
            <v>Reserva legal</v>
          </cell>
        </row>
        <row r="403">
          <cell r="A403" t="str">
            <v>2740201010 Reserva Legal (Realizado)</v>
          </cell>
        </row>
        <row r="404">
          <cell r="A404" t="str">
            <v>Reserva especial para dividendos</v>
          </cell>
        </row>
        <row r="405">
          <cell r="A405" t="str">
            <v>2740203010 Reserva Especial p/Dividendos (Realizado)</v>
          </cell>
        </row>
        <row r="406">
          <cell r="A406" t="str">
            <v>Reserva de retenção de lucros</v>
          </cell>
        </row>
        <row r="407">
          <cell r="A407" t="str">
            <v>2740202000 Reserva Est-Ret de Lucros An Anteriores (Realiz)</v>
          </cell>
        </row>
        <row r="408">
          <cell r="A408" t="str">
            <v>2740202100 Reserva Est-Ret de Lucros Exer de 2.014 (Realiz)</v>
          </cell>
        </row>
        <row r="409">
          <cell r="A409" t="str">
            <v>Reserva de lucros a realizar</v>
          </cell>
        </row>
        <row r="410">
          <cell r="A410" t="str">
            <v>2740204010 Reserva de Lucros a Realizar (Realizado)</v>
          </cell>
        </row>
        <row r="411">
          <cell r="A411" t="str">
            <v>OUTROS RESULTADOS ABRANGENTES DO PERIODO</v>
          </cell>
        </row>
        <row r="412">
          <cell r="A412" t="str">
            <v>Ajuste às normas internacionais de contab.</v>
          </cell>
        </row>
        <row r="413">
          <cell r="A413" t="str">
            <v>2750101010 Ajs as Normas Internac de Contab (Realizado)</v>
          </cell>
        </row>
        <row r="414">
          <cell r="A414" t="str">
            <v>2750102010 (-)Ajs as Normas Internac de Contab (Realizado)</v>
          </cell>
        </row>
        <row r="415">
          <cell r="A415" t="str">
            <v>LUCROS ACUMULADOS</v>
          </cell>
        </row>
        <row r="416">
          <cell r="A416" t="str">
            <v>Resultado líquido do periodo</v>
          </cell>
        </row>
        <row r="417">
          <cell r="A417" t="str">
            <v>Resultado antes dos tributos sobre o lucro</v>
          </cell>
        </row>
        <row r="418">
          <cell r="A418" t="str">
            <v>Resultado antes do resultado financeiro</v>
          </cell>
        </row>
        <row r="419">
          <cell r="A419" t="str">
            <v>Lucro bruto</v>
          </cell>
        </row>
        <row r="420">
          <cell r="A420" t="str">
            <v>Receita líquida de vendas</v>
          </cell>
        </row>
        <row r="421">
          <cell r="A421" t="str">
            <v>Receita bruta de vendas</v>
          </cell>
        </row>
        <row r="422">
          <cell r="A422" t="str">
            <v>Mercado interno</v>
          </cell>
        </row>
        <row r="423">
          <cell r="A423" t="str">
            <v>3110101030 Rec Brt-Vendas de Produtos no MI (Realizado)</v>
          </cell>
        </row>
        <row r="424">
          <cell r="A424" t="str">
            <v>3110105030 Rec Brt-Rev de Mercs Nacionais no MI (Realizado)</v>
          </cell>
        </row>
        <row r="425">
          <cell r="A425" t="str">
            <v>3110106030 Rec Brt-Rev de Mercs Importadas MI ( Realizado)</v>
          </cell>
        </row>
        <row r="426">
          <cell r="A426" t="str">
            <v>3110108030 Rec Brt-Rev de Mercs Diversas no MI (Realizado)</v>
          </cell>
        </row>
        <row r="427">
          <cell r="A427" t="str">
            <v>3110301030 (-)Vendas Canc e Dev de Prod no MI (Realizado)</v>
          </cell>
        </row>
        <row r="428">
          <cell r="A428" t="str">
            <v>3110305030 (-)Rev Canc e Dev de Merc Nac no MI (Realizado)</v>
          </cell>
        </row>
        <row r="429">
          <cell r="A429" t="str">
            <v>Mercado externo</v>
          </cell>
        </row>
        <row r="430">
          <cell r="A430" t="str">
            <v>3110101010 Rec Brt-Export Direta de Produtos FP (Realizado)</v>
          </cell>
        </row>
        <row r="431">
          <cell r="A431" t="str">
            <v>3110305010 (-)Rev Canc e Dev de Merc Nac no ME (Realizado)</v>
          </cell>
        </row>
        <row r="432">
          <cell r="A432" t="str">
            <v>Impostos incidentes s/ vendas e abatimentos</v>
          </cell>
        </row>
        <row r="433">
          <cell r="A433" t="str">
            <v>3110401030 (-)Desc Incond s/Vend de Prod FP no MI (Realizado)</v>
          </cell>
        </row>
        <row r="434">
          <cell r="A434" t="str">
            <v>3110405030 (-)Desc Incond s/Rev Merc Nacional no MI (Realiz)</v>
          </cell>
        </row>
        <row r="435">
          <cell r="A435" t="str">
            <v>3110408030 (-)Desc Incond s/Rev Merc Diversas no MI (Realiz)</v>
          </cell>
        </row>
        <row r="436">
          <cell r="A436" t="str">
            <v>3110501030 (-)ICMS s/Vendas de Produtos FP no MI (Realiz)</v>
          </cell>
        </row>
        <row r="437">
          <cell r="A437" t="str">
            <v>3110505030 (-)ICMS s/Rev de Mercs Nacionais no MI (Realiz)</v>
          </cell>
        </row>
        <row r="438">
          <cell r="A438" t="str">
            <v>3110506030 (-)ICMS s/Rev de Merc Imports no MI (Realiz)</v>
          </cell>
        </row>
        <row r="439">
          <cell r="A439" t="str">
            <v>3110508030 (-)ICMS s/Rev Mercadorias Divs no MI (Realizado)</v>
          </cell>
        </row>
        <row r="440">
          <cell r="A440" t="str">
            <v>3110590900 (-)ICMS s/Remessas Mercadorias Div no MI (Realiz)</v>
          </cell>
        </row>
        <row r="441">
          <cell r="A441" t="str">
            <v>3110601030 (-)Cofins s/Venda Produtos FP no MI (R)</v>
          </cell>
        </row>
        <row r="442">
          <cell r="A442" t="str">
            <v>3110605030 (-)Cofins s/Revenda Merc Nacionais no MI (Realiz)</v>
          </cell>
        </row>
        <row r="443">
          <cell r="A443" t="str">
            <v>3110606030 (-)Cofins s/Revenda Merc Importadas no MI (Realiz)</v>
          </cell>
        </row>
        <row r="444">
          <cell r="A444" t="str">
            <v>3110608030 (-)Cofins s/Revenda Mercad Divs no MI (Realiz)</v>
          </cell>
        </row>
        <row r="445">
          <cell r="A445" t="str">
            <v>3110701030 (-)PIS/Pasep s/Vendas Produtos FP no MI (Realiz)</v>
          </cell>
        </row>
        <row r="446">
          <cell r="A446" t="str">
            <v>3110705030 (-)PIS/Pasep s/Rev Merc Nacionais no MI (Realiz)</v>
          </cell>
        </row>
        <row r="447">
          <cell r="A447" t="str">
            <v>3110706030 (-)PIS/Pasep s/Rev Merc Importadas no MI (Realiz)</v>
          </cell>
        </row>
        <row r="448">
          <cell r="A448" t="str">
            <v>3110708030 (-)PIS/Pasep s/Revenda Merc Divs no MI (Realiz)</v>
          </cell>
        </row>
        <row r="449">
          <cell r="A449" t="str">
            <v>Custo dos bens e serviços vendidos</v>
          </cell>
        </row>
        <row r="450">
          <cell r="A450" t="str">
            <v>Variações nos estoques de Materiais</v>
          </cell>
        </row>
        <row r="451">
          <cell r="A451" t="str">
            <v>3130101010 Custo de Exportaçao Direta de Produtos (Realiz)</v>
          </cell>
        </row>
        <row r="452">
          <cell r="A452" t="str">
            <v>3130101012 Rev Prov p/ Desv de Exportaçao Direta de Produtos</v>
          </cell>
        </row>
        <row r="453">
          <cell r="A453" t="str">
            <v>3130101015 Prov p/Desv de Exportaçao Direta de Produtos</v>
          </cell>
        </row>
        <row r="454">
          <cell r="A454" t="str">
            <v>3130101030 Custo das Vendas de Produtos MI (Realizado)</v>
          </cell>
        </row>
        <row r="455">
          <cell r="A455" t="str">
            <v>3130101031 Custo Vendas de Produtos MI - AJ</v>
          </cell>
        </row>
        <row r="456">
          <cell r="A456" t="str">
            <v>3130101039 Custo das Vendas de Produtos MI Serv (Realizado)</v>
          </cell>
        </row>
        <row r="457">
          <cell r="A457" t="str">
            <v>3130105030 Custo das Revendas de Mercadorias no MI (Realiz)</v>
          </cell>
        </row>
        <row r="458">
          <cell r="A458" t="str">
            <v>3130105031 Custo Revendas de Produtos MI - AJ</v>
          </cell>
        </row>
        <row r="459">
          <cell r="A459" t="str">
            <v>3130106030 Custo da Revenda de Merc Importadas no MI (Realiz)</v>
          </cell>
        </row>
        <row r="460">
          <cell r="A460" t="str">
            <v>3130130030 Custo das Vendas de Serviços no MI (Realizado)</v>
          </cell>
        </row>
        <row r="461">
          <cell r="A461" t="str">
            <v>5110101010 Estoq Consumido Prod-Materia Prima SAL (Realizado)</v>
          </cell>
        </row>
        <row r="462">
          <cell r="A462" t="str">
            <v>5110101011 Estoq Consumido Prod-Materia Prima SAL (Aj Real)</v>
          </cell>
        </row>
        <row r="463">
          <cell r="A463" t="str">
            <v>5110101020 Estoq Consumido Prod-MP-Etileno (Realizado)</v>
          </cell>
        </row>
        <row r="464">
          <cell r="A464" t="str">
            <v>5110101021 Estoq Consumido Prod-MP-Etileno (Aj Real)</v>
          </cell>
        </row>
        <row r="465">
          <cell r="A465" t="str">
            <v>5110101300 Estoq Consumido Prod-Mat Aux Gas Natural (Realiz)</v>
          </cell>
        </row>
        <row r="466">
          <cell r="A466" t="str">
            <v>5110101301 Estoq Consumido Prod-Mat Aux Gas Natural (Aj Real)</v>
          </cell>
        </row>
        <row r="467">
          <cell r="A467" t="str">
            <v>5110101310 Estoq Consumido Prod-M Aux Vapor Petroc (Realiz)</v>
          </cell>
        </row>
        <row r="468">
          <cell r="A468" t="str">
            <v>5110101311 Estoq Consumido Prod-M Aux Vapor Petroc (Aj Real)</v>
          </cell>
        </row>
        <row r="469">
          <cell r="A469" t="str">
            <v>5110101490 Estoq Consumido Prod-M Aux Demais (Realizado)</v>
          </cell>
        </row>
        <row r="470">
          <cell r="A470" t="str">
            <v>5110101491 Estoq Consumido Prod-M Aux Demais (Aj Real)</v>
          </cell>
        </row>
        <row r="471">
          <cell r="A471" t="str">
            <v>5110101500 Estoq Consumido Prod-Embalagens (Realizado)</v>
          </cell>
        </row>
        <row r="472">
          <cell r="A472" t="str">
            <v>5110101501 Estoq Consumido Prod-Embalagens (Aj Real)</v>
          </cell>
        </row>
        <row r="473">
          <cell r="A473" t="str">
            <v>5110102010 Cons.Insumo-Revestimentos de Anodos (Realizado)</v>
          </cell>
        </row>
        <row r="474">
          <cell r="A474" t="str">
            <v>5110503100 Aj Preço-Var Preço Dif Cambio Ent Mat-Rev Imp(KDM)</v>
          </cell>
        </row>
        <row r="475">
          <cell r="A475" t="str">
            <v>5110504070 Aj Preço-Var Preço Dif C Mud Nivel-Semi Acab (KDV)</v>
          </cell>
        </row>
        <row r="476">
          <cell r="A476" t="str">
            <v>5110505010 Aj Preço-Dif Preço Nivel Único-Sal (PRD)</v>
          </cell>
        </row>
        <row r="477">
          <cell r="A477" t="str">
            <v>5110505020 Aj Preço-Dif Preço Nivel Único-Etileno (PRD)</v>
          </cell>
        </row>
        <row r="478">
          <cell r="A478" t="str">
            <v>5110505030 Aj Preço-Dif Preço Nivel Único-Gás Natural (PRD)</v>
          </cell>
        </row>
        <row r="479">
          <cell r="A479" t="str">
            <v>5110505040 Aj Preço-Dif Preço Nivel Único-Vapor (PRD)</v>
          </cell>
        </row>
        <row r="480">
          <cell r="A480" t="str">
            <v>5110505050 Aj Preço-Dif Preço Nivel Único-Mat Auxiliares(PRD)</v>
          </cell>
        </row>
        <row r="481">
          <cell r="A481" t="str">
            <v>5110505060 Aj Preço-Dif Preço Nivel Único-Embalagens (PRD)</v>
          </cell>
        </row>
        <row r="482">
          <cell r="A482" t="str">
            <v>5110505070 Aj Preço-Dif Preço Nivel Único-Semi Acabados (PRD)</v>
          </cell>
        </row>
        <row r="483">
          <cell r="A483" t="str">
            <v>5110505080 Aj Preço-Dif Preço Nivel Único-Acabados (PRD)</v>
          </cell>
        </row>
        <row r="484">
          <cell r="A484" t="str">
            <v>5110505090 Aj Preço-Dif Preço Nivel Único-Revenda (PRD)</v>
          </cell>
        </row>
        <row r="485">
          <cell r="A485" t="str">
            <v>5110505100 Aj Preço-Dif Preço Nivel Único-Revenda Imp (PRD)</v>
          </cell>
        </row>
        <row r="486">
          <cell r="A486" t="str">
            <v>5110506070 Aj Preço-Dif Preço Multinivel-Semi Acabado (PRV)</v>
          </cell>
        </row>
        <row r="487">
          <cell r="A487" t="str">
            <v>5110507010 Aj Preço-Dif Preço Fechamento ML-Sal (PRY)</v>
          </cell>
        </row>
        <row r="488">
          <cell r="A488" t="str">
            <v>5110507020 Aj Preço-Dif Preço Fechamento ML-Etileno (PRY)</v>
          </cell>
        </row>
        <row r="489">
          <cell r="A489" t="str">
            <v>5110507030 Aj Preço-Dif Preço Fechamento ML-Gas Natural (PRY)</v>
          </cell>
        </row>
        <row r="490">
          <cell r="A490" t="str">
            <v>5110507040 Aj Preço-Dif Preço Fechamento ML-Vapor (PRY)</v>
          </cell>
        </row>
        <row r="491">
          <cell r="A491" t="str">
            <v>5110507050 Aj Preço-Dif Preço Fechamento ML-Mat Auxiliar(PRY)</v>
          </cell>
        </row>
        <row r="492">
          <cell r="A492" t="str">
            <v>5110507060 Aj Preço-Dif Preço Fechamento ML-Embalagens (PRY)</v>
          </cell>
        </row>
        <row r="493">
          <cell r="A493" t="str">
            <v>5110507070 Aj Preço-Dif Preço Fechamento ML-Semi Acabad (PRY)</v>
          </cell>
        </row>
        <row r="494">
          <cell r="A494" t="str">
            <v>5110507080 Aj Preço-Dif Preço Fechamento ML-Acabados (PRY)</v>
          </cell>
        </row>
        <row r="495">
          <cell r="A495" t="str">
            <v>5110507090 Aj Preço-Dif Preço Fechamento ML-Revenda (PRY)</v>
          </cell>
        </row>
        <row r="496">
          <cell r="A496" t="str">
            <v>5110599010 Ajustes do Grupo Material Ledger - Realizado</v>
          </cell>
        </row>
        <row r="497">
          <cell r="A497" t="str">
            <v>5110608010 Proj Inv.Est.Pesq-Mat Cons-Imobilizado (Realizado)</v>
          </cell>
        </row>
        <row r="498">
          <cell r="A498" t="str">
            <v>5110620010 Proj Inv.Est.Pesq-S.Prest Terc-Imobiliz PJ(Realiz)</v>
          </cell>
        </row>
        <row r="499">
          <cell r="A499" t="str">
            <v>5110620020 Proj Inv.Est.Pesq-S.Prest Terc-Estudo PJ (Realiz)</v>
          </cell>
        </row>
        <row r="500">
          <cell r="A500" t="str">
            <v>5110635010 Proj Inv.Est.Pesq-Encarg Financ-Imobiliz (Realiz)</v>
          </cell>
        </row>
        <row r="501">
          <cell r="A501" t="str">
            <v>5110690050 (-)Proj Inv.Est.Pesq-Imp Aq-ICMS s/Aquis Imob (R)</v>
          </cell>
        </row>
        <row r="502">
          <cell r="A502" t="str">
            <v>5110690060 (-)Proj Inv.Est.Pesq-Imp Aq-COFINS Aquis Imob (R)</v>
          </cell>
        </row>
        <row r="503">
          <cell r="A503" t="str">
            <v>5110690070 (-)Proj Inv.Est.Pesq-Imp Aquis-PIS Aquis Imob (R)</v>
          </cell>
        </row>
        <row r="504">
          <cell r="A504" t="str">
            <v>5110699010 Proj Inv.Est.Pesq-Transf p/Imob em Andamento (R)</v>
          </cell>
        </row>
        <row r="505">
          <cell r="A505" t="str">
            <v>5110699020 Proj Inv.Est.Pesq-Transf p/Estudos/Pesq (Realiz)</v>
          </cell>
        </row>
        <row r="506">
          <cell r="A506" t="str">
            <v>5120101010 Cst P.Fab Próp Transf p/S.Acabado(F.Fab)-(Aj.Real)</v>
          </cell>
        </row>
        <row r="507">
          <cell r="A507" t="str">
            <v>5120101011 Cst P.Fab Próp Transf p/S.Acab(AjOrdProd)-(Planej)</v>
          </cell>
        </row>
        <row r="508">
          <cell r="A508" t="str">
            <v>5120101012 Cst P.Fab Próp Transf p/S.Acab(Zerar Centro Cst)</v>
          </cell>
        </row>
        <row r="509">
          <cell r="A509" t="str">
            <v>5120101013 Cst P.Fab Próp Consumo S.Acab (Realizado)</v>
          </cell>
        </row>
        <row r="510">
          <cell r="A510" t="str">
            <v>5120101020 Cst P.Fab Próp Transf p/P.Acabado(F.Fab)-(Aj.Real)</v>
          </cell>
        </row>
        <row r="511">
          <cell r="A511" t="str">
            <v>5120101021 Cst P.Fab Próp Transf p/P.Acabado(F.Fab)-(Planej)</v>
          </cell>
        </row>
        <row r="512">
          <cell r="A512" t="str">
            <v>5120101022 Cst P.Fab Próp Transf p/P.Acabado(Zerar CentroCst)</v>
          </cell>
        </row>
        <row r="513">
          <cell r="A513" t="str">
            <v>5120101030 Cst P.Fab Próp Transf p/P.Acabado(Aj Cons Real)</v>
          </cell>
        </row>
        <row r="514">
          <cell r="A514" t="str">
            <v>Energia Elétrica</v>
          </cell>
        </row>
        <row r="515">
          <cell r="A515" t="str">
            <v>5110105010 Cons Insumo E Eletrica Cons Energia Eletrica (R)</v>
          </cell>
        </row>
        <row r="516">
          <cell r="A516" t="str">
            <v>Despesas com salários e benefícios a empregad</v>
          </cell>
        </row>
        <row r="517">
          <cell r="A517" t="str">
            <v>5111001030 FLPG-Ordena.Sal.Outras Remune Empreg(R)</v>
          </cell>
        </row>
        <row r="518">
          <cell r="A518" t="str">
            <v>5111001040 FLPG-13º Salario (Realizado)</v>
          </cell>
        </row>
        <row r="519">
          <cell r="A519" t="str">
            <v>5111001041 FLPG-Provisao de 13º Salario</v>
          </cell>
        </row>
        <row r="520">
          <cell r="A520" t="str">
            <v>5111001042 FLPG-Reversao da Provisao de 13º Salario</v>
          </cell>
        </row>
        <row r="521">
          <cell r="A521" t="str">
            <v>5111001050 FLPG-Ferias (Realizado)</v>
          </cell>
        </row>
        <row r="522">
          <cell r="A522" t="str">
            <v>5111001051 FLPG-Provisao de Ferias</v>
          </cell>
        </row>
        <row r="523">
          <cell r="A523" t="str">
            <v>5111001052 FLPG-Reversao da Provisao de Ferias</v>
          </cell>
        </row>
        <row r="524">
          <cell r="A524" t="str">
            <v>5111001080 FLPG-Gratificaçoes de Ferias(Realizado)</v>
          </cell>
        </row>
        <row r="525">
          <cell r="A525" t="str">
            <v>5111001081 FLPG-Provisao de Gratificaçoes de Ferias</v>
          </cell>
        </row>
        <row r="526">
          <cell r="A526" t="str">
            <v>5111001082 FLPG-Rever Provi Gratificaçoes de Ferias</v>
          </cell>
        </row>
        <row r="527">
          <cell r="A527" t="str">
            <v>5111001090 FLPG-Gratificaçoes (Realizado)</v>
          </cell>
        </row>
        <row r="528">
          <cell r="A528" t="str">
            <v>5111001091 FLPG-Provisao de Gratificaçoes</v>
          </cell>
        </row>
        <row r="529">
          <cell r="A529" t="str">
            <v>5111001092 FLPG-Rever da Provisao de Gratificaçoes</v>
          </cell>
        </row>
        <row r="530">
          <cell r="A530" t="str">
            <v>5111001100 FLPG-Gratificaçoes Quinquenios (Realizado)</v>
          </cell>
        </row>
        <row r="531">
          <cell r="A531" t="str">
            <v>5111001101 FLPG-Prov Gratificaçoes Quinquenios</v>
          </cell>
        </row>
        <row r="532">
          <cell r="A532" t="str">
            <v>5111001102 FLPG-Rever Prov Gratificaçoes Quinquenios</v>
          </cell>
        </row>
        <row r="533">
          <cell r="A533" t="str">
            <v>5111001120 FLPG-Aviso Previo (Realizado)</v>
          </cell>
        </row>
        <row r="534">
          <cell r="A534" t="str">
            <v>5111001122 FLPG-Reversao da Provisao de Aviso Previo</v>
          </cell>
        </row>
        <row r="535">
          <cell r="A535" t="str">
            <v>5111001130 FLPG-Indenizaçoes (Realizado)</v>
          </cell>
        </row>
        <row r="536">
          <cell r="A536" t="str">
            <v>5111001240 FLPG-Auxilio Doença (Realizado)</v>
          </cell>
        </row>
        <row r="537">
          <cell r="A537" t="str">
            <v>5111001250 FLPG-Auxilio Ensino (Realizado)</v>
          </cell>
        </row>
        <row r="538">
          <cell r="A538" t="str">
            <v>5111001300 FLPG-Bolsa Estudos de Estagiarios (Realizado)</v>
          </cell>
        </row>
        <row r="539">
          <cell r="A539" t="str">
            <v>5111001990 Rateio da Mão de Obra da Manutenção</v>
          </cell>
        </row>
        <row r="540">
          <cell r="A540" t="str">
            <v>5111002010 FGTS-Folha de Pagamento (Realizado)</v>
          </cell>
        </row>
        <row r="541">
          <cell r="A541" t="str">
            <v>5111002020 FGTS-Ferias (Realizado)</v>
          </cell>
        </row>
        <row r="542">
          <cell r="A542" t="str">
            <v>5111002021 FGTS-Provisao de FGTS s/Ferias</v>
          </cell>
        </row>
        <row r="543">
          <cell r="A543" t="str">
            <v>5111002022 FGTS-Reversao da Provisao de FGTS s/Ferias</v>
          </cell>
        </row>
        <row r="544">
          <cell r="A544" t="str">
            <v>5111002030 FGTS-13º Salario (Realizado)</v>
          </cell>
        </row>
        <row r="545">
          <cell r="A545" t="str">
            <v>5111002031 FGTS-Provisao de FGTS S/13º Salario</v>
          </cell>
        </row>
        <row r="546">
          <cell r="A546" t="str">
            <v>5111002032 FGTS-Reversao da Provisao FGTS S/13º Salario</v>
          </cell>
        </row>
        <row r="547">
          <cell r="A547" t="str">
            <v>5111002040 FGTS-Desligamento de Funcionarios (Realizado)</v>
          </cell>
        </row>
        <row r="548">
          <cell r="A548" t="str">
            <v>5111002041 FGTS-Provisao FGTS s/Desligamento Funcionario</v>
          </cell>
        </row>
        <row r="549">
          <cell r="A549" t="str">
            <v>5111002042 FGTS-Rever Prov FGTS s/Desligamento Funcionario</v>
          </cell>
        </row>
        <row r="550">
          <cell r="A550" t="str">
            <v>5111003010 INSS-Folha de Pagamento (Realizado)</v>
          </cell>
        </row>
        <row r="551">
          <cell r="A551" t="str">
            <v>5111003021 INSS-Provisao de INSS s/Ferias</v>
          </cell>
        </row>
        <row r="552">
          <cell r="A552" t="str">
            <v>5111003022 INSS-Reversao da Provisao de INSS s/Ferias</v>
          </cell>
        </row>
        <row r="553">
          <cell r="A553" t="str">
            <v>5111003031 INSS-Provisao de INSS s/13º Salario</v>
          </cell>
        </row>
        <row r="554">
          <cell r="A554" t="str">
            <v>5111003032 INSS-Reversao Provisao de INSS s/13º Salario</v>
          </cell>
        </row>
        <row r="555">
          <cell r="A555" t="str">
            <v>5111503040 Desp Medicas Hospitalares (Realizado)</v>
          </cell>
        </row>
        <row r="556">
          <cell r="A556" t="str">
            <v>5111504050 Desenv Prof-Transportes em Cursos (Realizado)</v>
          </cell>
        </row>
        <row r="557">
          <cell r="A557" t="str">
            <v>5111504060 Desenv Prof-Refeiçoes em Cursos (Realizado)</v>
          </cell>
        </row>
        <row r="558">
          <cell r="A558" t="str">
            <v>5111504070 Desenv Prof-Aprendiz de Menores em Cursos (Realiz)</v>
          </cell>
        </row>
        <row r="559">
          <cell r="A559" t="str">
            <v>5111505010 Desp Soc-Contrib Associaçao Desportiva (Realizado)</v>
          </cell>
        </row>
        <row r="560">
          <cell r="A560" t="str">
            <v>5111505020 Desp Soc-Comemoraçoes e Eventos (Realizado)</v>
          </cell>
        </row>
        <row r="561">
          <cell r="A561" t="str">
            <v>5111505040 Desp Soc-Vestuario (Realizado)</v>
          </cell>
        </row>
        <row r="562">
          <cell r="A562" t="str">
            <v>5111505050 Desp Soc-Comunicaçao Interna (Realizado)</v>
          </cell>
        </row>
        <row r="563">
          <cell r="A563" t="str">
            <v>5111506020 Despesa Vale Transporte (Realizado)</v>
          </cell>
        </row>
        <row r="564">
          <cell r="A564" t="str">
            <v>5111506030 Despesa Taxi e Conduçoes (Realizado)</v>
          </cell>
        </row>
        <row r="565">
          <cell r="A565" t="str">
            <v>5111506040 Despesa Aluguel de Veiculos (Realizado)</v>
          </cell>
        </row>
        <row r="566">
          <cell r="A566" t="str">
            <v>5111507010 Despesa Refeiçoes Prontas (Realizado)</v>
          </cell>
        </row>
        <row r="567">
          <cell r="A567" t="str">
            <v>5111507030 Despesa Refeiçoes-Visita e Outras (Realizado)</v>
          </cell>
        </row>
        <row r="568">
          <cell r="A568" t="str">
            <v>5111507040 Despesa Refeiçoes-Lanches Externos (Realizado)</v>
          </cell>
        </row>
        <row r="569">
          <cell r="A569" t="str">
            <v>Encargos de depreciação e amortização</v>
          </cell>
        </row>
        <row r="570">
          <cell r="A570" t="str">
            <v>5119001010 Encarg de Deprec e Amort-Depreciaçao (Realizado)</v>
          </cell>
        </row>
        <row r="571">
          <cell r="A571" t="str">
            <v>5119001011 Encarg de Depreciaçao Mais Valia (Realizado)</v>
          </cell>
        </row>
        <row r="572">
          <cell r="A572" t="str">
            <v>5119001012 Encarg de Depreciaçao Mais Valia CN (Realizado)</v>
          </cell>
        </row>
        <row r="573">
          <cell r="A573" t="str">
            <v>5119001014 Encarg de Depreciaçao AVP (Realizado)</v>
          </cell>
        </row>
        <row r="574">
          <cell r="A574" t="str">
            <v>5119001050 Encarg de Deprec e Amort-Amortizaçao (Realizado)</v>
          </cell>
        </row>
        <row r="575">
          <cell r="A575" t="str">
            <v>5119001054 Amortizaçao AVP (Realizado)</v>
          </cell>
        </row>
        <row r="576">
          <cell r="A576" t="str">
            <v>Serviços de terceiros</v>
          </cell>
        </row>
        <row r="577">
          <cell r="A577" t="str">
            <v>5112002010 Serviços Prestados Auditoria  p/PJ (Realizado)</v>
          </cell>
        </row>
        <row r="578">
          <cell r="A578" t="str">
            <v>5112003010 Serviços Prestados Consultoria p/PJ (Realizado)</v>
          </cell>
        </row>
        <row r="579">
          <cell r="A579" t="str">
            <v>5112003040 Serv Prest Consultoria p/PF s/Vinc Empr (Realiz)</v>
          </cell>
        </row>
        <row r="580">
          <cell r="A580" t="str">
            <v>5112008010 Serv Prest Propaganda e Publicidade p/PJ (Realiz)</v>
          </cell>
        </row>
        <row r="581">
          <cell r="A581" t="str">
            <v>5112009010 Serv Prest Atualiz/Suporte Tecnico p/PJ (Realiz)</v>
          </cell>
        </row>
        <row r="582">
          <cell r="A582" t="str">
            <v>5112010010 Serviços Prestados Temporario p/PJ (Realizado)</v>
          </cell>
        </row>
        <row r="583">
          <cell r="A583" t="str">
            <v>5112011010 Serviços Prestados Limpeza p/ PJ (Realizado)</v>
          </cell>
        </row>
        <row r="584">
          <cell r="A584" t="str">
            <v>5112012010 Serviços Prestados Vigilancia PJ (Realiz)</v>
          </cell>
        </row>
        <row r="585">
          <cell r="A585" t="str">
            <v>5112013010 Serviços Prestados Jardinagem p/PJ (Realizado)</v>
          </cell>
        </row>
        <row r="586">
          <cell r="A586" t="str">
            <v>5112014010 Serv Prest Estacionamento de Caminhoes PJ (Realiz)</v>
          </cell>
        </row>
        <row r="587">
          <cell r="A587" t="str">
            <v>5112015010 Serv Prest Fretes Carretos s/Compras p/PJ (Realiz)</v>
          </cell>
        </row>
        <row r="588">
          <cell r="A588" t="str">
            <v>5112016010 Serviços Prestados Construçao Civil p/PJ (Realiz)</v>
          </cell>
        </row>
        <row r="589">
          <cell r="A589" t="str">
            <v>5112017010 Serviços Prestados Engenharia p/PJ (Realiz)</v>
          </cell>
        </row>
        <row r="590">
          <cell r="A590" t="str">
            <v>5112018010 Serv Prest Reparos Assist Tecnica p/PJ (Realiz)</v>
          </cell>
        </row>
        <row r="591">
          <cell r="A591" t="str">
            <v>5112019010 Serv Prest Tratamento de Residuos p/PJ (Realiz)</v>
          </cell>
        </row>
        <row r="592">
          <cell r="A592" t="str">
            <v>5112099010 Prest Serv Tecnicos Profissionais p/PJ (Realiz)</v>
          </cell>
        </row>
        <row r="593">
          <cell r="A593" t="str">
            <v>5112150010 Serv Prest Manutençao Civil p/PJ (Realizado)</v>
          </cell>
        </row>
        <row r="594">
          <cell r="A594" t="str">
            <v>5112151010 Serv Prest Manutençao Eletricos p/PJ (Realiz)</v>
          </cell>
        </row>
        <row r="595">
          <cell r="A595" t="str">
            <v>5112152010 Serv Prest Manutençao Mecânicos p/PJ (Realizado)</v>
          </cell>
        </row>
        <row r="596">
          <cell r="A596" t="str">
            <v>5112153010 Serv Prest Manutençao Inspeçao PJ (Realizado)</v>
          </cell>
        </row>
        <row r="597">
          <cell r="A597" t="str">
            <v>5112154010 Serv Prest Manutençao Cald/Tubul PJ (Realzado)</v>
          </cell>
        </row>
        <row r="598">
          <cell r="A598" t="str">
            <v>5112155010 Serv Prest Manut Instrumentaçao PJ (Realizado)</v>
          </cell>
        </row>
        <row r="599">
          <cell r="A599" t="str">
            <v>5112170010 Serv Prest Manutenaçao Cel HG-PJ (Realizado)</v>
          </cell>
        </row>
        <row r="600">
          <cell r="A600" t="str">
            <v>5112175010 Serv Prest Manutençao Cel Diafrag p/PJ (Realiz)</v>
          </cell>
        </row>
        <row r="601">
          <cell r="A601" t="str">
            <v>5112180010 Serv Prest Manutençao Cel Memb PJ (Realizado)</v>
          </cell>
        </row>
        <row r="602">
          <cell r="A602" t="str">
            <v>5112199010 Serv Prest Manutençao Apoio-PJ (Realizado)</v>
          </cell>
        </row>
        <row r="603">
          <cell r="A603" t="str">
            <v>5112199310 Serv Prest Manutençao Fretes Carret-PJ (Realizado)</v>
          </cell>
        </row>
        <row r="604">
          <cell r="A604" t="str">
            <v>5112199410 Serv Prest Manutençao Pintura-PJ (Realizado)</v>
          </cell>
        </row>
        <row r="605">
          <cell r="A605" t="str">
            <v>5112199510 Serv Prest Manutençao Revestimentos-PJ (Realizado)</v>
          </cell>
        </row>
        <row r="606">
          <cell r="A606" t="str">
            <v>5112199610 Serv Prest Manutençao Isolamentos-PJ (Realizado)</v>
          </cell>
        </row>
        <row r="607">
          <cell r="A607" t="str">
            <v>Outras</v>
          </cell>
        </row>
        <row r="608">
          <cell r="A608" t="str">
            <v>5110801010 Mat Cons Oper-Combustiveis e Lubrificantes(Realiz)</v>
          </cell>
        </row>
        <row r="609">
          <cell r="A609" t="str">
            <v>5110801020 Mat Cons-Oper-Mat Processo Produtivo (Realiz)</v>
          </cell>
        </row>
        <row r="610">
          <cell r="A610" t="str">
            <v>5110801030 Mat Cons-Oper-Mat Tratamento Residuos (Realiz)</v>
          </cell>
        </row>
        <row r="611">
          <cell r="A611" t="str">
            <v>5110801040 Mat Cons-Oper-Mat Análises Quimicas (Realizado)</v>
          </cell>
        </row>
        <row r="612">
          <cell r="A612" t="str">
            <v>5110801060 Mat Cons-Oper-Ferramentas (Realizado)</v>
          </cell>
        </row>
        <row r="613">
          <cell r="A613" t="str">
            <v>5110801070 Mat Cons-Oper-Mat Reparo e Manutençao (Realizado)</v>
          </cell>
        </row>
        <row r="614">
          <cell r="A614" t="str">
            <v>5110801080 Mat Cons-Oper-Mat Conserv Ecológica (Realizado)</v>
          </cell>
        </row>
        <row r="615">
          <cell r="A615" t="str">
            <v>5110801090 Mat Cons-Oper-Mat Limpeza (Realizado)</v>
          </cell>
        </row>
        <row r="616">
          <cell r="A616" t="str">
            <v>5110801100 Mat Cons-Oper-Mat Segurança (Realizado)</v>
          </cell>
        </row>
        <row r="617">
          <cell r="A617" t="str">
            <v>5110801110 Mat Cons-Oper-Consumo de Água (Realizado)</v>
          </cell>
        </row>
        <row r="618">
          <cell r="A618" t="str">
            <v>5110801130 Mat Cons-Oper-Mat Escritório (Realizado)</v>
          </cell>
        </row>
        <row r="619">
          <cell r="A619" t="str">
            <v>5110801140 Mat Cons-Oper-Mat Imobilizado (Realizado)</v>
          </cell>
        </row>
        <row r="620">
          <cell r="A620" t="str">
            <v>5110802010 Mat Cons-Manutençao-Manut Civil (Realizado)</v>
          </cell>
        </row>
        <row r="621">
          <cell r="A621" t="str">
            <v>5110802020 Mat Cons-Manutençao-Eletrica (Realizado)</v>
          </cell>
        </row>
        <row r="622">
          <cell r="A622" t="str">
            <v>5110802030 Mat Cons-Manutençao-Mecânica (Realizado)</v>
          </cell>
        </row>
        <row r="623">
          <cell r="A623" t="str">
            <v>5110802040 Mat Cons-Manutençao-Manut Inspeçao (Realizado)</v>
          </cell>
        </row>
        <row r="624">
          <cell r="A624" t="str">
            <v>5110802050 Mat Cons-Manutençao-Calderaria/Tubul (Realizado)</v>
          </cell>
        </row>
        <row r="625">
          <cell r="A625" t="str">
            <v>5110802060 Mat Cons-Manutençao-Instrumentaçao (Realizado)</v>
          </cell>
        </row>
        <row r="626">
          <cell r="A626" t="str">
            <v>5110802070 Mat Cons-Manutençao-Celula HG (Realizado)</v>
          </cell>
        </row>
        <row r="627">
          <cell r="A627" t="str">
            <v>5110802080 Mat Cons-Manutençao-Celula Diafragma (Realizado)</v>
          </cell>
        </row>
        <row r="628">
          <cell r="A628" t="str">
            <v>5110802090 Mat Cons-Manutençao-Celula Membrana (Realizado)</v>
          </cell>
        </row>
        <row r="629">
          <cell r="A629" t="str">
            <v>5110802990 Mat Cons-Manutençao-Geral (Realizado)</v>
          </cell>
        </row>
        <row r="630">
          <cell r="A630" t="str">
            <v>5111902010 Despesa Viagens Nacionais (Realizado)</v>
          </cell>
        </row>
        <row r="631">
          <cell r="A631" t="str">
            <v>5111902020 Despesas Viagens Internacionais (Realizado)</v>
          </cell>
        </row>
        <row r="632">
          <cell r="A632" t="str">
            <v>5113501020 Desp Correspondencia-Postais (Realizado)</v>
          </cell>
        </row>
        <row r="633">
          <cell r="A633" t="str">
            <v>5114001030 DLF-Desp Autenticidade Reconhecde Firmas (Realiz)</v>
          </cell>
        </row>
        <row r="634">
          <cell r="A634" t="str">
            <v>5114002030 DITC-Licença e Funcionamento (Realizado)</v>
          </cell>
        </row>
        <row r="635">
          <cell r="A635" t="str">
            <v>5114002060 DITC-Txs Municipais,Estaduais,Federais (Realizado)</v>
          </cell>
        </row>
        <row r="636">
          <cell r="A636" t="str">
            <v>5116001010 Desp Real Even-Semi Fora da Cia Gestao (Realizado)</v>
          </cell>
        </row>
        <row r="637">
          <cell r="A637" t="str">
            <v>5116001020 Desp Reali Eventos-Eventos Gestao (Realizado)</v>
          </cell>
        </row>
        <row r="638">
          <cell r="A638" t="str">
            <v>5116002020 Desp c/Marketing-Relaçoes Publicas (Realizado)</v>
          </cell>
        </row>
        <row r="639">
          <cell r="A639" t="str">
            <v>5116002040 Desp c/Marketing-Programa Fabrica Aberta (Realiz)</v>
          </cell>
        </row>
        <row r="640">
          <cell r="A640" t="str">
            <v>5118002050 DPC Ded-Contrib a Entidades de Classes (Realizado)</v>
          </cell>
        </row>
        <row r="641">
          <cell r="A641" t="str">
            <v>5119905010 Desp Alug/Loc.Oper-Locaçao Equip Operaçao (Realiz)</v>
          </cell>
        </row>
        <row r="642">
          <cell r="A642" t="str">
            <v>5119905030 Desp Alug/Loc.Oper-Loc Equiptos Escritorio(Realiz)</v>
          </cell>
        </row>
        <row r="643">
          <cell r="A643" t="str">
            <v>5119905050 Desp Alug/Loc.Oper-Loc de Equip Telefonia(Realiz)</v>
          </cell>
        </row>
        <row r="644">
          <cell r="A644" t="str">
            <v>5119906010 Desp Alug/Loc. Op-Equipamentos de Manut (Realiz)</v>
          </cell>
        </row>
        <row r="645">
          <cell r="A645" t="str">
            <v>5119910010 Assin L.IT.J.R-Ass de Jornais e Revistas (Realiz)</v>
          </cell>
        </row>
        <row r="646">
          <cell r="A646" t="str">
            <v>5119910030 Assin L.IT.J.R-Ass Livros/Inform Tecnicos (Realiz)</v>
          </cell>
        </row>
        <row r="647">
          <cell r="A647" t="str">
            <v>5119915010 Desp c/Impressao e Copias fora da Cia (Realizado)</v>
          </cell>
        </row>
        <row r="648">
          <cell r="A648" t="str">
            <v>5119920010 Desp c/Veiculos-Abastecimento (Realizado)</v>
          </cell>
        </row>
        <row r="649">
          <cell r="A649" t="str">
            <v>5119920020 Desp c/Veiculos-Reparos e Manutençoes (Realizado)</v>
          </cell>
        </row>
        <row r="650">
          <cell r="A650" t="str">
            <v>5119920030 Desp c/Veiculos-Peças e Acessorios (Realizado)</v>
          </cell>
        </row>
        <row r="651">
          <cell r="A651" t="str">
            <v>5119920050 Desp c/Veiculos-Pedagio e Estacionam (Realizado)</v>
          </cell>
        </row>
        <row r="652">
          <cell r="A652" t="str">
            <v>5119920060 Desp c/Veiculos-Licenciamento (Realizado)</v>
          </cell>
        </row>
        <row r="653">
          <cell r="A653" t="str">
            <v>Despesas / Receitas Operacionais</v>
          </cell>
        </row>
        <row r="654">
          <cell r="A654" t="str">
            <v>Despesas com vendas</v>
          </cell>
        </row>
        <row r="655">
          <cell r="A655" t="str">
            <v>Despesas com fretes sobre vendas</v>
          </cell>
        </row>
        <row r="656">
          <cell r="A656" t="str">
            <v>3140101010 Fretes s/Exportaçao Direta de Produtos (Realizado)</v>
          </cell>
        </row>
        <row r="657">
          <cell r="A657" t="str">
            <v>3140101030 Fretes s/Vendas de Produtos no MI (Realizado)</v>
          </cell>
        </row>
        <row r="658">
          <cell r="A658" t="str">
            <v>3140105030 Fretes s/Revendas de Mercadorias no MI (Realiz)</v>
          </cell>
        </row>
        <row r="659">
          <cell r="A659" t="str">
            <v>Outras despesas com vendas</v>
          </cell>
        </row>
        <row r="660">
          <cell r="A660" t="str">
            <v>3140301010 Desp c/Desemb/Movim Export Prod FP ME (Realiz)</v>
          </cell>
        </row>
        <row r="661">
          <cell r="A661" t="str">
            <v>3140401030 Desp c/Armazenagem Produtos FP (Realizado)</v>
          </cell>
        </row>
        <row r="662">
          <cell r="A662" t="str">
            <v>3140406030 Desp c/Armazen Merc Imports p/Rev no MI (Realiz)</v>
          </cell>
        </row>
        <row r="663">
          <cell r="A663" t="str">
            <v>3140501030 Desp c/Fretes de Remessas p/Armaz Prod FP (Realiz)</v>
          </cell>
        </row>
        <row r="664">
          <cell r="A664" t="str">
            <v>3140601030 Desp Remessas p/Testes Ensaios e Prod FP (Realiz)</v>
          </cell>
        </row>
        <row r="665">
          <cell r="A665" t="str">
            <v>Despesas Gerais e Administrativas</v>
          </cell>
        </row>
        <row r="666">
          <cell r="A666" t="str">
            <v>Energia Elétrica consumo administrativo</v>
          </cell>
        </row>
        <row r="667">
          <cell r="A667" t="str">
            <v>3170801120 Mat Cons Oper-Luz (Realizado)</v>
          </cell>
        </row>
        <row r="668">
          <cell r="A668" t="str">
            <v>Despesas com salários e benefícios a empreg</v>
          </cell>
        </row>
        <row r="669">
          <cell r="A669" t="str">
            <v>3171001010 FLPG-Remuneraçao a Dirigentes Conselho Adm (Pgto)</v>
          </cell>
        </row>
        <row r="670">
          <cell r="A670" t="str">
            <v>3171001020 FLPG-Gratifiçao a Dirigentes Conselho Adm (Pgto)</v>
          </cell>
        </row>
        <row r="671">
          <cell r="A671" t="str">
            <v>3171001021 FLPG-Prov Gratificaçao a Dirigentes Conselho Adm</v>
          </cell>
        </row>
        <row r="672">
          <cell r="A672" t="str">
            <v>3171001022 FLPG-Rev Prov Gratif a Dirigentes Conselho Adm</v>
          </cell>
        </row>
        <row r="673">
          <cell r="A673" t="str">
            <v>3171001030 FLPG-Ordenados, Salars e Outras Remun a Empreg (R)</v>
          </cell>
        </row>
        <row r="674">
          <cell r="A674" t="str">
            <v>3171001040 FLPG-13º Salario (Realizado)</v>
          </cell>
        </row>
        <row r="675">
          <cell r="A675" t="str">
            <v>3171001041 FLPG-Provisao de 13º Salario</v>
          </cell>
        </row>
        <row r="676">
          <cell r="A676" t="str">
            <v>3171001042 FLPG-Reversao Provisao de 13º Salario</v>
          </cell>
        </row>
        <row r="677">
          <cell r="A677" t="str">
            <v>3171001050 FLPG-Ferias (Realizado)</v>
          </cell>
        </row>
        <row r="678">
          <cell r="A678" t="str">
            <v>3171001051 FLPG-Provisao de Ferias</v>
          </cell>
        </row>
        <row r="679">
          <cell r="A679" t="str">
            <v>3171001052 FLPG-Reversap da Provisao de Ferias</v>
          </cell>
        </row>
        <row r="680">
          <cell r="A680" t="str">
            <v>3171001080 FLPG-Gratificaçao de Ferias (Realiz)</v>
          </cell>
        </row>
        <row r="681">
          <cell r="A681" t="str">
            <v>3171001081 FLPG-Provisao de Gratificaçao de Ferias</v>
          </cell>
        </row>
        <row r="682">
          <cell r="A682" t="str">
            <v>3171001082 FLPG-Reversao da Prov de Gratificaçao de Ferias</v>
          </cell>
        </row>
        <row r="683">
          <cell r="A683" t="str">
            <v>3171001090 FLPG-Gratificaçoes (Realizado)</v>
          </cell>
        </row>
        <row r="684">
          <cell r="A684" t="str">
            <v>3171001091 FLPG-Provisao de Gratificaçoes</v>
          </cell>
        </row>
        <row r="685">
          <cell r="A685" t="str">
            <v>3171001092 FLPG-Reversao da Provisao de Gratificacoes</v>
          </cell>
        </row>
        <row r="686">
          <cell r="A686" t="str">
            <v>3171001100 FLPG-Gratificoes Quinquenios (Realizado)</v>
          </cell>
        </row>
        <row r="687">
          <cell r="A687" t="str">
            <v>3171001101 FLPG-Provisao de Gratificaçoes Quinquenios</v>
          </cell>
        </row>
        <row r="688">
          <cell r="A688" t="str">
            <v>3171001102 FLPG-Reversao Provisao Gratificacoes Quinquenios</v>
          </cell>
        </row>
        <row r="689">
          <cell r="A689" t="str">
            <v>3171001120 FLPG-Aviso Previo (Realizado)</v>
          </cell>
        </row>
        <row r="690">
          <cell r="A690" t="str">
            <v>3171001122 FLPG-Reversao da Provisao de Aviso Previo</v>
          </cell>
        </row>
        <row r="691">
          <cell r="A691" t="str">
            <v>3171001130 FLPG-Indenizacoes (Realizado)</v>
          </cell>
        </row>
        <row r="692">
          <cell r="A692" t="str">
            <v>3171001250 FLPG-Auxilio Ensino (Realizado)</v>
          </cell>
        </row>
        <row r="693">
          <cell r="A693" t="str">
            <v>3171001300 FLPG-Bolsa Estudos de Estagiarios (Realizado)</v>
          </cell>
        </row>
        <row r="694">
          <cell r="A694" t="str">
            <v>3171001990 Rateio da Mão de Obra da Manutenção</v>
          </cell>
        </row>
        <row r="695">
          <cell r="A695" t="str">
            <v>3171002010 FGTS s/Folha de Pagamento (Realizado)</v>
          </cell>
        </row>
        <row r="696">
          <cell r="A696" t="str">
            <v>3171002020 FGTS s/Ferias (Realizado)</v>
          </cell>
        </row>
        <row r="697">
          <cell r="A697" t="str">
            <v>3171002021 Provisao de FGTS s/Ferias</v>
          </cell>
        </row>
        <row r="698">
          <cell r="A698" t="str">
            <v>3171002022 Reversao da Provisao de FGTS s/Ferias</v>
          </cell>
        </row>
        <row r="699">
          <cell r="A699" t="str">
            <v>3171002030 FGTS s/13º Salario (Realizado)</v>
          </cell>
        </row>
        <row r="700">
          <cell r="A700" t="str">
            <v>3171002031 Provisao de FGTS s/13º Salario</v>
          </cell>
        </row>
        <row r="701">
          <cell r="A701" t="str">
            <v>3171002032 Reversao da Provisao de FGTS s/13º Salario</v>
          </cell>
        </row>
        <row r="702">
          <cell r="A702" t="str">
            <v>3171002040 FGTS s/Desligamento de Funcionario (Realizado)</v>
          </cell>
        </row>
        <row r="703">
          <cell r="A703" t="str">
            <v>3171002041 Provisao de FGTS s/Desligamento de Funcionario</v>
          </cell>
        </row>
        <row r="704">
          <cell r="A704" t="str">
            <v>3171002042 Reversao Provisao de FGTS s/Desl Funcionario</v>
          </cell>
        </row>
        <row r="705">
          <cell r="A705" t="str">
            <v>3171003010 INSS s/Folha de Pagamento (Realizado)</v>
          </cell>
        </row>
        <row r="706">
          <cell r="A706" t="str">
            <v>3171003021 Provisao de INSS s/Ferias</v>
          </cell>
        </row>
        <row r="707">
          <cell r="A707" t="str">
            <v>3171003022 Reversao da Provisao de INSS s/Ferias</v>
          </cell>
        </row>
        <row r="708">
          <cell r="A708" t="str">
            <v>3171003031 Provisao de INSS s/13º Salario</v>
          </cell>
        </row>
        <row r="709">
          <cell r="A709" t="str">
            <v>3171003032 Reversao da Provisao de INSS s/13º Salario</v>
          </cell>
        </row>
        <row r="710">
          <cell r="A710" t="str">
            <v>3171003051 Provisao de INSS s/Gratificações</v>
          </cell>
        </row>
        <row r="711">
          <cell r="A711" t="str">
            <v>3171501010 Prev Priv CD-Contribuicoes da Empresa (Realizado)</v>
          </cell>
        </row>
        <row r="712">
          <cell r="A712" t="str">
            <v>3171501015 Prev Priv CD-Participaçao dos Empregados</v>
          </cell>
        </row>
        <row r="713">
          <cell r="A713" t="str">
            <v>3171502010 Seguro de Vida em Grupo (Realizado)</v>
          </cell>
        </row>
        <row r="714">
          <cell r="A714" t="str">
            <v>3171502011 Provisao Seguro de Vida em Grupo</v>
          </cell>
        </row>
        <row r="715">
          <cell r="A715" t="str">
            <v>3171503010 Assistencia Medica e Hospitalar (Realizado)</v>
          </cell>
        </row>
        <row r="716">
          <cell r="A716" t="str">
            <v>3171503015 Partic dos Empregados Assistenc Medica e Hospit</v>
          </cell>
        </row>
        <row r="717">
          <cell r="A717" t="str">
            <v>3171503020 Assistencia Medica e Hospitalar Aposent (Realiz)</v>
          </cell>
        </row>
        <row r="718">
          <cell r="A718" t="str">
            <v>3171503021 Provisao Assistencia Medica Hospitalar Aposentados</v>
          </cell>
        </row>
        <row r="719">
          <cell r="A719" t="str">
            <v>3171503022 Reversao Prov Assist Medica Hospitalar Aposentados</v>
          </cell>
        </row>
        <row r="720">
          <cell r="A720" t="str">
            <v>3171503030 Assistencia Odontologica (Realizado)</v>
          </cell>
        </row>
        <row r="721">
          <cell r="A721" t="str">
            <v>3171503035 Participacao dos Empregados Assist Odontologica</v>
          </cell>
        </row>
        <row r="722">
          <cell r="A722" t="str">
            <v>3171503040 Despesas Medicas e Hospitalares (Realizado)</v>
          </cell>
        </row>
        <row r="723">
          <cell r="A723" t="str">
            <v>3171504010 Desenv Prof-Cursos (Realizado)</v>
          </cell>
        </row>
        <row r="724">
          <cell r="A724" t="str">
            <v>3171504020 Desenv Prof-Material de Consumo em Cursos (Realiz)</v>
          </cell>
        </row>
        <row r="725">
          <cell r="A725" t="str">
            <v>3171504030 Desenv Prof-Serviços de Tercrs em Cursos (Realiz)</v>
          </cell>
        </row>
        <row r="726">
          <cell r="A726" t="str">
            <v>3171504040 Desenv Prof-Diarias em Cursos (Realizado)</v>
          </cell>
        </row>
        <row r="727">
          <cell r="A727" t="str">
            <v>3171504050 Desenv Prof-Transportes em Cursos (Realizado)</v>
          </cell>
        </row>
        <row r="728">
          <cell r="A728" t="str">
            <v>3171504060 Desenv Prof-Refeiçoes em Cursos (Realizado)</v>
          </cell>
        </row>
        <row r="729">
          <cell r="A729" t="str">
            <v>3171504070 Desenv Prof-Aprendiz de Menores em Cursos (Realiz)</v>
          </cell>
        </row>
        <row r="730">
          <cell r="A730" t="str">
            <v>3171505010 Desp Soc-Contrib Associaçao Desportiva (Realizado)</v>
          </cell>
        </row>
        <row r="731">
          <cell r="A731" t="str">
            <v>3171505020 Desp Soc-Comemoraçoes e Eventos (Realizado)</v>
          </cell>
        </row>
        <row r="732">
          <cell r="A732" t="str">
            <v>3171505030 Desp Soc-Assistencia Social Funcionarios (Realiz)</v>
          </cell>
        </row>
        <row r="733">
          <cell r="A733" t="str">
            <v>3171505040 Desp Soc-Vestuario (Realizado)</v>
          </cell>
        </row>
        <row r="734">
          <cell r="A734" t="str">
            <v>3171505050 Desp Soc-Comunicaçao Interna (Realizado)</v>
          </cell>
        </row>
        <row r="735">
          <cell r="A735" t="str">
            <v>3171506010 Desp Transp-Conduçao Contratada (Realizado)</v>
          </cell>
        </row>
        <row r="736">
          <cell r="A736" t="str">
            <v>3171506015 Participaçao dos Empregados-Conduçao Contratada</v>
          </cell>
        </row>
        <row r="737">
          <cell r="A737" t="str">
            <v>3171506020 Despesa Vale Transporte (Realizado)</v>
          </cell>
        </row>
        <row r="738">
          <cell r="A738" t="str">
            <v>3171506025 Participaçao dos Empregados-Vale Transporte</v>
          </cell>
        </row>
        <row r="739">
          <cell r="A739" t="str">
            <v>3171506030 Despesa Taxi e Conduçoes (Realizado)</v>
          </cell>
        </row>
        <row r="740">
          <cell r="A740" t="str">
            <v>3171506040 Despesa Aluguel de Veiculos (Realizado)</v>
          </cell>
        </row>
        <row r="741">
          <cell r="A741" t="str">
            <v>3171506050 Despesas com Aluguel de Outros Veiculos(Realizado)</v>
          </cell>
        </row>
        <row r="742">
          <cell r="A742" t="str">
            <v>3171507010 Despesa Refeiçoes Prontas (Realizado)</v>
          </cell>
        </row>
        <row r="743">
          <cell r="A743" t="str">
            <v>3171507015 Participaçao dos Empregados-Refeiçoes Prontas</v>
          </cell>
        </row>
        <row r="744">
          <cell r="A744" t="str">
            <v>3171507020 Despesa Material de Consumo Refeitorio (Realiz)</v>
          </cell>
        </row>
        <row r="745">
          <cell r="A745" t="str">
            <v>3171507025 Desp Material Consumo Refeitorio Descont Func-R</v>
          </cell>
        </row>
        <row r="746">
          <cell r="A746" t="str">
            <v>3171507030 Despesa Refeiçoes-Visita e Outras (Realizado)</v>
          </cell>
        </row>
        <row r="747">
          <cell r="A747" t="str">
            <v>3171507040 Despesa Refeiçoes-Lanches Externos (Realizado)</v>
          </cell>
        </row>
        <row r="748">
          <cell r="A748" t="str">
            <v>3710101010 (-)PL-Participaçoes de Empregados (Realizado)</v>
          </cell>
        </row>
        <row r="749">
          <cell r="A749" t="str">
            <v>Encargos de depreciação e amortização na DGA</v>
          </cell>
        </row>
        <row r="750">
          <cell r="A750" t="str">
            <v>3179001010 Encarg de Deprec e Amort-Depreciaçao (Realizado)</v>
          </cell>
        </row>
        <row r="751">
          <cell r="A751" t="str">
            <v>3179001011 Encarg de Depreciaçao Mais Valia (Realizado)</v>
          </cell>
        </row>
        <row r="752">
          <cell r="A752" t="str">
            <v>3179001012 Encs de Depreciaçao Mais Valia Comb Neg(Realizado)</v>
          </cell>
        </row>
        <row r="753">
          <cell r="A753" t="str">
            <v>3179001014 Encarg de Depreciaçao do AVP (Realizado)</v>
          </cell>
        </row>
        <row r="754">
          <cell r="A754" t="str">
            <v>3179001050 Encarg de Deprec e Amort-Amortizaçao (Realizado)</v>
          </cell>
        </row>
        <row r="755">
          <cell r="A755" t="str">
            <v>3179001054 Encargs de Amortizaçao AVP (Realizado)</v>
          </cell>
        </row>
        <row r="756">
          <cell r="A756" t="str">
            <v>3179001104 Encargs de Amortizaçao Investimentos (Realizado)</v>
          </cell>
        </row>
        <row r="757">
          <cell r="A757" t="str">
            <v>Serviços de terceiros nas DGAs</v>
          </cell>
        </row>
        <row r="758">
          <cell r="A758" t="str">
            <v>3172001010 Serviços Prestados Advocacia p/PJ (Realizado)</v>
          </cell>
        </row>
        <row r="759">
          <cell r="A759" t="str">
            <v>3172001015 Rec Desps c/Honorarios Advocaticios (Realizado)</v>
          </cell>
        </row>
        <row r="760">
          <cell r="A760" t="str">
            <v>3172001040 Serv Prest Advocacia p/PF s/ Vinculo Empr (Realiz)</v>
          </cell>
        </row>
        <row r="761">
          <cell r="A761" t="str">
            <v>3172002010 Serviços Prestados Auditoria  p/PJ (Realizado)</v>
          </cell>
        </row>
        <row r="762">
          <cell r="A762" t="str">
            <v>3172003010 Serviços Prestados Consultoria p/PJ (Realizado)</v>
          </cell>
        </row>
        <row r="763">
          <cell r="A763" t="str">
            <v>3172003040 Serv Prest Consultoria p/PF s/Vinc Empr (Realiz)</v>
          </cell>
        </row>
        <row r="764">
          <cell r="A764" t="str">
            <v>3172007010 Serv Prest Informaçoes Cadastrais p/PJ (Realiz)</v>
          </cell>
        </row>
        <row r="765">
          <cell r="A765" t="str">
            <v>3172008010 Serv Prest Propaganda e Publicidade p/PJ (Realiz)</v>
          </cell>
        </row>
        <row r="766">
          <cell r="A766" t="str">
            <v>3172009010 Serv Prest Atualiz/Suporte Tecnico p/PJ (Realiz)</v>
          </cell>
        </row>
        <row r="767">
          <cell r="A767" t="str">
            <v>3172010010 Serviços Prestados Temporario p/PJ (Realizado)</v>
          </cell>
        </row>
        <row r="768">
          <cell r="A768" t="str">
            <v>3172011010 Serviços Prestados Limpeza p/ PJ (Realizado)</v>
          </cell>
        </row>
        <row r="769">
          <cell r="A769" t="str">
            <v>3172012010 Serviços Prestados Vigilancia PJ (Realiz)</v>
          </cell>
        </row>
        <row r="770">
          <cell r="A770" t="str">
            <v>3172015010 Serv Prest Fretes Carretos s/Compras p/PJ (Realiz)</v>
          </cell>
        </row>
        <row r="771">
          <cell r="A771" t="str">
            <v>3172018010 Serv Prest Reparos Assist Tecnica p/PJ (Realiz)</v>
          </cell>
        </row>
        <row r="772">
          <cell r="A772" t="str">
            <v>3172099010 Prest Serv Tecnicos Profissionais p/PJ (Realiz)</v>
          </cell>
        </row>
        <row r="773">
          <cell r="A773" t="str">
            <v>3172099020 Prest Serv Tec Profissionais p/Coop Trab (Realiz)</v>
          </cell>
        </row>
        <row r="774">
          <cell r="A774" t="str">
            <v>3172099040 Serv Prest Tec Profissionais p/PF s/Vin Empr (R)</v>
          </cell>
        </row>
        <row r="775">
          <cell r="A775" t="str">
            <v>3172150010 Serv Prest Manutençao Civil p/PJ (Realizado)</v>
          </cell>
        </row>
        <row r="776">
          <cell r="A776" t="str">
            <v>3172199010 Serv Prest Manutençao Geral p/PJ (Realizado)</v>
          </cell>
        </row>
        <row r="777">
          <cell r="A777" t="str">
            <v>Outras despesas gerais administrativas</v>
          </cell>
        </row>
        <row r="778">
          <cell r="A778" t="str">
            <v>3170801070 Mat Cons Oper-Reparo e Manutençao (Realiz)</v>
          </cell>
        </row>
        <row r="779">
          <cell r="A779" t="str">
            <v>3170801090 Mat Cons Oper-Limpeza (Realizado)</v>
          </cell>
        </row>
        <row r="780">
          <cell r="A780" t="str">
            <v>3170801100 Mat Cons Oper-Segurança (Realizado)</v>
          </cell>
        </row>
        <row r="781">
          <cell r="A781" t="str">
            <v>3170801130 Mat Cons Oper-Escritorio (Realizado)</v>
          </cell>
        </row>
        <row r="782">
          <cell r="A782" t="str">
            <v>3170801140 Mat Cons Oper-Imobilizado (Realizado)</v>
          </cell>
        </row>
        <row r="783">
          <cell r="A783" t="str">
            <v>3170802990 Materias Consumo-Manutencao em Geral (Realiz)</v>
          </cell>
        </row>
        <row r="784">
          <cell r="A784" t="str">
            <v>3171901010 Sel Recrut-Servs de Tercrs p/Seleçao e Recrut (R)</v>
          </cell>
        </row>
        <row r="785">
          <cell r="A785" t="str">
            <v>3171902010 Despesa Viagens Nacionais (Realizado)</v>
          </cell>
        </row>
        <row r="786">
          <cell r="A786" t="str">
            <v>3171902020 Despesas Viagens Internacionais (Realizado)</v>
          </cell>
        </row>
        <row r="787">
          <cell r="A787" t="str">
            <v>3173501010 Desp Correspondencia-Malote (Realizado)</v>
          </cell>
        </row>
        <row r="788">
          <cell r="A788" t="str">
            <v>3173501020 Desp Correspondencia-Postais (Realizado)</v>
          </cell>
        </row>
        <row r="789">
          <cell r="A789" t="str">
            <v>3173505010 Desp Telec-Desp c/Telefonia Fixa (Realizado)</v>
          </cell>
        </row>
        <row r="790">
          <cell r="A790" t="str">
            <v>3173505020 Desp Telec-Desp c/Telefonia Movel (Realizado)</v>
          </cell>
        </row>
        <row r="791">
          <cell r="A791" t="str">
            <v>3173505030 Desp Telec-Desp Comun Dados EC/FC Internet(Realiz)</v>
          </cell>
        </row>
        <row r="792">
          <cell r="A792" t="str">
            <v>3173505040 Desp Telec-Desp Comum Dados Internet (Realizado)</v>
          </cell>
        </row>
        <row r="793">
          <cell r="A793" t="str">
            <v>3173505060 Desp Telec-Desp Comum Dados Banda Larga(Realizado)</v>
          </cell>
        </row>
        <row r="794">
          <cell r="A794" t="str">
            <v>3173505070 Desp Telec-Desp Comum Dados Video Conferen(Realiz)</v>
          </cell>
        </row>
        <row r="795">
          <cell r="A795" t="str">
            <v>3174001010 DLF-Desp c/Publicidade Atas e Balanços (Realizado)</v>
          </cell>
        </row>
        <row r="796">
          <cell r="A796" t="str">
            <v>3174001020 DLF-Desp Escritur Procuraçoes e Contratos (Realiz)</v>
          </cell>
        </row>
        <row r="797">
          <cell r="A797" t="str">
            <v>3174001030 DLF-Desp Autenticidade Reconhecde Firmas (Realiz)</v>
          </cell>
        </row>
        <row r="798">
          <cell r="A798" t="str">
            <v>3174001040 DLF-Desp c/ Custas Judiciais (Realizado)</v>
          </cell>
        </row>
        <row r="799">
          <cell r="A799" t="str">
            <v>3174001990 DLF-Outras Despesas Legais (Realizado)</v>
          </cell>
        </row>
        <row r="800">
          <cell r="A800" t="str">
            <v>3174002010 DITC-Contribuiçao Sindical Patronal (Realizado)</v>
          </cell>
        </row>
        <row r="801">
          <cell r="A801" t="str">
            <v>3174002020 DITC-Predial e Territorial (Realizado)</v>
          </cell>
        </row>
        <row r="802">
          <cell r="A802" t="str">
            <v>3174002021 DITC-Provisao Imposto Predial Territorial (Realiz)</v>
          </cell>
        </row>
        <row r="803">
          <cell r="A803" t="str">
            <v>3174002030 DITC-Licença e Funcionamento (Realizado)</v>
          </cell>
        </row>
        <row r="804">
          <cell r="A804" t="str">
            <v>3174002040 DITC-ICMS s/Aquisiçao de Imobilizado (Realizado)</v>
          </cell>
        </row>
        <row r="805">
          <cell r="A805" t="str">
            <v>3174002050 DITC-ICMS-Debitos Extemporaneos (Realizado)</v>
          </cell>
        </row>
        <row r="806">
          <cell r="A806" t="str">
            <v>3174002060 DITC-Txs Municipais,Estaduais,Federais (Realizado)</v>
          </cell>
        </row>
        <row r="807">
          <cell r="A807" t="str">
            <v>3174003010 Multas Fiscais Indedutiveis (Realizado)</v>
          </cell>
        </row>
        <row r="808">
          <cell r="A808" t="str">
            <v>3174003020 Multas Fiscais Dedutiveis (Realizado)</v>
          </cell>
        </row>
        <row r="809">
          <cell r="A809" t="str">
            <v>3174003030 Multas Contratuais (Realizado)</v>
          </cell>
        </row>
        <row r="810">
          <cell r="A810" t="str">
            <v>3175001010 Desp Seguro-Automoveis (Realizado)</v>
          </cell>
        </row>
        <row r="811">
          <cell r="A811" t="str">
            <v>3175001020 Desp Seguro-Responsabilidade Civil (Realizado)</v>
          </cell>
        </row>
        <row r="812">
          <cell r="A812" t="str">
            <v>3175001030 Desp Seguro-Risco Nomeado (Realizado)</v>
          </cell>
        </row>
        <row r="813">
          <cell r="A813" t="str">
            <v>3175001040 Desp Seguro-Riscos Diversos (Realizado)</v>
          </cell>
        </row>
        <row r="814">
          <cell r="A814" t="str">
            <v>3176001010 Desp Real Even-Semi Fora da Cia Gestao (Realizado)</v>
          </cell>
        </row>
        <row r="815">
          <cell r="A815" t="str">
            <v>3176001020 Desp Reali Eventos-Eventos Gestao (Realizado)</v>
          </cell>
        </row>
        <row r="816">
          <cell r="A816" t="str">
            <v>3176002010 Desp Eventos Marketing (Realizado)</v>
          </cell>
        </row>
        <row r="817">
          <cell r="A817" t="str">
            <v>3176002020 Desp c/Marketing-Relaçoes Publicas (Realizado)</v>
          </cell>
        </row>
        <row r="818">
          <cell r="A818" t="str">
            <v>3176002030 Desp c/Marketing-Patrocinios (Realizado)</v>
          </cell>
        </row>
        <row r="819">
          <cell r="A819" t="str">
            <v>3177002020 EPCT-Estudos de Engenharia(Realizado)</v>
          </cell>
        </row>
        <row r="820">
          <cell r="A820" t="str">
            <v>3178001990 DPC Ind-Outras Contrib/Doaçoes Indeduts (Realiz)</v>
          </cell>
        </row>
        <row r="821">
          <cell r="A821" t="str">
            <v>3178002050 DPC Ded-Contrib a Entidades de Classes (Realizado)</v>
          </cell>
        </row>
        <row r="822">
          <cell r="A822" t="str">
            <v>3179905030 Desp Alug/Loc.Oper-Loc Equiptos Escritorio(Realiz)</v>
          </cell>
        </row>
        <row r="823">
          <cell r="A823" t="str">
            <v>3179905040 Desp Alug/Loc.Oper-Equip Impressao/Copias(Realiz)</v>
          </cell>
        </row>
        <row r="824">
          <cell r="A824" t="str">
            <v>3179905050 Desp Alug/Loc.Oper-Loc de Equip Telefonia(Realiz)</v>
          </cell>
        </row>
        <row r="825">
          <cell r="A825" t="str">
            <v>3179905100 Desp Alug/Loc.Oper-Aluguel de Imovel (Realizado)</v>
          </cell>
        </row>
        <row r="826">
          <cell r="A826" t="str">
            <v>3179910010 Assin L.IT.J.R-Ass de Jornais e Revistas (Realiz)</v>
          </cell>
        </row>
        <row r="827">
          <cell r="A827" t="str">
            <v>3179910030 Assin L.IT.J.R-Ass Livros/Inform Tecnicos (Realiz)</v>
          </cell>
        </row>
        <row r="828">
          <cell r="A828" t="str">
            <v>3179915010 Desp c/Impressao e Copias fora da Cia (Realizado)</v>
          </cell>
        </row>
        <row r="829">
          <cell r="A829" t="str">
            <v>3179920010 Desp c/Veiculos-Abastecimento (Realizado)</v>
          </cell>
        </row>
        <row r="830">
          <cell r="A830" t="str">
            <v>3179920020 Desp c/Veiculos-Reparos e Manutençoes (Realizado)</v>
          </cell>
        </row>
        <row r="831">
          <cell r="A831" t="str">
            <v>3179920030 Desp c/Veiculos-Peças e Acessorios (Realizado)</v>
          </cell>
        </row>
        <row r="832">
          <cell r="A832" t="str">
            <v>3179920040 Desp c/Veiculos-Lavagem e Lubrificaçao (Realizado)</v>
          </cell>
        </row>
        <row r="833">
          <cell r="A833" t="str">
            <v>3179920050 Desp c/Veiculos-Pedagio e Estacionam (Realizado)</v>
          </cell>
        </row>
        <row r="834">
          <cell r="A834" t="str">
            <v>3179920060 Desp c/Veiculos-Licenciamento (Realizado)</v>
          </cell>
        </row>
        <row r="835">
          <cell r="A835" t="str">
            <v>Outras despesas / receitas operacionais</v>
          </cell>
        </row>
        <row r="836">
          <cell r="A836" t="str">
            <v>Outras receitas operacionais</v>
          </cell>
        </row>
        <row r="837">
          <cell r="A837" t="str">
            <v>3310101010 Receita c/Dividendos Recebidos (Realizado)</v>
          </cell>
        </row>
        <row r="838">
          <cell r="A838" t="str">
            <v>3310105010 Res Liq Bx At Fixo-Rec Alienaç B/D At.Perman (R)</v>
          </cell>
        </row>
        <row r="839">
          <cell r="A839" t="str">
            <v>3310105020 (-)R Liq Bx At Fix-Vlr Contabil B/D Baixados (R)</v>
          </cell>
        </row>
        <row r="840">
          <cell r="A840" t="str">
            <v>3310105030 Outros Custos dos Bens e Direitos Alienados (R)</v>
          </cell>
        </row>
        <row r="841">
          <cell r="A841" t="str">
            <v>3310108990 Outros Imposto Recuperados (Realizado)</v>
          </cell>
        </row>
        <row r="842">
          <cell r="A842" t="str">
            <v>3310115010 Sinistros Indenizado (Realizado)</v>
          </cell>
        </row>
        <row r="843">
          <cell r="A843" t="str">
            <v>Outras despesas operacionais</v>
          </cell>
        </row>
        <row r="844">
          <cell r="A844" t="str">
            <v>3310110010 Desp c/Proc Jud-Tributarios (Realizado)</v>
          </cell>
        </row>
        <row r="845">
          <cell r="A845" t="str">
            <v>3310110011 Desp c/Proc Jud-Constit Contingencias Tributarias</v>
          </cell>
        </row>
        <row r="846">
          <cell r="A846" t="str">
            <v>3310110020 Desp c/Proc Trabalhista (Realizado)</v>
          </cell>
        </row>
        <row r="847">
          <cell r="A847" t="str">
            <v>3310110021 Desp c/Proc Trab-Constit Contingenc Trabalhistas</v>
          </cell>
        </row>
        <row r="848">
          <cell r="A848" t="str">
            <v>3310110031 Desp c/Proc Civeis-Constit Contingencias Civeis</v>
          </cell>
        </row>
        <row r="849">
          <cell r="A849" t="str">
            <v>3310110032 Desp c/Proc Civeis-Rev de Contingencias Civeis</v>
          </cell>
        </row>
        <row r="850">
          <cell r="A850" t="str">
            <v>3310140010 Desp n Cor Multas Indedutiveis (Realizado)</v>
          </cell>
        </row>
        <row r="851">
          <cell r="A851" t="str">
            <v>3310190011 Provisao Perdas em Opercao Credito-PCLD</v>
          </cell>
        </row>
        <row r="852">
          <cell r="A852" t="str">
            <v>Resultado de equivalência patrimonial</v>
          </cell>
        </row>
        <row r="853">
          <cell r="A853" t="str">
            <v>3310201010 Result Positivo Participacoes Societarias (R)</v>
          </cell>
        </row>
        <row r="854">
          <cell r="A854" t="str">
            <v>3310201020 Result Negativo Paticipacoes Societarias (R)</v>
          </cell>
        </row>
        <row r="855">
          <cell r="A855" t="str">
            <v>Resultado financeiro</v>
          </cell>
        </row>
        <row r="856">
          <cell r="A856" t="str">
            <v>Receitas financeiras</v>
          </cell>
        </row>
        <row r="857">
          <cell r="A857" t="str">
            <v>Receita de equivalentes de caixa e TVM</v>
          </cell>
        </row>
        <row r="858">
          <cell r="A858" t="str">
            <v>3510101010 Rec Financ-Juros s/Aplic Financeiras (Realizado)</v>
          </cell>
        </row>
        <row r="859">
          <cell r="A859" t="str">
            <v>Outras receitas financeiras</v>
          </cell>
        </row>
        <row r="860">
          <cell r="A860" t="str">
            <v>3510101090 Rec Financ-Juros s/Capital Proprio (Realizado)</v>
          </cell>
        </row>
        <row r="861">
          <cell r="A861" t="str">
            <v>3510101990 Rec Financ-Juros s/Outros Ativos (Realizado)</v>
          </cell>
        </row>
        <row r="862">
          <cell r="A862" t="str">
            <v>3510102011 Rec Financ-Prov Var Monet s/ Depositos Judiciais</v>
          </cell>
        </row>
        <row r="863">
          <cell r="A863" t="str">
            <v>3510102020 Rec Financ-Var Monet s/Impostos a Recup. (Realiza)</v>
          </cell>
        </row>
        <row r="864">
          <cell r="A864" t="str">
            <v>3510102990 Rec Finan-Var Monetaria s/Outros Ativos(Realizado)</v>
          </cell>
        </row>
        <row r="865">
          <cell r="A865" t="str">
            <v>3510103010 Rec Financ-Encargos s/Cobrança Duplic(Realizado)</v>
          </cell>
        </row>
        <row r="866">
          <cell r="A866" t="str">
            <v>3510103030 Rec Financ-Descontos Obtidos (Realizado)</v>
          </cell>
        </row>
        <row r="867">
          <cell r="A867" t="str">
            <v>3510105010 Rec Financ-Bonificaçoes s/Adm Apolice (Realizado)</v>
          </cell>
        </row>
        <row r="868">
          <cell r="A868" t="str">
            <v>3510105020 Rec Financ-Bonificações s/ Pagamentos (Realizado)</v>
          </cell>
        </row>
        <row r="869">
          <cell r="A869" t="str">
            <v>3510106014 Rec Financ-Cont.AVP/ICMS Recup s/Aquis de At.Fixo</v>
          </cell>
        </row>
        <row r="870">
          <cell r="A870" t="str">
            <v>3510199990 Rec Financ-Demais Receitas Financeiras (Realizado)</v>
          </cell>
        </row>
        <row r="871">
          <cell r="A871" t="str">
            <v>Despesas financeiras</v>
          </cell>
        </row>
        <row r="872">
          <cell r="A872" t="str">
            <v>Juros de empréstimos e financiamentos</v>
          </cell>
        </row>
        <row r="873">
          <cell r="A873" t="str">
            <v>3510201010 (-)Desp Financ-Juros s/Emprestimos (Realizado)</v>
          </cell>
        </row>
        <row r="874">
          <cell r="A874" t="str">
            <v>Outras despesas financeiras</v>
          </cell>
        </row>
        <row r="875">
          <cell r="A875" t="str">
            <v>3510201020 (-)Desp Financ-Juros s/Pgtos em Atraso (Realizado)</v>
          </cell>
        </row>
        <row r="876">
          <cell r="A876" t="str">
            <v>3510201990 (-)Desp Financ-Juros s/Outros Passivos (Realizado)</v>
          </cell>
        </row>
        <row r="877">
          <cell r="A877" t="str">
            <v>3510202030 Desp Financ-Var Monet s/Pgto Imposto em Atraso(R)</v>
          </cell>
        </row>
        <row r="878">
          <cell r="A878" t="str">
            <v>3510202990 Desp Financ-Var Monet s/Outros Passivos(Realizado)</v>
          </cell>
        </row>
        <row r="879">
          <cell r="A879" t="str">
            <v>3510202991 Desp Financ-Prov Var Monetaria s/Contingencias</v>
          </cell>
        </row>
        <row r="880">
          <cell r="A880" t="str">
            <v>3510203020 Desp Financ-Encarg/Outros-Custas Judiciais(Realiz)</v>
          </cell>
        </row>
        <row r="881">
          <cell r="A881" t="str">
            <v>3510203500 Desp Financ-Encarg/Outros-I.O.C / I.O.F(Realizado)</v>
          </cell>
        </row>
        <row r="882">
          <cell r="A882" t="str">
            <v>3510203504 Ajuste a Valor Justo</v>
          </cell>
        </row>
        <row r="883">
          <cell r="A883" t="str">
            <v>3510204010 Desp Financ-EFE-Comissoes s/Aquis Empres Amort(R)</v>
          </cell>
        </row>
        <row r="884">
          <cell r="A884" t="str">
            <v>3510205010 Desp Financ-Bancarias-Comissoes (Ralizado)</v>
          </cell>
        </row>
        <row r="885">
          <cell r="A885" t="str">
            <v>3510205014 Ajuste a Valor Justo</v>
          </cell>
        </row>
        <row r="886">
          <cell r="A886" t="str">
            <v>3510205020 Desp Financ-Bancarias-Corretagens (Realiz)</v>
          </cell>
        </row>
        <row r="887">
          <cell r="A887" t="str">
            <v>3510205030 Desp Financ-Bancarias-Comissoes Fiança (Realiz)</v>
          </cell>
        </row>
        <row r="888">
          <cell r="A888" t="str">
            <v>3510205040 Desp Financ-Bancaria-Txa Expediente (Realiz)</v>
          </cell>
        </row>
        <row r="889">
          <cell r="A889" t="str">
            <v>3510299990 Demais Despesas Financeiras (Realizado)</v>
          </cell>
        </row>
        <row r="890">
          <cell r="A890" t="str">
            <v>Perdas cambiais financieras, líquidas</v>
          </cell>
        </row>
        <row r="891">
          <cell r="A891" t="str">
            <v>Variações cambiais passivas sobre empréstimos</v>
          </cell>
        </row>
        <row r="892">
          <cell r="A892" t="str">
            <v>3530102040 Var C Liq Pas-Perda Va rCamb s/Empres Exterior(R)</v>
          </cell>
        </row>
        <row r="893">
          <cell r="A893" t="str">
            <v>Outras variações cambiais</v>
          </cell>
        </row>
        <row r="894">
          <cell r="A894" t="str">
            <v>3530101010 Var C Liq At-Ganho Var Camb s/Receb Exterior (R)</v>
          </cell>
        </row>
        <row r="895">
          <cell r="A895" t="str">
            <v>3530101020 Var C Liq At-Perda Var Camb s/Receb Exterior (R)</v>
          </cell>
        </row>
        <row r="896">
          <cell r="A896" t="str">
            <v>3530102010 Var C Liq Pas-Ganho Var Camb s/Exigiv Exterior(R)</v>
          </cell>
        </row>
        <row r="897">
          <cell r="A897" t="str">
            <v>3530102020 Var C Liq Pas-Perda Var Camb s/Exigiv Exterior(R)</v>
          </cell>
        </row>
        <row r="898">
          <cell r="A898" t="str">
            <v>Imposto de renda e constribuição social</v>
          </cell>
        </row>
        <row r="899">
          <cell r="A899" t="str">
            <v>Corrente</v>
          </cell>
        </row>
        <row r="900">
          <cell r="A900" t="str">
            <v>3910101011 (-)Prov CSLL/Exerc.Corrente-CSLL Ajustado (Realiz)</v>
          </cell>
        </row>
        <row r="901">
          <cell r="A901" t="str">
            <v>3910101014 (-)Prov CSLL/Exerc.Corrente-CSLL Aj Aliq Efet (Rea</v>
          </cell>
        </row>
        <row r="902">
          <cell r="A902" t="str">
            <v>3920101011 (-)Prov IRPJ/Exerc.Correne-IRPJ s/Lucro Real</v>
          </cell>
        </row>
        <row r="903">
          <cell r="A903" t="str">
            <v>3920101014 (-)Prov IRPJ/Exerc.Corrente Aj Aliq Efetiva (Reali</v>
          </cell>
        </row>
        <row r="904">
          <cell r="A904" t="str">
            <v>Diferido</v>
          </cell>
        </row>
        <row r="905">
          <cell r="A905" t="str">
            <v>3910101021 (-)Prov CSLL/Exerc.Corrente-CSLL Diferido Ativos</v>
          </cell>
        </row>
        <row r="906">
          <cell r="A906" t="str">
            <v>3910101041 (-)Prov CSLL Diferida Base Negativa</v>
          </cell>
        </row>
        <row r="907">
          <cell r="A907" t="str">
            <v>3910102011 Prov CSLL/Exerc Ant-Prov CSLL Exerc Anterior</v>
          </cell>
        </row>
        <row r="908">
          <cell r="A908" t="str">
            <v>3920101021 (-)Prov IRPJ/Exerc.Corrente-IRPJ Diferido Ativos</v>
          </cell>
        </row>
        <row r="909">
          <cell r="A909" t="str">
            <v>3920101041 (-)Prov IRPJ Diferido Prej Fiscal</v>
          </cell>
        </row>
        <row r="910">
          <cell r="A910" t="str">
            <v>3920102011 Prov IRPJ/Exerc.Ant-Prov IRPJ Exerc Anterior</v>
          </cell>
        </row>
        <row r="911">
          <cell r="A911"/>
        </row>
        <row r="912">
          <cell r="A912"/>
        </row>
        <row r="913">
          <cell r="A913"/>
        </row>
        <row r="914">
          <cell r="A914"/>
        </row>
        <row r="915">
          <cell r="A915"/>
        </row>
        <row r="916">
          <cell r="A916"/>
        </row>
        <row r="917">
          <cell r="A917"/>
        </row>
        <row r="918">
          <cell r="A918"/>
        </row>
        <row r="919">
          <cell r="A919"/>
        </row>
        <row r="920">
          <cell r="A920"/>
        </row>
        <row r="921">
          <cell r="A921"/>
        </row>
        <row r="922">
          <cell r="A922"/>
        </row>
        <row r="923">
          <cell r="A923"/>
        </row>
        <row r="924">
          <cell r="A924"/>
        </row>
        <row r="925">
          <cell r="A925"/>
        </row>
        <row r="926">
          <cell r="A926"/>
        </row>
        <row r="927">
          <cell r="A927"/>
        </row>
        <row r="928">
          <cell r="A928"/>
        </row>
        <row r="929">
          <cell r="A929"/>
        </row>
        <row r="930">
          <cell r="A930"/>
        </row>
        <row r="931">
          <cell r="A931"/>
        </row>
        <row r="932">
          <cell r="A932"/>
        </row>
        <row r="933">
          <cell r="A933"/>
        </row>
        <row r="934">
          <cell r="A934"/>
        </row>
        <row r="935">
          <cell r="A935"/>
        </row>
        <row r="936">
          <cell r="A936"/>
        </row>
        <row r="937">
          <cell r="A937"/>
        </row>
        <row r="938">
          <cell r="A938"/>
        </row>
        <row r="939">
          <cell r="A939"/>
        </row>
        <row r="940">
          <cell r="A940"/>
        </row>
        <row r="941">
          <cell r="A941"/>
        </row>
        <row r="942">
          <cell r="A942"/>
        </row>
        <row r="943">
          <cell r="A943"/>
        </row>
        <row r="944">
          <cell r="A944"/>
        </row>
        <row r="945">
          <cell r="A945"/>
        </row>
        <row r="946">
          <cell r="A946"/>
        </row>
        <row r="947">
          <cell r="A947"/>
        </row>
        <row r="948">
          <cell r="A948"/>
        </row>
        <row r="949">
          <cell r="A949"/>
        </row>
        <row r="950">
          <cell r="A950"/>
        </row>
        <row r="951">
          <cell r="A951"/>
        </row>
        <row r="952">
          <cell r="A952"/>
        </row>
        <row r="953">
          <cell r="A953"/>
        </row>
        <row r="954">
          <cell r="A954"/>
        </row>
        <row r="955">
          <cell r="A955"/>
        </row>
        <row r="956">
          <cell r="A956"/>
        </row>
        <row r="957">
          <cell r="A957"/>
        </row>
        <row r="958">
          <cell r="A958"/>
        </row>
        <row r="959">
          <cell r="A959"/>
        </row>
        <row r="960">
          <cell r="A960"/>
        </row>
        <row r="961">
          <cell r="A961"/>
        </row>
        <row r="962">
          <cell r="A962"/>
        </row>
        <row r="963">
          <cell r="A963"/>
        </row>
        <row r="964">
          <cell r="A964"/>
        </row>
        <row r="965">
          <cell r="A965"/>
        </row>
        <row r="966">
          <cell r="A966"/>
        </row>
        <row r="967">
          <cell r="A967"/>
        </row>
        <row r="968">
          <cell r="A968"/>
        </row>
        <row r="969">
          <cell r="A969"/>
        </row>
        <row r="970">
          <cell r="A970"/>
        </row>
        <row r="971">
          <cell r="A971"/>
        </row>
        <row r="972">
          <cell r="A972"/>
        </row>
        <row r="973">
          <cell r="A973"/>
        </row>
        <row r="974">
          <cell r="A974"/>
        </row>
        <row r="975">
          <cell r="A975"/>
        </row>
        <row r="976">
          <cell r="A976"/>
        </row>
        <row r="977">
          <cell r="A977"/>
        </row>
        <row r="978">
          <cell r="A978"/>
        </row>
        <row r="979">
          <cell r="A979"/>
        </row>
        <row r="980">
          <cell r="A980"/>
        </row>
        <row r="981">
          <cell r="A981"/>
        </row>
        <row r="982">
          <cell r="A982"/>
        </row>
        <row r="983">
          <cell r="A983"/>
        </row>
        <row r="984">
          <cell r="A984"/>
        </row>
        <row r="985">
          <cell r="A985"/>
        </row>
        <row r="986">
          <cell r="A986"/>
        </row>
        <row r="987">
          <cell r="A987"/>
        </row>
        <row r="988">
          <cell r="A988"/>
        </row>
        <row r="989">
          <cell r="A989"/>
        </row>
        <row r="990">
          <cell r="A990"/>
        </row>
        <row r="991">
          <cell r="A991"/>
        </row>
        <row r="992">
          <cell r="A992"/>
        </row>
        <row r="993">
          <cell r="A993"/>
        </row>
        <row r="994">
          <cell r="A994"/>
        </row>
        <row r="995">
          <cell r="A995"/>
        </row>
        <row r="996">
          <cell r="A996"/>
        </row>
        <row r="997">
          <cell r="A997"/>
        </row>
        <row r="998">
          <cell r="A998"/>
        </row>
        <row r="999">
          <cell r="A999"/>
        </row>
        <row r="1000">
          <cell r="A1000"/>
        </row>
        <row r="1001">
          <cell r="A1001"/>
        </row>
        <row r="1002">
          <cell r="A1002"/>
        </row>
        <row r="1003">
          <cell r="A1003"/>
        </row>
        <row r="1004">
          <cell r="A1004"/>
        </row>
        <row r="1005">
          <cell r="A1005"/>
        </row>
        <row r="1006">
          <cell r="A1006"/>
        </row>
        <row r="1007">
          <cell r="A1007"/>
        </row>
        <row r="1008">
          <cell r="A1008"/>
        </row>
        <row r="1009">
          <cell r="A1009"/>
        </row>
        <row r="1010">
          <cell r="A1010"/>
        </row>
        <row r="1011">
          <cell r="A1011"/>
        </row>
        <row r="1012">
          <cell r="A1012"/>
        </row>
        <row r="1013">
          <cell r="A1013"/>
        </row>
        <row r="1014">
          <cell r="A1014"/>
        </row>
        <row r="1015">
          <cell r="A1015"/>
        </row>
        <row r="1016">
          <cell r="A1016"/>
        </row>
        <row r="1017">
          <cell r="A1017"/>
        </row>
        <row r="1018">
          <cell r="A1018"/>
        </row>
        <row r="1019">
          <cell r="A1019"/>
        </row>
        <row r="1020">
          <cell r="A1020"/>
        </row>
        <row r="1021">
          <cell r="A1021"/>
        </row>
        <row r="1022">
          <cell r="A1022"/>
        </row>
        <row r="1023">
          <cell r="A1023"/>
        </row>
        <row r="1024">
          <cell r="A1024"/>
        </row>
        <row r="1025">
          <cell r="A1025"/>
        </row>
        <row r="1026">
          <cell r="A1026"/>
        </row>
        <row r="1027">
          <cell r="A1027"/>
        </row>
        <row r="1028">
          <cell r="A1028"/>
        </row>
        <row r="1029">
          <cell r="A1029"/>
        </row>
        <row r="1030">
          <cell r="A1030"/>
        </row>
        <row r="1031">
          <cell r="A1031"/>
        </row>
        <row r="1032">
          <cell r="A1032"/>
        </row>
        <row r="1033">
          <cell r="A1033"/>
        </row>
        <row r="1034">
          <cell r="A1034"/>
        </row>
        <row r="1035">
          <cell r="A1035"/>
        </row>
        <row r="1036">
          <cell r="A1036"/>
        </row>
        <row r="1037">
          <cell r="A1037"/>
        </row>
        <row r="1038">
          <cell r="A1038"/>
        </row>
        <row r="1039">
          <cell r="A1039"/>
        </row>
        <row r="1040">
          <cell r="A1040"/>
        </row>
        <row r="1041">
          <cell r="A1041"/>
        </row>
        <row r="1042">
          <cell r="A1042"/>
        </row>
        <row r="1043">
          <cell r="A1043"/>
        </row>
        <row r="1044">
          <cell r="A1044"/>
        </row>
        <row r="1045">
          <cell r="A1045"/>
        </row>
        <row r="1046">
          <cell r="A1046"/>
        </row>
        <row r="1047">
          <cell r="A1047"/>
        </row>
        <row r="1048">
          <cell r="A1048"/>
        </row>
        <row r="1049">
          <cell r="A1049"/>
        </row>
        <row r="1050">
          <cell r="A1050"/>
        </row>
        <row r="1051">
          <cell r="A1051"/>
        </row>
        <row r="1052">
          <cell r="A1052"/>
        </row>
        <row r="1053">
          <cell r="A1053"/>
        </row>
        <row r="1054">
          <cell r="A1054"/>
        </row>
        <row r="1055">
          <cell r="A1055"/>
        </row>
        <row r="1056">
          <cell r="A1056"/>
        </row>
        <row r="1057">
          <cell r="A1057"/>
        </row>
        <row r="1058">
          <cell r="A1058"/>
        </row>
        <row r="1059">
          <cell r="A1059"/>
        </row>
        <row r="1060">
          <cell r="A1060"/>
        </row>
        <row r="1061">
          <cell r="A1061"/>
        </row>
        <row r="1062">
          <cell r="A1062"/>
        </row>
        <row r="1063">
          <cell r="A1063"/>
        </row>
        <row r="1064">
          <cell r="A1064"/>
        </row>
        <row r="1065">
          <cell r="A1065"/>
        </row>
        <row r="1066">
          <cell r="A1066"/>
        </row>
        <row r="1067">
          <cell r="A1067"/>
        </row>
        <row r="1068">
          <cell r="A1068"/>
        </row>
        <row r="1069">
          <cell r="A1069"/>
        </row>
        <row r="1070">
          <cell r="A1070"/>
        </row>
        <row r="1071">
          <cell r="A1071"/>
        </row>
        <row r="1072">
          <cell r="A1072"/>
        </row>
        <row r="1073">
          <cell r="A1073"/>
        </row>
        <row r="1074">
          <cell r="A1074"/>
        </row>
        <row r="1075">
          <cell r="A1075"/>
        </row>
        <row r="1076">
          <cell r="A1076"/>
        </row>
        <row r="1077">
          <cell r="A1077"/>
        </row>
        <row r="1078">
          <cell r="A1078"/>
        </row>
        <row r="1079">
          <cell r="A1079"/>
        </row>
        <row r="1080">
          <cell r="A1080"/>
        </row>
        <row r="1081">
          <cell r="A1081"/>
        </row>
        <row r="1082">
          <cell r="A1082"/>
        </row>
        <row r="1083">
          <cell r="A1083"/>
        </row>
        <row r="1084">
          <cell r="A1084"/>
        </row>
        <row r="1085">
          <cell r="A1085"/>
        </row>
        <row r="1086">
          <cell r="A1086"/>
        </row>
        <row r="1087">
          <cell r="A1087"/>
        </row>
        <row r="1088">
          <cell r="A1088"/>
        </row>
        <row r="1089">
          <cell r="A1089"/>
        </row>
        <row r="1090">
          <cell r="A1090"/>
        </row>
        <row r="1091">
          <cell r="A1091"/>
        </row>
        <row r="1092">
          <cell r="A1092"/>
        </row>
        <row r="1093">
          <cell r="A1093"/>
        </row>
        <row r="1094">
          <cell r="A1094"/>
        </row>
        <row r="1095">
          <cell r="A1095"/>
        </row>
        <row r="1096">
          <cell r="A1096"/>
        </row>
        <row r="1097">
          <cell r="A1097"/>
        </row>
        <row r="1098">
          <cell r="A1098"/>
        </row>
        <row r="1099">
          <cell r="A1099"/>
        </row>
        <row r="1100">
          <cell r="A1100"/>
        </row>
      </sheetData>
      <sheetData sheetId="8" refreshError="1">
        <row r="1">
          <cell r="A1" t="str">
            <v>OUTUBRO - 2 0 1 4</v>
          </cell>
        </row>
        <row r="2">
          <cell r="A2" t="str">
            <v>ATIVO</v>
          </cell>
        </row>
        <row r="3">
          <cell r="A3" t="str">
            <v>CIRCULANTE</v>
          </cell>
        </row>
        <row r="4">
          <cell r="A4" t="str">
            <v>CAIXA E EQUIVALENTE DE CAIXA</v>
          </cell>
        </row>
        <row r="5">
          <cell r="A5" t="str">
            <v>Recursos em caixa e contas correntes bancária</v>
          </cell>
        </row>
        <row r="6">
          <cell r="A6" t="str">
            <v>1110102030 Banco Itau (Realizado)</v>
          </cell>
        </row>
        <row r="7">
          <cell r="A7" t="str">
            <v>1110102040 Banco Santander (Realizado)</v>
          </cell>
        </row>
        <row r="8">
          <cell r="A8" t="str">
            <v>1110102072 Banco Safra (Transitorias - Saidas)</v>
          </cell>
        </row>
        <row r="9">
          <cell r="A9" t="str">
            <v>1110102080 Banco Votorantin (Realizado)</v>
          </cell>
        </row>
        <row r="10">
          <cell r="A10" t="str">
            <v>1110102100 Banco Pactual S.A.(Realizado)</v>
          </cell>
        </row>
        <row r="11">
          <cell r="A11" t="str">
            <v>1110102120 Banco Alfa de Investimentos S.A. (Realizado)</v>
          </cell>
        </row>
        <row r="12">
          <cell r="A12" t="str">
            <v>1110102210 Banco do Brasil  (Realizado)</v>
          </cell>
        </row>
        <row r="13">
          <cell r="A13" t="str">
            <v>1110102220 Banco Bradesco (Realizado)</v>
          </cell>
        </row>
        <row r="14">
          <cell r="A14" t="str">
            <v>1110102240 Banco Santander (Realizado)</v>
          </cell>
        </row>
        <row r="15">
          <cell r="A15" t="str">
            <v>1110102250 Caixa Economica Federal (Realizado)</v>
          </cell>
        </row>
        <row r="16">
          <cell r="A16" t="str">
            <v>1110102270 Banco Safra (Transitorias - Saidas)</v>
          </cell>
        </row>
        <row r="17">
          <cell r="A17" t="str">
            <v>1110102290 Banco Paulista (Realizado)</v>
          </cell>
        </row>
        <row r="18">
          <cell r="A18" t="str">
            <v>1110102320 Banco Bradesco (Realizado)</v>
          </cell>
        </row>
        <row r="19">
          <cell r="A19" t="str">
            <v>1110102350 Caixa Economica Federal (Realizado)</v>
          </cell>
        </row>
        <row r="20">
          <cell r="A20" t="str">
            <v>Aplicações Financeiras (CDBs)</v>
          </cell>
        </row>
        <row r="21">
          <cell r="A21" t="str">
            <v>1110105010 Aplicaçoes Financeiras (Realizado)</v>
          </cell>
        </row>
        <row r="22">
          <cell r="A22" t="str">
            <v>APLICAÇÕES FINANCEIRAS</v>
          </cell>
        </row>
        <row r="23">
          <cell r="A23" t="str">
            <v>Mantidos para negociação</v>
          </cell>
        </row>
        <row r="24">
          <cell r="A24" t="str">
            <v>1110201010 Tits do Merc de Cap Inter Mant p/ Neg (Realizado)</v>
          </cell>
        </row>
        <row r="25">
          <cell r="A25" t="str">
            <v>Mantidos até o vencimento</v>
          </cell>
        </row>
        <row r="26">
          <cell r="A26" t="str">
            <v>1110201020 Tits do Merc de Cap Inter Mant ate Ven (Realizado)</v>
          </cell>
        </row>
        <row r="27">
          <cell r="A27" t="str">
            <v>DUPLICATAS A RECEBER DE CLIENTES</v>
          </cell>
        </row>
        <row r="28">
          <cell r="A28" t="str">
            <v>Clientes nacionais</v>
          </cell>
        </row>
        <row r="29">
          <cell r="A29" t="str">
            <v>1110501010 Duplicatas a Receber no MI  (Realizado)</v>
          </cell>
        </row>
        <row r="30">
          <cell r="A30" t="str">
            <v>1110501011 Duplicatas a Receber no MI (Parcela de CP / LP)</v>
          </cell>
        </row>
        <row r="31">
          <cell r="A31" t="str">
            <v>1110501014 (-)Rec Financeira a apropriar s/Dups a Rec no MI</v>
          </cell>
        </row>
        <row r="32">
          <cell r="A32" t="str">
            <v>Clientes Internacionais</v>
          </cell>
        </row>
        <row r="33">
          <cell r="A33" t="str">
            <v>1110502010 Duplicatas a Receber no ME  (Realizado)</v>
          </cell>
        </row>
        <row r="34">
          <cell r="A34" t="str">
            <v>PCLD</v>
          </cell>
        </row>
        <row r="35">
          <cell r="A35" t="str">
            <v>1110501900 (-) Provisões para Créditos de Liquidação Duvidosa</v>
          </cell>
        </row>
        <row r="36">
          <cell r="A36" t="str">
            <v>IMPOSTOS A RECUPERAR</v>
          </cell>
        </row>
        <row r="37">
          <cell r="A37" t="str">
            <v>Impostos de renda e CSLL</v>
          </cell>
        </row>
        <row r="38">
          <cell r="A38" t="str">
            <v>1111505990 Cred Fisc CSLL- Sdo Negativo Per Anterior (Realiz)</v>
          </cell>
        </row>
        <row r="39">
          <cell r="A39" t="str">
            <v>1111506990 Cred Fisc IRPJ Sdo Negativo Per Anterior (Realiz)</v>
          </cell>
        </row>
        <row r="40">
          <cell r="A40" t="str">
            <v>ICMS a recuperar</v>
          </cell>
        </row>
        <row r="41">
          <cell r="A41" t="str">
            <v>1111507010 ICMS a Recup sobre Ativo Permanente (Realizado)</v>
          </cell>
        </row>
        <row r="42">
          <cell r="A42" t="str">
            <v>1111507014 (-)AVP sobre ICMS a Recup sobre Ativo Permanente</v>
          </cell>
        </row>
        <row r="43">
          <cell r="A43" t="str">
            <v>INSS a compensar</v>
          </cell>
        </row>
        <row r="44">
          <cell r="A44" t="str">
            <v>1111599070 INSS a Compensar  - Decisão Judicial (Realizado)</v>
          </cell>
        </row>
        <row r="45">
          <cell r="A45" t="str">
            <v>PIS a compensar Lei nº 9.715</v>
          </cell>
        </row>
        <row r="46">
          <cell r="A46" t="str">
            <v>1111599000 PIS a Compensar Lei 9715 (Realizado)</v>
          </cell>
        </row>
        <row r="47">
          <cell r="A47" t="str">
            <v>Outros</v>
          </cell>
        </row>
        <row r="48">
          <cell r="A48" t="str">
            <v>1111599010 Imp Import a Rec-Recolhimento em Dupl (Realiz)</v>
          </cell>
        </row>
        <row r="49">
          <cell r="A49" t="str">
            <v>1111599020 INSS a Rec-Recolhimento em Duplicidade (Realizado)</v>
          </cell>
        </row>
        <row r="50">
          <cell r="A50" t="str">
            <v>1111599030 Adic Estadual doImposto de Renda a Rec (Realizado)</v>
          </cell>
        </row>
        <row r="51">
          <cell r="A51" t="str">
            <v>1111599040 FINSOCIAL 1982/83 (Realizado)</v>
          </cell>
        </row>
        <row r="52">
          <cell r="A52" t="str">
            <v>1111599050 IRRF Tercs Ret a Maior (Realizado)</v>
          </cell>
        </row>
        <row r="53">
          <cell r="A53" t="str">
            <v>1111599060 PIS/COF/COF Ret a maior (Realizado)</v>
          </cell>
        </row>
        <row r="54">
          <cell r="A54" t="str">
            <v>ESTOQUES</v>
          </cell>
        </row>
        <row r="55">
          <cell r="A55" t="str">
            <v>Matérias-primas</v>
          </cell>
        </row>
        <row r="56">
          <cell r="A56" t="str">
            <v>1112090010 Importaçoes em And de Materias Primas (Realizado)</v>
          </cell>
        </row>
        <row r="57">
          <cell r="A57" t="str">
            <v>Produtos em processo</v>
          </cell>
        </row>
        <row r="58">
          <cell r="A58" t="str">
            <v>1112003010 Estoques de Produtos em Elaboraçao (Realizado)</v>
          </cell>
        </row>
        <row r="59">
          <cell r="A59" t="str">
            <v>Produtos Acabados</v>
          </cell>
        </row>
        <row r="60">
          <cell r="A60" t="str">
            <v>1112010010 Estoques de Produtos Acabados (Realizado)</v>
          </cell>
        </row>
        <row r="61">
          <cell r="A61" t="str">
            <v>1112050010 Estoques de Mercadorias Rev Nacionais (Realizado)</v>
          </cell>
        </row>
        <row r="62">
          <cell r="A62" t="str">
            <v>1112050020 Estoques de Mercadorias Rev Importadas (Realizado)</v>
          </cell>
        </row>
        <row r="63">
          <cell r="A63" t="str">
            <v>Provisão para desvalorização</v>
          </cell>
        </row>
        <row r="64">
          <cell r="A64" t="str">
            <v>1112010014 (-)Prov p/ Aj. do Est ao Vlr de Merc - Prods Acab</v>
          </cell>
        </row>
        <row r="65">
          <cell r="A65" t="str">
            <v>Materiais auxiliares e embalagens</v>
          </cell>
        </row>
        <row r="66">
          <cell r="A66" t="str">
            <v>1112005010 Estoques de Insumos (Mat-Aux) (Realiz)</v>
          </cell>
        </row>
        <row r="67">
          <cell r="A67" t="str">
            <v>1112008010 Estoques de Materiais de Embalagens (Realizado)</v>
          </cell>
        </row>
        <row r="68">
          <cell r="A68" t="str">
            <v>Materiais de manutenção e outros</v>
          </cell>
        </row>
        <row r="69">
          <cell r="A69" t="str">
            <v>1112020020 Estoque Almoxarif CP-Manutençao Eletrica (Realiz)</v>
          </cell>
        </row>
        <row r="70">
          <cell r="A70" t="str">
            <v>1112020030 Estoque Almoxarif CP-Manutençao Mecanica (Realiz)</v>
          </cell>
        </row>
        <row r="71">
          <cell r="A71" t="str">
            <v>1112020050 Estoq Alm CP-Manut Calderaria e Tubulaçao (Realiz)</v>
          </cell>
        </row>
        <row r="72">
          <cell r="A72" t="str">
            <v>1112020060 Estoque Alm CP-Manutençao Instrumentaçao (Realiz)</v>
          </cell>
        </row>
        <row r="73">
          <cell r="A73" t="str">
            <v>1112020070 Estoque Alm CP-Manutençao Celula HG (Realizado)</v>
          </cell>
        </row>
        <row r="74">
          <cell r="A74" t="str">
            <v>1112020080 Estoque Almo CP-Manut Celula Diafragma (Realizado)</v>
          </cell>
        </row>
        <row r="75">
          <cell r="A75" t="str">
            <v>1112020090 Estoque Alm CP-Manutençao Celula Membrana (Realiz)</v>
          </cell>
        </row>
        <row r="76">
          <cell r="A76" t="str">
            <v>1112020100 Estoque Alm CP-Manut.de Cilindros e Carretas R</v>
          </cell>
        </row>
        <row r="77">
          <cell r="A77" t="str">
            <v>1112020490 Estoque Almo CP-Manutençao em Geral (Realizado)</v>
          </cell>
        </row>
        <row r="78">
          <cell r="A78" t="str">
            <v>1112020500 Estoque Alm CP-Almoxarifado de Uso Geral (Realiz)</v>
          </cell>
        </row>
        <row r="79">
          <cell r="A79" t="str">
            <v>1112020991 Estoque Almoxarifado Transf. Parcela Realizada L.P</v>
          </cell>
        </row>
        <row r="80">
          <cell r="A80" t="str">
            <v>1112080200 Etq de Outros Mats-Almox em Poder de Ters (Realiz)</v>
          </cell>
        </row>
        <row r="81">
          <cell r="A81" t="str">
            <v>DESPESAS DE EXERCICIO SEGUINTE</v>
          </cell>
        </row>
        <row r="82">
          <cell r="A82" t="str">
            <v>Pagamentos Antecipados</v>
          </cell>
        </row>
        <row r="83">
          <cell r="A83" t="str">
            <v>1119001010 Pagamentos Antecipados-Seguros (Realizado)</v>
          </cell>
        </row>
        <row r="84">
          <cell r="A84" t="str">
            <v>1119001030 Pagamentos Antecip-Serv Tecnicos Prof (Realizado)</v>
          </cell>
        </row>
        <row r="85">
          <cell r="A85" t="str">
            <v>1119001040 Pagamentos Antecipados-Impostos (Realizado)</v>
          </cell>
        </row>
        <row r="86">
          <cell r="A86" t="str">
            <v>1119001050 Pagtos Antecip-Contribuiçoes Associativas (Realiz)</v>
          </cell>
        </row>
        <row r="87">
          <cell r="A87" t="str">
            <v>1119001900 Pagtos Antecip-Outras Desps/Custos(Realizado)</v>
          </cell>
        </row>
        <row r="88">
          <cell r="A88" t="str">
            <v>OUTROS ATIVOS CIRCULANTE</v>
          </cell>
        </row>
        <row r="89">
          <cell r="A89" t="str">
            <v>Adiantamento a Fornecedores</v>
          </cell>
        </row>
        <row r="90">
          <cell r="A90" t="str">
            <v>1118001010 Adiantamentos a Fornec de Serviços (Realizado)</v>
          </cell>
        </row>
        <row r="91">
          <cell r="A91" t="str">
            <v>1118001020 Adiantamentos a Fornecedores de MP (Realizado)</v>
          </cell>
        </row>
        <row r="92">
          <cell r="A92" t="str">
            <v>1118001030 Adiantamentos a Fornecedores de Energ (Realizado)</v>
          </cell>
        </row>
        <row r="93">
          <cell r="A93" t="str">
            <v>1118001040 Adiant  Fornecs de Materias de Consumo (Realizado)</v>
          </cell>
        </row>
        <row r="94">
          <cell r="A94" t="str">
            <v>1118001050 Adiant Fornecs de Funcionarios (Realizado)</v>
          </cell>
        </row>
        <row r="95">
          <cell r="A95" t="str">
            <v>1118001060 Adiantamentos a Fornecedores de Fretes</v>
          </cell>
        </row>
        <row r="96">
          <cell r="A96" t="str">
            <v>1118001070 Adiantamentos a Fornecedores do Exterior</v>
          </cell>
        </row>
        <row r="97">
          <cell r="A97" t="str">
            <v>Créditos a receber na venda de ativos</v>
          </cell>
        </row>
        <row r="98">
          <cell r="A98" t="str">
            <v>1118099060 Outros Créditos- Contratos a Receber (Realizado)</v>
          </cell>
        </row>
        <row r="99">
          <cell r="A99" t="str">
            <v>Outros Créditos</v>
          </cell>
        </row>
        <row r="100">
          <cell r="A100" t="str">
            <v>1118002010 Adiantamentos a Empregados Salarios (Realizado)</v>
          </cell>
        </row>
        <row r="101">
          <cell r="A101" t="str">
            <v>1118002020 Adiantamentos a Empregados 13º Salario (Realizado)</v>
          </cell>
        </row>
        <row r="102">
          <cell r="A102" t="str">
            <v>1118002030 Adiantamentos a Empregados Ferias (Realizado)</v>
          </cell>
        </row>
        <row r="103">
          <cell r="A103" t="str">
            <v>1118002050 Adiant a Empregados Plano Auxilio Doen (Realizado)</v>
          </cell>
        </row>
        <row r="104">
          <cell r="A104" t="str">
            <v>1118002060 Adto a Empregados Cobertura de Sdo Devedor (R)</v>
          </cell>
        </row>
        <row r="105">
          <cell r="A105" t="str">
            <v>1118002090 Adto a Empregados Desp de Resp de Funcionario (R)</v>
          </cell>
        </row>
        <row r="106">
          <cell r="A106" t="str">
            <v>1118099020 Outros Creditos-Depositos e Cauçoes (Realizado)</v>
          </cell>
        </row>
        <row r="107">
          <cell r="A107" t="str">
            <v>NÃO CIRCULANTE</v>
          </cell>
        </row>
        <row r="108">
          <cell r="A108" t="str">
            <v>DUPLICATAS A RECEBER DE CLIENTES</v>
          </cell>
        </row>
        <row r="109">
          <cell r="A109" t="str">
            <v>Clientes nacionais</v>
          </cell>
        </row>
        <row r="110">
          <cell r="A110" t="str">
            <v>1710501011 Duplicatas a Receber no MI LP (Parcela de CP / LP)</v>
          </cell>
        </row>
        <row r="111">
          <cell r="A111" t="str">
            <v>1710501014 (-)Rec Fin a apr s/ Dups a Rec no MI LP (P CP/LP)</v>
          </cell>
        </row>
        <row r="112">
          <cell r="A112" t="str">
            <v>IMPOSTOS A RECUPERAR</v>
          </cell>
        </row>
        <row r="113">
          <cell r="A113" t="str">
            <v>ICMS a Recuperar</v>
          </cell>
        </row>
        <row r="114">
          <cell r="A114" t="str">
            <v>1711507010 ICMS a Recuperar s/e Ativo Permanet LP (Realizado)</v>
          </cell>
        </row>
        <row r="115">
          <cell r="A115" t="str">
            <v>1711507014 (-)AVP s/ ICMS a Recuperar s/ Ativo Permanente LP</v>
          </cell>
        </row>
        <row r="116">
          <cell r="A116" t="str">
            <v>Outros</v>
          </cell>
        </row>
        <row r="117">
          <cell r="A117" t="str">
            <v>1711599040 FINSOCIAL 1982/83 (Realizado)</v>
          </cell>
        </row>
        <row r="118">
          <cell r="A118" t="str">
            <v>ESTOQUES</v>
          </cell>
        </row>
        <row r="119">
          <cell r="A119" t="str">
            <v>Materiais de Almoxarifado de Giro Baixo</v>
          </cell>
        </row>
        <row r="120">
          <cell r="A120" t="str">
            <v>1712020991 Estoque Almoxarifado Parcela Realizada LP</v>
          </cell>
        </row>
        <row r="121">
          <cell r="A121" t="str">
            <v>DEPÓSITOS JUDICIAIS</v>
          </cell>
        </row>
        <row r="122">
          <cell r="A122" t="str">
            <v>Tributários</v>
          </cell>
        </row>
        <row r="123">
          <cell r="A123" t="str">
            <v>1719001010 Dep Jud s/Res Trib Fed R</v>
          </cell>
        </row>
        <row r="124">
          <cell r="A124" t="str">
            <v>1719001011 ATM Dep Jud s/Res Trib Fed R</v>
          </cell>
        </row>
        <row r="125">
          <cell r="A125" t="str">
            <v>1719001030 Depos Jud s/Reserva-Imp, Taxas e Contrib Munic (R)</v>
          </cell>
        </row>
        <row r="126">
          <cell r="A126" t="str">
            <v>Trabalhistas</v>
          </cell>
        </row>
        <row r="127">
          <cell r="A127" t="str">
            <v>1719002010 Depos Jud s/Reserva-Reclamaçoes Trab (Realizado)</v>
          </cell>
        </row>
        <row r="128">
          <cell r="A128" t="str">
            <v>1719002030 Dep Judiciais s/Res -Previdenciarios (Realizado)</v>
          </cell>
        </row>
        <row r="129">
          <cell r="A129" t="str">
            <v>Outros depósitos judiciais</v>
          </cell>
        </row>
        <row r="130">
          <cell r="A130" t="str">
            <v>1719003990 Outros Dep Judic s/Reserva de Nat Oper (Realizado)</v>
          </cell>
        </row>
        <row r="131">
          <cell r="A131" t="str">
            <v>1719003991 ATM Outros Dep Judic s/Reserva Nat Oper (Realiz)</v>
          </cell>
        </row>
        <row r="132">
          <cell r="A132" t="str">
            <v>OUTROS ATIVOS NÃO CIRCULANTES</v>
          </cell>
        </row>
        <row r="133">
          <cell r="A133" t="str">
            <v>Créditos a receber na venda de ativos</v>
          </cell>
        </row>
        <row r="134">
          <cell r="A134" t="str">
            <v>1718099060 Outros Créditos- Contratos a Receber (Realizado)</v>
          </cell>
        </row>
        <row r="135">
          <cell r="A135" t="str">
            <v>INVESTIMENTOS</v>
          </cell>
        </row>
        <row r="136">
          <cell r="A136" t="str">
            <v>PARTICIPAÇÃO EM COLIGADA</v>
          </cell>
        </row>
        <row r="137">
          <cell r="A137" t="str">
            <v>Tecsis tecnologia e sistemas avançados</v>
          </cell>
        </row>
        <row r="138">
          <cell r="A138" t="str">
            <v>1720201010 Cto Part Per em Coligada ou ControladaTecsis</v>
          </cell>
        </row>
        <row r="139">
          <cell r="A139" t="str">
            <v>1720201012 Agios em Partic Per Colig ou Control - Tecsis</v>
          </cell>
        </row>
        <row r="140">
          <cell r="A140" t="str">
            <v>1720201014 Vlr Justo Ativos em Part Per Col Cont Tecsis</v>
          </cell>
        </row>
        <row r="141">
          <cell r="A141" t="str">
            <v>1720201015 Realização Vlr Justo em Part Per Col Cont -Tecsis</v>
          </cell>
        </row>
        <row r="142">
          <cell r="A142" t="str">
            <v>1720201018 Ajust Aval Patrimonial em Part Per Col Cont Tecsis</v>
          </cell>
        </row>
        <row r="143">
          <cell r="A143" t="str">
            <v>IMOBILIZADO</v>
          </cell>
        </row>
        <row r="144">
          <cell r="A144" t="str">
            <v>CUSTO</v>
          </cell>
        </row>
        <row r="145">
          <cell r="A145" t="str">
            <v>Terrenos</v>
          </cell>
        </row>
        <row r="146">
          <cell r="A146" t="str">
            <v>1740101010 Imobilizado-Custo dos Terrenos</v>
          </cell>
        </row>
        <row r="147">
          <cell r="A147" t="str">
            <v>1740101011 Imobilizado-Mais Valia dos Terrenos</v>
          </cell>
        </row>
        <row r="148">
          <cell r="A148" t="str">
            <v>1740101012 Imobilizado-Mais Valia Comb Neg dos Terrenos</v>
          </cell>
        </row>
        <row r="149">
          <cell r="A149" t="str">
            <v>Edificações e construções</v>
          </cell>
        </row>
        <row r="150">
          <cell r="A150" t="str">
            <v>1740102010 Imobilizado-Custo dos Edificios</v>
          </cell>
        </row>
        <row r="151">
          <cell r="A151" t="str">
            <v>1740102011 Imobilizado-Mais Valia dos Edificios</v>
          </cell>
        </row>
        <row r="152">
          <cell r="A152" t="str">
            <v>1740102012 Imobilizado-Mais Valia Comb Negocios dos Edificios</v>
          </cell>
        </row>
        <row r="153">
          <cell r="A153" t="str">
            <v>1740102014 Imobilizado-Contrapartida do AVP de Edificios</v>
          </cell>
        </row>
        <row r="154">
          <cell r="A154" t="str">
            <v>1740102020 Imobilizado-Custo das Benfeitorias</v>
          </cell>
        </row>
        <row r="155">
          <cell r="A155" t="str">
            <v>1740102021 Imobilizado-Mais Valia Benfeitorias</v>
          </cell>
        </row>
        <row r="156">
          <cell r="A156" t="str">
            <v>1740102022 Imobilizado-Mais Valia Comb Neg Benfeitorias</v>
          </cell>
        </row>
        <row r="157">
          <cell r="A157" t="str">
            <v>1740102024 Imobilizado-Contrapartida do AVP de Beneficios</v>
          </cell>
        </row>
        <row r="158">
          <cell r="A158" t="str">
            <v>Equipamentos e Instalações</v>
          </cell>
        </row>
        <row r="159">
          <cell r="A159" t="str">
            <v>1740103010 Imobilizado-Custo de Equipamentos</v>
          </cell>
        </row>
        <row r="160">
          <cell r="A160" t="str">
            <v>1740103011 Imobilizado-Mais Valia Equipamentos</v>
          </cell>
        </row>
        <row r="161">
          <cell r="A161" t="str">
            <v>1740103012 Imobilizado-Mais Valia Comb Neg Equipamentos</v>
          </cell>
        </row>
        <row r="162">
          <cell r="A162" t="str">
            <v>1740103014 Imobilizado-AVP Equipamentos</v>
          </cell>
        </row>
        <row r="163">
          <cell r="A163" t="str">
            <v>1740103020 Imobilizado-Custo dos Sobressalentes</v>
          </cell>
        </row>
        <row r="164">
          <cell r="A164" t="str">
            <v>1740103021 Imobilizado-Mais Valia dos Sobressalentes</v>
          </cell>
        </row>
        <row r="165">
          <cell r="A165" t="str">
            <v>1740103022 Imobilizado-Custo dos Sobressalentes</v>
          </cell>
        </row>
        <row r="166">
          <cell r="A166" t="str">
            <v>1740105020 Imobilizado-Custo de Veiculos Fora de Estrada</v>
          </cell>
        </row>
        <row r="167">
          <cell r="A167" t="str">
            <v>Veículos</v>
          </cell>
        </row>
        <row r="168">
          <cell r="A168" t="str">
            <v>1740105010 Imob-Custo de Veiculos de Passageiros e Carga</v>
          </cell>
        </row>
        <row r="169">
          <cell r="A169" t="str">
            <v>1740105011 Imob-Mais Valia de Veiculos de Passageiros e Carga</v>
          </cell>
        </row>
        <row r="170">
          <cell r="A170" t="str">
            <v>1740105012 Imob-Mais Valia de Veiculos de Passageiros e Carga</v>
          </cell>
        </row>
        <row r="171">
          <cell r="A171" t="str">
            <v>1740105014 Imob-AVP de Veiculos de Passageiros e Carga</v>
          </cell>
        </row>
        <row r="172">
          <cell r="A172" t="str">
            <v>Móveis e utensílios</v>
          </cell>
        </row>
        <row r="173">
          <cell r="A173" t="str">
            <v>1740104010 Imob-Custo de Moveis, Utensilios e Inst Comerciais</v>
          </cell>
        </row>
        <row r="174">
          <cell r="A174" t="str">
            <v>1740104014 Imob-AVP de Moveis, Utensilios e Inst Comerciais</v>
          </cell>
        </row>
        <row r="175">
          <cell r="A175" t="str">
            <v>Demais bens</v>
          </cell>
        </row>
        <row r="176">
          <cell r="A176" t="str">
            <v>1740199010 Imobilizado-Custo de Material Auxiliar Permanente</v>
          </cell>
        </row>
        <row r="177">
          <cell r="A177" t="str">
            <v>1740199070 Imobilizado-Custo de Computadores e Perifericos</v>
          </cell>
        </row>
        <row r="178">
          <cell r="A178" t="str">
            <v>1740199074 Imobilizado- AVP de Computadores e Perifericos</v>
          </cell>
        </row>
        <row r="179">
          <cell r="A179" t="str">
            <v>imobilizado em andamento</v>
          </cell>
        </row>
        <row r="180">
          <cell r="A180" t="str">
            <v>1745001010 Imob Andament-Custo das Aquisiçoes p/Imob (Receb)</v>
          </cell>
        </row>
        <row r="181">
          <cell r="A181" t="str">
            <v>1745001014 Contrapartida dos Aj a Vr Presente de IeA</v>
          </cell>
        </row>
        <row r="182">
          <cell r="A182" t="str">
            <v>1745001020 Imob And-Cto das Aquisiç de Sobres de Imob (Receb)</v>
          </cell>
        </row>
        <row r="183">
          <cell r="A183" t="str">
            <v>1745002030 Imob And-Cto dos Adiants p/Aquis de Imobiliz (T)</v>
          </cell>
        </row>
        <row r="184">
          <cell r="A184" t="str">
            <v>1745099010 Imob And-Encar Fin s/ Aquis de Imob-Juros (Realiz)</v>
          </cell>
        </row>
        <row r="185">
          <cell r="A185" t="str">
            <v>1745099030 Imob And-Encar Fin s/ Aquis de Imob-Var Cam (R)</v>
          </cell>
        </row>
        <row r="186">
          <cell r="A186" t="str">
            <v>Tributos diferidos</v>
          </cell>
        </row>
        <row r="187">
          <cell r="A187" t="str">
            <v>1744901010 Trib Diferidos s/Mais Valia de Ativos Imob (Realiz</v>
          </cell>
        </row>
        <row r="188">
          <cell r="A188" t="str">
            <v>DEPRECIAÇÃO</v>
          </cell>
        </row>
        <row r="189">
          <cell r="A189" t="str">
            <v>Edificações e construções</v>
          </cell>
        </row>
        <row r="190">
          <cell r="A190" t="str">
            <v>1740502010 (-)Depreciaçao-Custo dos Edificios</v>
          </cell>
        </row>
        <row r="191">
          <cell r="A191" t="str">
            <v>1740502011 (-)Depreciaçao-Mais Valia Edificios</v>
          </cell>
        </row>
        <row r="192">
          <cell r="A192" t="str">
            <v>1740502012 (-)Depreciaçao-Mais Valia Combin Neg Edificios</v>
          </cell>
        </row>
        <row r="193">
          <cell r="A193" t="str">
            <v>1740502014 (-)Depr-Contrapartida do AVP de Edificios</v>
          </cell>
        </row>
        <row r="194">
          <cell r="A194" t="str">
            <v>1740502020 (-)Depreciaçao-Custo das Benfeitorias</v>
          </cell>
        </row>
        <row r="195">
          <cell r="A195" t="str">
            <v>1740502021 (-)Depreciaçao-Mais Valia Benfeitorias</v>
          </cell>
        </row>
        <row r="196">
          <cell r="A196" t="str">
            <v>1740502022 (-)Depreciaçao-Mais Valia Combin Neg Benfeitorias</v>
          </cell>
        </row>
        <row r="197">
          <cell r="A197" t="str">
            <v>1740502024 (-)Depr-Contrapartida do AVP de Benfeitorias</v>
          </cell>
        </row>
        <row r="198">
          <cell r="A198" t="str">
            <v>Equipamentos e Instalações</v>
          </cell>
        </row>
        <row r="199">
          <cell r="A199" t="str">
            <v>1740503010 (-)Depreciaçao-Custo de Equipamentos</v>
          </cell>
        </row>
        <row r="200">
          <cell r="A200" t="str">
            <v>1740503011 (-)Depreciaçao-Mais Valia Equipamentos</v>
          </cell>
        </row>
        <row r="201">
          <cell r="A201" t="str">
            <v>1740503012 (-)Depreciaçao-Mais Valia Combin Neg Equipamentos</v>
          </cell>
        </row>
        <row r="202">
          <cell r="A202" t="str">
            <v>1740503014 (-)Depr-Contrapartida do AVP de Equipamentos</v>
          </cell>
        </row>
        <row r="203">
          <cell r="A203" t="str">
            <v>1740503020 (-)Depreciaçao-Custo dos Sobressalentes</v>
          </cell>
        </row>
        <row r="204">
          <cell r="A204" t="str">
            <v>1740503021 (-)Depreciaçao-Mais Valia Sobressalentes</v>
          </cell>
        </row>
        <row r="205">
          <cell r="A205" t="str">
            <v>1740503022 (-)Depreciaçao-Mais Valia Combin Neg Sobressalente</v>
          </cell>
        </row>
        <row r="206">
          <cell r="A206" t="str">
            <v>1740505020 (-)Depreciaçao-Custo de Veiculos Fora da Estrada</v>
          </cell>
        </row>
        <row r="207">
          <cell r="A207" t="str">
            <v>Veículos</v>
          </cell>
        </row>
        <row r="208">
          <cell r="A208" t="str">
            <v>1740505010 (-)Depr-Custo de Veiculos de Passageiros e Carga</v>
          </cell>
        </row>
        <row r="209">
          <cell r="A209" t="str">
            <v>1740505011 (-)Depreciaçao-Mais Valia Veiculos</v>
          </cell>
        </row>
        <row r="210">
          <cell r="A210" t="str">
            <v>1740505012 (-)Depreciaçao-Mais Valia Combin Neg Veiculos</v>
          </cell>
        </row>
        <row r="211">
          <cell r="A211" t="str">
            <v>1740505014 (-)Depr-Contrapartida do AVP de Veículos</v>
          </cell>
        </row>
        <row r="212">
          <cell r="A212" t="str">
            <v>Móveis e utensílios</v>
          </cell>
        </row>
        <row r="213">
          <cell r="A213" t="str">
            <v>1740504010 (-)Depreciaçao-Custo dos Móveis, Utens e Inst Com</v>
          </cell>
        </row>
        <row r="214">
          <cell r="A214" t="str">
            <v>1740504014 (-)Depr-Contrapartida do AVP de Móveis, Utens</v>
          </cell>
        </row>
        <row r="215">
          <cell r="A215" t="str">
            <v>Demais bens</v>
          </cell>
        </row>
        <row r="216">
          <cell r="A216" t="str">
            <v>1740599070 (-)Depreciaçao-Custo de Computadores e Perifericos</v>
          </cell>
        </row>
        <row r="217">
          <cell r="A217" t="str">
            <v>1740599074 (-)Depr-Contrap do AVP dos Computad Perifericos</v>
          </cell>
        </row>
        <row r="218">
          <cell r="A218" t="str">
            <v>INTANGÍVEL</v>
          </cell>
        </row>
        <row r="219">
          <cell r="A219" t="str">
            <v>INTANGÍVEL EM OPERAÇÃO</v>
          </cell>
        </row>
        <row r="220">
          <cell r="A220" t="str">
            <v>Ágio - combinação de negócio em estágios</v>
          </cell>
        </row>
        <row r="221">
          <cell r="A221" t="str">
            <v>1750190012 Intangivel Op-Mais Valia C N Ativ n Alocados</v>
          </cell>
        </row>
        <row r="222">
          <cell r="A222" t="str">
            <v>Carteira de clientes</v>
          </cell>
        </row>
        <row r="223">
          <cell r="A223" t="str">
            <v>1750103011 Intangivel Op-Mais Valia de Carteira de Clientes</v>
          </cell>
        </row>
        <row r="224">
          <cell r="A224" t="str">
            <v>1750103012 Intangivel Op-Mais Valia de Carteira Clientes C N</v>
          </cell>
        </row>
        <row r="225">
          <cell r="A225" t="str">
            <v>1750603011 (-)Amort-Mais Valia Carteira de Clientes</v>
          </cell>
        </row>
        <row r="226">
          <cell r="A226" t="str">
            <v>1750603012 (-)Amort-Mais Valia C N Carteira de Clientes</v>
          </cell>
        </row>
        <row r="227">
          <cell r="A227" t="str">
            <v>Direito de uso de software e pesquisa e desen</v>
          </cell>
        </row>
        <row r="228">
          <cell r="A228" t="str">
            <v>1750101010 Intangivel Op-Custo das Marcas e Patentes</v>
          </cell>
        </row>
        <row r="229">
          <cell r="A229" t="str">
            <v>1750102010 Intangivel Op-Cto das Software ou Prog de Comput</v>
          </cell>
        </row>
        <row r="230">
          <cell r="A230" t="str">
            <v>1750102014 Intangivel Op-AV de Software ou Prog de Comput</v>
          </cell>
        </row>
        <row r="231">
          <cell r="A231" t="str">
            <v>1750602010 (-)Amort-Cto dos Software ou Programas de Comput</v>
          </cell>
        </row>
        <row r="232">
          <cell r="A232" t="str">
            <v>1750602014 (-)Amort-Contrapartida do AVP de Softwares</v>
          </cell>
        </row>
        <row r="233">
          <cell r="A233" t="str">
            <v>Ágio Goodwill</v>
          </cell>
        </row>
        <row r="234">
          <cell r="A234" t="str">
            <v>1750190011 Intangivel Op-Mais Valia Ativ n Alocados</v>
          </cell>
        </row>
        <row r="235">
          <cell r="A235" t="str">
            <v>Tributos diferidos s/ágio não alocado</v>
          </cell>
        </row>
        <row r="236">
          <cell r="A236" t="str">
            <v>1750190021 Intangivel Op-Tribs Dif S/Mais Valia de Ativos (R)</v>
          </cell>
        </row>
        <row r="237">
          <cell r="A237" t="str">
            <v>1754900010 Int const c/Trib Dif s/Mais Valia Ativos(Real)</v>
          </cell>
        </row>
        <row r="238">
          <cell r="A238" t="str">
            <v>PASSIVO E PATRIMÔNIO LÍQUIDO</v>
          </cell>
        </row>
        <row r="239">
          <cell r="A239" t="str">
            <v>CIRCULANTE</v>
          </cell>
        </row>
        <row r="240">
          <cell r="A240" t="str">
            <v>FORNECEDORES</v>
          </cell>
        </row>
        <row r="241">
          <cell r="A241" t="str">
            <v>Serviços</v>
          </cell>
        </row>
        <row r="242">
          <cell r="A242" t="str">
            <v>2110101010 Fornecedores Nacionais de Serviços (Realizado)</v>
          </cell>
        </row>
        <row r="243">
          <cell r="A243" t="str">
            <v>Matérias Primas</v>
          </cell>
        </row>
        <row r="244">
          <cell r="A244" t="str">
            <v>2110101020 Fornecedores Nacionais de MP (Realizado)</v>
          </cell>
        </row>
        <row r="245">
          <cell r="A245" t="str">
            <v>Fretes</v>
          </cell>
        </row>
        <row r="246">
          <cell r="A246" t="str">
            <v>2110101070 Fornecedores Nacionais de Fretes (Realizado)</v>
          </cell>
        </row>
        <row r="247">
          <cell r="A247" t="str">
            <v>Materiais de Consumo</v>
          </cell>
        </row>
        <row r="248">
          <cell r="A248" t="str">
            <v>2110101040 Fornecedores Nacionais de Mat de Cons(Realizado)</v>
          </cell>
        </row>
        <row r="249">
          <cell r="A249" t="str">
            <v>2110102040 Fornecedores do Ext de Mat de Cons (Realizado)</v>
          </cell>
        </row>
        <row r="250">
          <cell r="A250" t="str">
            <v>Demais tipos de fornecedores</v>
          </cell>
        </row>
        <row r="251">
          <cell r="A251" t="str">
            <v>2110101030 Fornecedores Nacionais de Energia (Realizado)</v>
          </cell>
        </row>
        <row r="252">
          <cell r="A252" t="str">
            <v>2110101050 Fornecedores Nacionais Funcionarios (Realizado)</v>
          </cell>
        </row>
        <row r="253">
          <cell r="A253" t="str">
            <v>2110101060 Fornecedores Nacionais Imps e Contrib (Realizado)</v>
          </cell>
        </row>
        <row r="254">
          <cell r="A254" t="str">
            <v>2110101990 Fornecedores Nacionais Outros (Realizado)</v>
          </cell>
        </row>
        <row r="255">
          <cell r="A255" t="str">
            <v>2110199011 Provisao de Entrada de Mercad e de Fatura (EM/EF)</v>
          </cell>
        </row>
        <row r="256">
          <cell r="A256" t="str">
            <v>EMPRÉSTIMOS</v>
          </cell>
        </row>
        <row r="257">
          <cell r="A257" t="str">
            <v>Moeda nacional</v>
          </cell>
        </row>
        <row r="258">
          <cell r="A258" t="str">
            <v>2110502010 Emprest e Financs em Moeda Nacional CP (Realizado)</v>
          </cell>
        </row>
        <row r="259">
          <cell r="A259" t="str">
            <v>2110502020 Juros s/Empr Fin em Moeda Nacional CP (Realizado)</v>
          </cell>
        </row>
        <row r="260">
          <cell r="A260" t="str">
            <v>2110502500 Custo de Emprest e Finan Amort em MN CP (Realiz)</v>
          </cell>
        </row>
        <row r="261">
          <cell r="A261" t="str">
            <v>Moeda estrangeira</v>
          </cell>
        </row>
        <row r="262">
          <cell r="A262" t="str">
            <v>2110502600 Emprestimos e Finan em Moeda Estrang CP (Realiz)</v>
          </cell>
        </row>
        <row r="263">
          <cell r="A263" t="str">
            <v>2110502610 Jur s/Emprest e Finan Moeda Estrang CP (Realizado)</v>
          </cell>
        </row>
        <row r="264">
          <cell r="A264" t="str">
            <v>SALÁRIOS E ENCARGOS SOCIAIS</v>
          </cell>
        </row>
        <row r="265">
          <cell r="A265" t="str">
            <v>Salários, Férias e Gratificações</v>
          </cell>
        </row>
        <row r="266">
          <cell r="A266" t="str">
            <v>2111001010 Salarios a Pagar (Realizado)</v>
          </cell>
        </row>
        <row r="267">
          <cell r="A267" t="str">
            <v>2111001050 Provisao de 13º Salario (Realizado)</v>
          </cell>
        </row>
        <row r="268">
          <cell r="A268" t="str">
            <v>2111001060 Provisao de Ferias (Realizado)</v>
          </cell>
        </row>
        <row r="269">
          <cell r="A269" t="str">
            <v>2111001080 Provisao de Gratificaçoes Ferias (Realizado)</v>
          </cell>
        </row>
        <row r="270">
          <cell r="A270" t="str">
            <v>2111001090 Provisao de Gratificaçoes Diretores Estatutários</v>
          </cell>
        </row>
        <row r="271">
          <cell r="A271" t="str">
            <v>2111001100 Provisão de Gratificações  - CLT</v>
          </cell>
        </row>
        <row r="272">
          <cell r="A272" t="str">
            <v>2111001900 Provisoes Partic nos Lucros de Funcion (Realizado)</v>
          </cell>
        </row>
        <row r="273">
          <cell r="A273" t="str">
            <v>INSS</v>
          </cell>
        </row>
        <row r="274">
          <cell r="A274" t="str">
            <v>2111005010 Contrib Prev a Recolher-INSS s/Folha (Realizado)</v>
          </cell>
        </row>
        <row r="275">
          <cell r="A275" t="str">
            <v>2111005020 Contrib Prev a Recolher-INSS s/Autonomos (Realiz)</v>
          </cell>
        </row>
        <row r="276">
          <cell r="A276" t="str">
            <v>2111005030 Contrib Prev a Recolher-INSS s/Cooperativas (Real)</v>
          </cell>
        </row>
        <row r="277">
          <cell r="A277" t="str">
            <v>2111005050 Prov de Contrib Prev-INSS sobre 13º Salario (R)</v>
          </cell>
        </row>
        <row r="278">
          <cell r="A278" t="str">
            <v>2111005060 Prov de Contrib Prev-INSS sobre Ferias (Realizado)</v>
          </cell>
        </row>
        <row r="279">
          <cell r="A279" t="str">
            <v>FGTS</v>
          </cell>
        </row>
        <row r="280">
          <cell r="A280" t="str">
            <v>2111006010 Contrib Prev a Recolher-FGTS s/Folha (Realizado)</v>
          </cell>
        </row>
        <row r="281">
          <cell r="A281" t="str">
            <v>2111006050 Prov Contrib Prev-FGTS s/ 13º Salario (Realizado)</v>
          </cell>
        </row>
        <row r="282">
          <cell r="A282" t="str">
            <v>2111006060 Prov Contrib Prev-FGTS sobre Ferias (Realizado)</v>
          </cell>
        </row>
        <row r="283">
          <cell r="A283" t="str">
            <v>IMPOSTOS DE RENDA E CONTRIBUIÇÃO SOCIAL</v>
          </cell>
        </row>
        <row r="284">
          <cell r="A284" t="str">
            <v>IRPJ e CSLL</v>
          </cell>
        </row>
        <row r="285">
          <cell r="A285" t="str">
            <v>1111001010 Antecipaçoes de CSLL (Realizado)</v>
          </cell>
        </row>
        <row r="286">
          <cell r="A286" t="str">
            <v>1111001020 Antecipaçoes de IRPJ (Realizado)</v>
          </cell>
        </row>
        <row r="287">
          <cell r="A287" t="str">
            <v>1111506020 IRRF sobre Aplicaçoes Financeiras (Realizado)</v>
          </cell>
        </row>
        <row r="288">
          <cell r="A288" t="str">
            <v>1111506030 IRRF sobre Depositos Judiciais (Realizado)</v>
          </cell>
        </row>
        <row r="289">
          <cell r="A289" t="str">
            <v>2112001010 Prov p/ CSLL s/Resultado Operacional (Realizado)</v>
          </cell>
        </row>
        <row r="290">
          <cell r="A290" t="str">
            <v>2112001014 Prov p/ CSLL s/Alíquota Efetiva</v>
          </cell>
        </row>
        <row r="291">
          <cell r="A291" t="str">
            <v>2112001020 Provisao p/ CSLL Diferida (Realizado)</v>
          </cell>
        </row>
        <row r="292">
          <cell r="A292" t="str">
            <v>2112001030 Provisao p/ CSLL Diferida s/Depreciaçao Fiscal (R)</v>
          </cell>
        </row>
        <row r="293">
          <cell r="A293" t="str">
            <v>2112001040 Contribuição Social s/Compensação Base Negativa (R</v>
          </cell>
        </row>
        <row r="294">
          <cell r="A294" t="str">
            <v>2112002010 Prov p/  IR s/Resultando Operacional (Realizado)</v>
          </cell>
        </row>
        <row r="295">
          <cell r="A295" t="str">
            <v>2112002014 Prov p/  IR s/Alíquota Efetiva</v>
          </cell>
        </row>
        <row r="296">
          <cell r="A296" t="str">
            <v>2112002020 Provisao para IR Diferida (Realizado)</v>
          </cell>
        </row>
        <row r="297">
          <cell r="A297" t="str">
            <v>2112002030 Provisao p/ IR Diferida s/Depreciaçao Fiscal (R)</v>
          </cell>
        </row>
        <row r="298">
          <cell r="A298" t="str">
            <v>2112002040 Imposto de Renda s/ Compensação Prejuízo Fiscal (R</v>
          </cell>
        </row>
        <row r="299">
          <cell r="A299" t="str">
            <v>OUTROS IMPOSTOS E CONTRIBUIÇÕES A PAGAR</v>
          </cell>
        </row>
        <row r="300">
          <cell r="A300" t="str">
            <v>ICMS a recolher</v>
          </cell>
        </row>
        <row r="301">
          <cell r="A301" t="str">
            <v>2113005300 ICMS a Recolher (Realizado)</v>
          </cell>
        </row>
        <row r="302">
          <cell r="A302" t="str">
            <v>PIS a recolher</v>
          </cell>
        </row>
        <row r="303">
          <cell r="A303" t="str">
            <v>2113005010 PIS a Recolher (Realizado)</v>
          </cell>
        </row>
        <row r="304">
          <cell r="A304" t="str">
            <v>Cofins a recolher</v>
          </cell>
        </row>
        <row r="305">
          <cell r="A305" t="str">
            <v>2113005020 COFINS a Recolher (Realizado)</v>
          </cell>
        </row>
        <row r="306">
          <cell r="A306" t="str">
            <v>Obrigações tributárias s/ servs.de terceiros</v>
          </cell>
        </row>
        <row r="307">
          <cell r="A307" t="str">
            <v>2113001010 IR de Funcionarios (Realizado)</v>
          </cell>
        </row>
        <row r="308">
          <cell r="A308" t="str">
            <v>2113001200 Imposto Sindical de Funcionarios (Realizado)</v>
          </cell>
        </row>
        <row r="309">
          <cell r="A309" t="str">
            <v>2113001300 Imposto de Renda s/Servs de Terceiros (Realizado)</v>
          </cell>
        </row>
        <row r="310">
          <cell r="A310" t="str">
            <v>2113001310 INSS s/Serviços de Terceiros PF</v>
          </cell>
        </row>
        <row r="311">
          <cell r="A311" t="str">
            <v>2113001320 INSS s/Serviços de Terceiros PJ</v>
          </cell>
        </row>
        <row r="312">
          <cell r="A312" t="str">
            <v>2113001350 CSLL s/Serviços de Terceiros (Realizado)</v>
          </cell>
        </row>
        <row r="313">
          <cell r="A313" t="str">
            <v>2113001360 PIS s/Serviços de Terceiros (Realizado)</v>
          </cell>
        </row>
        <row r="314">
          <cell r="A314" t="str">
            <v>2113001370 COFINS s/Serviços de Terceiros (Realizado)</v>
          </cell>
        </row>
        <row r="315">
          <cell r="A315" t="str">
            <v>2113001400 ISS s/Serviços de Terceiros (Realizado)</v>
          </cell>
        </row>
        <row r="316">
          <cell r="A316" t="str">
            <v>DIVIDENDOS E JUROS S/ CAPITAL PROPRIO A PAGAR</v>
          </cell>
        </row>
        <row r="317">
          <cell r="A317" t="str">
            <v>Dividendos a pagar</v>
          </cell>
        </row>
        <row r="318">
          <cell r="A318" t="str">
            <v>2114001010 Dividendos a Pagar (Realizado)</v>
          </cell>
        </row>
        <row r="319">
          <cell r="A319" t="str">
            <v>Dividendos propostos</v>
          </cell>
        </row>
        <row r="320">
          <cell r="A320" t="str">
            <v>2114001020 Dividendos Propostos (Realizado)</v>
          </cell>
        </row>
        <row r="321">
          <cell r="A321" t="str">
            <v>DEMANDAS JUDICIAIS</v>
          </cell>
        </row>
        <row r="322">
          <cell r="A322" t="str">
            <v>Fiscais</v>
          </cell>
        </row>
        <row r="323">
          <cell r="A323" t="str">
            <v>2119001010 Prov Nat Trib s/Dep Gar CP-Imp,Taxas Contr Fed (R)</v>
          </cell>
        </row>
        <row r="324">
          <cell r="A324" t="str">
            <v>ENERGIA ELÉTRICA</v>
          </cell>
        </row>
        <row r="325">
          <cell r="A325" t="str">
            <v>Energia elétrica provisionada</v>
          </cell>
        </row>
        <row r="326">
          <cell r="A326" t="str">
            <v>2118005010 Fornec e nao Faturado-Energia Eletrica (Realizado)</v>
          </cell>
        </row>
        <row r="327">
          <cell r="A327" t="str">
            <v>OUTROS PASSIVOS CIRCULANTES</v>
          </cell>
        </row>
        <row r="328">
          <cell r="A328" t="str">
            <v>Serviços Técnicos profissionais</v>
          </cell>
        </row>
        <row r="329">
          <cell r="A329" t="str">
            <v>2119003020 Prov Nat Op Desp c/ Servs Tecn e Prof CP (Realiz)</v>
          </cell>
        </row>
        <row r="330">
          <cell r="A330" t="str">
            <v>Fretes sobre vendas</v>
          </cell>
        </row>
        <row r="331">
          <cell r="A331" t="str">
            <v>2119003010 Prov Nat Op Desp c/ Fretes s/Vendas CP (Realizado)</v>
          </cell>
        </row>
        <row r="332">
          <cell r="A332" t="str">
            <v>Desembaraço alfandegário</v>
          </cell>
        </row>
        <row r="333">
          <cell r="A333" t="str">
            <v>2118005040 Fornec e nao Faturado-Materiais de Cons (Realiz)</v>
          </cell>
        </row>
        <row r="334">
          <cell r="A334" t="str">
            <v>Obrigações de natureza fiscais</v>
          </cell>
        </row>
        <row r="335">
          <cell r="A335" t="str">
            <v>2119001030 Prov Nat Trib s/Dep Gar CP-Imp,Taxas Cont Mun (R)</v>
          </cell>
        </row>
        <row r="336">
          <cell r="A336" t="str">
            <v>Trabalhistas e previdênciárias</v>
          </cell>
        </row>
        <row r="337">
          <cell r="A337" t="str">
            <v>2119002020 Prov Ind Trab p/Desligamen Compulsório CP (Realiz)</v>
          </cell>
        </row>
        <row r="338">
          <cell r="A338" t="str">
            <v>2119002030 Prov Nat Trab s/Dep Gar CP-Previdenciaria (Realiz)</v>
          </cell>
        </row>
        <row r="339">
          <cell r="A339" t="str">
            <v>Outras obrigações e compromissos</v>
          </cell>
        </row>
        <row r="340">
          <cell r="A340" t="str">
            <v>2118005020 Fornec e nao Faturado-Agua (Realizado)</v>
          </cell>
        </row>
        <row r="341">
          <cell r="A341" t="str">
            <v>2118005090 Fornec e nao Faturado-Servs Prestados (Realizado)</v>
          </cell>
        </row>
        <row r="342">
          <cell r="A342" t="str">
            <v>2118010010 Retençoes s/Contratos de Compras (Realizado)</v>
          </cell>
        </row>
        <row r="343">
          <cell r="A343" t="str">
            <v>2118050010 Adiantamentos de Clientes (Realizado)</v>
          </cell>
        </row>
        <row r="344">
          <cell r="A344" t="str">
            <v>2119003030 Prov Nat Op Desp c/Servs de Auditoria CP (Realiz)</v>
          </cell>
        </row>
        <row r="345">
          <cell r="A345" t="str">
            <v>2119003040 Prov Nat Op Desp c/Seguros Gerais CP (Realizado)</v>
          </cell>
        </row>
        <row r="346">
          <cell r="A346" t="str">
            <v>2119003990 Prov Nat Op Outras Desp Provisionadas CP (Realiz)</v>
          </cell>
        </row>
        <row r="347">
          <cell r="A347" t="str">
            <v>NÃO CIRCULANTE</v>
          </cell>
        </row>
        <row r="348">
          <cell r="A348" t="str">
            <v>EMPRÉSTIMOS</v>
          </cell>
        </row>
        <row r="349">
          <cell r="A349" t="str">
            <v>Moeda nacional</v>
          </cell>
        </row>
        <row r="350">
          <cell r="A350" t="str">
            <v>2310502010 Emprest Finan Bancarios Moeda Nacional LP (R)</v>
          </cell>
        </row>
        <row r="351">
          <cell r="A351" t="str">
            <v>Moeda estrangeira</v>
          </cell>
        </row>
        <row r="352">
          <cell r="A352" t="str">
            <v>2310502600 Empr Financiamentos Moeda Estrangeira LP (Realiz)</v>
          </cell>
        </row>
        <row r="353">
          <cell r="A353" t="str">
            <v>IR E CONTRIBUIÇÃO SOCIAL DIFERIDOS</v>
          </cell>
        </row>
        <row r="354">
          <cell r="A354" t="str">
            <v>Ativo de imposto diferido</v>
          </cell>
        </row>
        <row r="355">
          <cell r="A355" t="str">
            <v>1711505000 Cred Fisc CSLL-Bas de Cal Negativa LP (Real)</v>
          </cell>
        </row>
        <row r="356">
          <cell r="A356" t="str">
            <v>1711505010 Cred Fisc CSLL-Dif Temp e Bas de Cal Negtiv (Real)</v>
          </cell>
        </row>
        <row r="357">
          <cell r="A357" t="str">
            <v>1711506000 Cred Fisc IRPJL-Prejuizo Fiscal LP (Real)</v>
          </cell>
        </row>
        <row r="358">
          <cell r="A358" t="str">
            <v>1711506010 Cred Fisc IRPJ-Dif Temp e Prej Fiscais (Realizado)</v>
          </cell>
        </row>
        <row r="359">
          <cell r="A359" t="str">
            <v>Passivo de imposto diferido</v>
          </cell>
        </row>
        <row r="360">
          <cell r="A360" t="str">
            <v>2312001030 Prov p/CSLL Diferida s/Depr Fiscal LP (Realiz)</v>
          </cell>
        </row>
        <row r="361">
          <cell r="A361" t="str">
            <v>2312001040 Prov p/CSLL Diferida s/Dif Temp (Realiz)</v>
          </cell>
        </row>
        <row r="362">
          <cell r="A362" t="str">
            <v>2312002030 Prov p/IR Diferida s/Depr Fiscal LP (Realiz)</v>
          </cell>
        </row>
        <row r="363">
          <cell r="A363" t="str">
            <v>2312002040 Prov p/IR Diferida s/Dif Temp (Realiz)</v>
          </cell>
        </row>
        <row r="364">
          <cell r="A364" t="str">
            <v>OBRIGAÇÕES COM BENEFICIOS AOS EMPREGADOS</v>
          </cell>
        </row>
        <row r="365">
          <cell r="A365" t="str">
            <v>Provisão para previdência privada</v>
          </cell>
        </row>
        <row r="366">
          <cell r="A366" t="str">
            <v>2318001010 Previdencia Privada-CVM 371 LP (Realizado)</v>
          </cell>
        </row>
        <row r="367">
          <cell r="A367" t="str">
            <v>Provisão para assistência médica</v>
          </cell>
        </row>
        <row r="368">
          <cell r="A368" t="str">
            <v>2319002150 Prov Nat Trab Assist Medica Aposent LP (Realizado)</v>
          </cell>
        </row>
        <row r="369">
          <cell r="A369" t="str">
            <v>Provisão para aposentadoria compulsória</v>
          </cell>
        </row>
        <row r="370">
          <cell r="A370" t="str">
            <v>2319002100 Prov Nat Trab FGTS Aviso Prev s/Aposen Comp LP (R)</v>
          </cell>
        </row>
        <row r="371">
          <cell r="A371" t="str">
            <v>Provisão para gratificação tempo de casa</v>
          </cell>
        </row>
        <row r="372">
          <cell r="A372" t="str">
            <v>2319002200 Prov Nat Trab Gratif Tempo Serv LP-Quinq (Realiz)</v>
          </cell>
        </row>
        <row r="373">
          <cell r="A373" t="str">
            <v>DEMANDAS JUDICIAIS</v>
          </cell>
        </row>
        <row r="374">
          <cell r="A374" t="str">
            <v>Fiscais</v>
          </cell>
        </row>
        <row r="375">
          <cell r="A375" t="str">
            <v>2319001010 Prov Nat Trib s/Dep Gar LP-Imp,Taxs Cont Fed (R)</v>
          </cell>
        </row>
        <row r="376">
          <cell r="A376" t="str">
            <v>2319101010 Prov Nat Trib c/Dep Gar LP-Imp,Taxas Cont Fed (R)</v>
          </cell>
        </row>
        <row r="377">
          <cell r="A377" t="str">
            <v>2319101030 Prov Nat Trib c/Dep em Gar LP-Imps Taxs Ctrb M (R)</v>
          </cell>
        </row>
        <row r="378">
          <cell r="A378" t="str">
            <v>Trabalhistas</v>
          </cell>
        </row>
        <row r="379">
          <cell r="A379" t="str">
            <v>2319002010 Prov Nat Trab s/Dep em Gar LP-Recl Trabalh (Real)</v>
          </cell>
        </row>
        <row r="380">
          <cell r="A380" t="str">
            <v>2319102030 Prov Nat Trab c/Dep em Gar LP - Previd (Realizado)</v>
          </cell>
        </row>
        <row r="381">
          <cell r="A381" t="str">
            <v>Cíveis</v>
          </cell>
        </row>
        <row r="382">
          <cell r="A382" t="str">
            <v>2319000010 Prov Nat Cível s/Dep Gar LP (R)</v>
          </cell>
        </row>
        <row r="383">
          <cell r="A383" t="str">
            <v>Depósitos judiciais</v>
          </cell>
        </row>
        <row r="384">
          <cell r="A384" t="str">
            <v>1719101010 Dep Jud c/ Reserv-Imp,Taxas e Contrib Fed (Realiz)</v>
          </cell>
        </row>
        <row r="385">
          <cell r="A385" t="str">
            <v>1719101030 Dep Jud c/Res-Imp, Taxas e Contrib Munic (Realiz)</v>
          </cell>
        </row>
        <row r="386">
          <cell r="A386" t="str">
            <v>1719102030 Dep Judiciais c/Res -Previdenciarios (Realizado)</v>
          </cell>
        </row>
        <row r="387">
          <cell r="A387" t="str">
            <v>PATRIMÔNIO LÍQUIDO</v>
          </cell>
        </row>
        <row r="388">
          <cell r="A388" t="str">
            <v>CAPITAL SOCIAL</v>
          </cell>
        </row>
        <row r="389">
          <cell r="A389" t="str">
            <v>Capital Subscrito</v>
          </cell>
        </row>
        <row r="390">
          <cell r="A390" t="str">
            <v>2710101010 Capital  Subs Domic e Resids no Pais (Realizado)</v>
          </cell>
        </row>
        <row r="391">
          <cell r="A391" t="str">
            <v>AÇÕES EM TESOURARIA</v>
          </cell>
        </row>
        <row r="392">
          <cell r="A392" t="str">
            <v>Preferenciais</v>
          </cell>
        </row>
        <row r="393">
          <cell r="A393" t="str">
            <v>2760101010 Acoes Preferenciais em Tesouraria</v>
          </cell>
        </row>
        <row r="394">
          <cell r="A394" t="str">
            <v>Ordinárias</v>
          </cell>
        </row>
        <row r="395">
          <cell r="A395" t="str">
            <v>2760101020 Acoes Ordinarias em Tesouraria</v>
          </cell>
        </row>
        <row r="396">
          <cell r="A396" t="str">
            <v>RESERVA DE CAPITAL</v>
          </cell>
        </row>
        <row r="397">
          <cell r="A397" t="str">
            <v>Reserva de capital</v>
          </cell>
        </row>
        <row r="398">
          <cell r="A398" t="str">
            <v>2740101010 Reservas de Capital (Realizado)</v>
          </cell>
        </row>
        <row r="399">
          <cell r="A399" t="str">
            <v>RESERVAS DE LUCROS</v>
          </cell>
        </row>
        <row r="400">
          <cell r="A400" t="str">
            <v>Reserva legal</v>
          </cell>
        </row>
        <row r="401">
          <cell r="A401" t="str">
            <v>2740201010 Reserva Legal (Realizado)</v>
          </cell>
        </row>
        <row r="402">
          <cell r="A402" t="str">
            <v>Reserva especial para dividendos</v>
          </cell>
        </row>
        <row r="403">
          <cell r="A403" t="str">
            <v>2740203010 Reserva Especial p/Dividendos (Realizado)</v>
          </cell>
        </row>
        <row r="404">
          <cell r="A404" t="str">
            <v>Reserva de retenção de lucros</v>
          </cell>
        </row>
        <row r="405">
          <cell r="A405" t="str">
            <v>2740202000 Reserva Est-Ret de Lucros An Anteriores (Realiz)</v>
          </cell>
        </row>
        <row r="406">
          <cell r="A406" t="str">
            <v>2740202100 Reserva Est-Ret de Lucros Exer de 2.014 (Realiz)</v>
          </cell>
        </row>
        <row r="407">
          <cell r="A407" t="str">
            <v>Reserva de lucros a realizar</v>
          </cell>
        </row>
        <row r="408">
          <cell r="A408" t="str">
            <v>2740204010 Reserva de Lucros a Realizar (Realizado)</v>
          </cell>
        </row>
        <row r="409">
          <cell r="A409" t="str">
            <v>OUTROS RESULTADOS ABRANGENTES DO PERIODO</v>
          </cell>
        </row>
        <row r="410">
          <cell r="A410" t="str">
            <v>Ajuste às normas internacionais de contab.</v>
          </cell>
        </row>
        <row r="411">
          <cell r="A411" t="str">
            <v>2750101010 Ajs as Normas Internac de Contab (Realizado)</v>
          </cell>
        </row>
        <row r="412">
          <cell r="A412" t="str">
            <v>2750102010 (-)Ajs as Normas Internac de Contab (Realizado)</v>
          </cell>
        </row>
        <row r="413">
          <cell r="A413" t="str">
            <v>LUCROS ACUMULADOS</v>
          </cell>
        </row>
        <row r="414">
          <cell r="A414" t="str">
            <v>Resultado líquido do periodo</v>
          </cell>
        </row>
        <row r="415">
          <cell r="A415" t="str">
            <v>Resultado antes dos tributos sobre o lucro</v>
          </cell>
        </row>
        <row r="416">
          <cell r="A416" t="str">
            <v>Resultado antes do resultado financeiro</v>
          </cell>
        </row>
        <row r="417">
          <cell r="A417" t="str">
            <v>Lucro bruto</v>
          </cell>
        </row>
        <row r="418">
          <cell r="A418" t="str">
            <v>Receita líquida de vendas</v>
          </cell>
        </row>
        <row r="419">
          <cell r="A419" t="str">
            <v>Receita bruta de vendas</v>
          </cell>
        </row>
        <row r="420">
          <cell r="A420" t="str">
            <v>Mercado interno</v>
          </cell>
        </row>
        <row r="421">
          <cell r="A421" t="str">
            <v>3110101030 Rec Brt-Vendas de Produtos no MI (Realizado)</v>
          </cell>
        </row>
        <row r="422">
          <cell r="A422" t="str">
            <v>3110105030 Rec Brt-Rev de Mercs Nacionais no MI (Realizado)</v>
          </cell>
        </row>
        <row r="423">
          <cell r="A423" t="str">
            <v>3110106030 Rec Brt-Rev de Mercs Importadas MI ( Realizado)</v>
          </cell>
        </row>
        <row r="424">
          <cell r="A424" t="str">
            <v>3110108030 Rec Brt-Rev de Mercs Diversas no MI (Realizado)</v>
          </cell>
        </row>
        <row r="425">
          <cell r="A425" t="str">
            <v>3110301030 (-)Vendas Canc e Dev de Prod no MI (Realizado)</v>
          </cell>
        </row>
        <row r="426">
          <cell r="A426" t="str">
            <v>3110305030 (-)Rev Canc e Dev de Merc Nac no MI (Realizado)</v>
          </cell>
        </row>
        <row r="427">
          <cell r="A427" t="str">
            <v>Mercado externo</v>
          </cell>
        </row>
        <row r="428">
          <cell r="A428" t="str">
            <v>3110101010 Rec Brt-Export Direta de Produtos FP (Realizado)</v>
          </cell>
        </row>
        <row r="429">
          <cell r="A429" t="str">
            <v>3110305010 (-)Rev Canc e Dev de Merc Nac no ME (Realizado)</v>
          </cell>
        </row>
        <row r="430">
          <cell r="A430" t="str">
            <v>Impostos incidentes s/ vendas e abatimentos</v>
          </cell>
        </row>
        <row r="431">
          <cell r="A431" t="str">
            <v>3110401010 (-)Desc Incond s/Vendas de Prod FP no ME (Realiz)</v>
          </cell>
        </row>
        <row r="432">
          <cell r="A432" t="str">
            <v>3110401030 (-)Desc Incond s/Vend de Prod FP no MI (Realizado)</v>
          </cell>
        </row>
        <row r="433">
          <cell r="A433" t="str">
            <v>3110405030 (-)Desc Incond s/Rev Merc Nacional no MI (Realiz)</v>
          </cell>
        </row>
        <row r="434">
          <cell r="A434" t="str">
            <v>3110408030 (-)Desc Incond s/Rev Merc Diversas no MI (Realiz)</v>
          </cell>
        </row>
        <row r="435">
          <cell r="A435" t="str">
            <v>3110501030 (-)ICMS s/Vendas de Produtos FP no MI (Realiz)</v>
          </cell>
        </row>
        <row r="436">
          <cell r="A436" t="str">
            <v>3110505030 (-)ICMS s/Rev de Mercs Nacionais no MI (Realiz)</v>
          </cell>
        </row>
        <row r="437">
          <cell r="A437" t="str">
            <v>3110506030 (-)ICMS s/Rev de Merc Imports no MI (Realiz)</v>
          </cell>
        </row>
        <row r="438">
          <cell r="A438" t="str">
            <v>3110508030 (-)ICMS s/Rev Mercadorias Divs no MI (Realizado)</v>
          </cell>
        </row>
        <row r="439">
          <cell r="A439" t="str">
            <v>3110590900 (-)ICMS s/Remessas Mercadorias Div no MI (Realiz)</v>
          </cell>
        </row>
        <row r="440">
          <cell r="A440" t="str">
            <v>3110601030 (-)Cofins s/Venda Produtos FP no MI (R)</v>
          </cell>
        </row>
        <row r="441">
          <cell r="A441" t="str">
            <v>3110605030 (-)Cofins s/Revenda Merc Nacionais no MI (Realiz)</v>
          </cell>
        </row>
        <row r="442">
          <cell r="A442" t="str">
            <v>3110606030 (-)Cofins s/Revenda Merc Importadas no MI (Realiz)</v>
          </cell>
        </row>
        <row r="443">
          <cell r="A443" t="str">
            <v>3110608030 (-)Cofins s/Revenda Mercad Divs no MI (Realiz)</v>
          </cell>
        </row>
        <row r="444">
          <cell r="A444" t="str">
            <v>3110701030 (-)PIS/Pasep s/Vendas Produtos FP no MI (Realiz)</v>
          </cell>
        </row>
        <row r="445">
          <cell r="A445" t="str">
            <v>3110705030 (-)PIS/Pasep s/Rev Merc Nacionais no MI (Realiz)</v>
          </cell>
        </row>
        <row r="446">
          <cell r="A446" t="str">
            <v>3110706030 (-)PIS/Pasep s/Rev Merc Importadas no MI (Realiz)</v>
          </cell>
        </row>
        <row r="447">
          <cell r="A447" t="str">
            <v>3110708030 (-)PIS/Pasep s/Revenda Merc Divs no MI (Realiz)</v>
          </cell>
        </row>
        <row r="448">
          <cell r="A448" t="str">
            <v>Custo dos bens e serviços vendidos</v>
          </cell>
        </row>
        <row r="449">
          <cell r="A449" t="str">
            <v>Variações nos estoques de Materiais</v>
          </cell>
        </row>
        <row r="450">
          <cell r="A450" t="str">
            <v>3130101010 Custo de Exportaçao Direta de Produtos (Realiz)</v>
          </cell>
        </row>
        <row r="451">
          <cell r="A451" t="str">
            <v>3130101012 Rev Prov p/ Desv de Exportaçao Direta de Produtos</v>
          </cell>
        </row>
        <row r="452">
          <cell r="A452" t="str">
            <v>3130101015 Prov p/Desv de Exportaçao Direta de Produtos</v>
          </cell>
        </row>
        <row r="453">
          <cell r="A453" t="str">
            <v>3130101030 Custo das Vendas de Produtos MI (Realizado)</v>
          </cell>
        </row>
        <row r="454">
          <cell r="A454" t="str">
            <v>3130101031 Custo Vendas de Produtos MI - AJ</v>
          </cell>
        </row>
        <row r="455">
          <cell r="A455" t="str">
            <v>3130101039 Custo das Vendas de Produtos MI Serv (Realizado)</v>
          </cell>
        </row>
        <row r="456">
          <cell r="A456" t="str">
            <v>3130105030 Custo das Revendas de Mercadorias no MI (Realiz)</v>
          </cell>
        </row>
        <row r="457">
          <cell r="A457" t="str">
            <v>3130105031 Custo Revendas de Produtos MI - AJ</v>
          </cell>
        </row>
        <row r="458">
          <cell r="A458" t="str">
            <v>3130106030 Custo da Revenda de Merc Importadas no MI (Realiz)</v>
          </cell>
        </row>
        <row r="459">
          <cell r="A459" t="str">
            <v>3130130030 Custo das Vendas de Serviços no MI (Realizado)</v>
          </cell>
        </row>
        <row r="460">
          <cell r="A460" t="str">
            <v>5110101010 Estoq Consumido Prod-Materia Prima SAL (Realizado)</v>
          </cell>
        </row>
        <row r="461">
          <cell r="A461" t="str">
            <v>5110101011 Estoq Consumido Prod-Materia Prima SAL (Aj Real)</v>
          </cell>
        </row>
        <row r="462">
          <cell r="A462" t="str">
            <v>5110101020 Estoq Consumido Prod-MP-Etileno (Realizado)</v>
          </cell>
        </row>
        <row r="463">
          <cell r="A463" t="str">
            <v>5110101021 Estoq Consumido Prod-MP-Etileno (Aj Real)</v>
          </cell>
        </row>
        <row r="464">
          <cell r="A464" t="str">
            <v>5110101300 Estoq Consumido Prod-Mat Aux Gas Natural (Realiz)</v>
          </cell>
        </row>
        <row r="465">
          <cell r="A465" t="str">
            <v>5110101301 Estoq Consumido Prod-Mat Aux Gas Natural (Aj Real)</v>
          </cell>
        </row>
        <row r="466">
          <cell r="A466" t="str">
            <v>5110101310 Estoq Consumido Prod-M Aux Vapor Petroc (Realiz)</v>
          </cell>
        </row>
        <row r="467">
          <cell r="A467" t="str">
            <v>5110101311 Estoq Consumido Prod-M Aux Vapor Petroc (Aj Real)</v>
          </cell>
        </row>
        <row r="468">
          <cell r="A468" t="str">
            <v>5110101490 Estoq Consumido Prod-M Aux Demais (Realizado)</v>
          </cell>
        </row>
        <row r="469">
          <cell r="A469" t="str">
            <v>5110101491 Estoq Consumido Prod-M Aux Demais (Aj Real)</v>
          </cell>
        </row>
        <row r="470">
          <cell r="A470" t="str">
            <v>5110101500 Estoq Consumido Prod-Embalagens (Realizado)</v>
          </cell>
        </row>
        <row r="471">
          <cell r="A471" t="str">
            <v>5110101501 Estoq Consumido Prod-Embalagens (Aj Real)</v>
          </cell>
        </row>
        <row r="472">
          <cell r="A472" t="str">
            <v>5110102010 Cons.Insumo-Revestimentos de Anodos (Realizado)</v>
          </cell>
        </row>
        <row r="473">
          <cell r="A473" t="str">
            <v>5110503100 Aj Preço-Var Preço Dif Cambio Ent Mat-Rev Imp(KDM)</v>
          </cell>
        </row>
        <row r="474">
          <cell r="A474" t="str">
            <v>5110504070 Aj Preço-Var Preço Dif C Mud Nivel-Semi Acab (KDV)</v>
          </cell>
        </row>
        <row r="475">
          <cell r="A475" t="str">
            <v>5110505010 Aj Preço-Dif Preço Nivel Único-Sal (PRD)</v>
          </cell>
        </row>
        <row r="476">
          <cell r="A476" t="str">
            <v>5110505020 Aj Preço-Dif Preço Nivel Único-Etileno (PRD)</v>
          </cell>
        </row>
        <row r="477">
          <cell r="A477" t="str">
            <v>5110505030 Aj Preço-Dif Preço Nivel Único-Gás Natural (PRD)</v>
          </cell>
        </row>
        <row r="478">
          <cell r="A478" t="str">
            <v>5110505040 Aj Preço-Dif Preço Nivel Único-Vapor (PRD)</v>
          </cell>
        </row>
        <row r="479">
          <cell r="A479" t="str">
            <v>5110505050 Aj Preço-Dif Preço Nivel Único-Mat Auxiliares(PRD)</v>
          </cell>
        </row>
        <row r="480">
          <cell r="A480" t="str">
            <v>5110505060 Aj Preço-Dif Preço Nivel Único-Embalagens (PRD)</v>
          </cell>
        </row>
        <row r="481">
          <cell r="A481" t="str">
            <v>5110505070 Aj Preço-Dif Preço Nivel Único-Semi Acabados (PRD)</v>
          </cell>
        </row>
        <row r="482">
          <cell r="A482" t="str">
            <v>5110505080 Aj Preço-Dif Preço Nivel Único-Acabados (PRD)</v>
          </cell>
        </row>
        <row r="483">
          <cell r="A483" t="str">
            <v>5110505090 Aj Preço-Dif Preço Nivel Único-Revenda (PRD)</v>
          </cell>
        </row>
        <row r="484">
          <cell r="A484" t="str">
            <v>5110505100 Aj Preço-Dif Preço Nivel Único-Revenda Imp (PRD)</v>
          </cell>
        </row>
        <row r="485">
          <cell r="A485" t="str">
            <v>5110506070 Aj Preço-Dif Preço Multinivel-Semi Acabado (PRV)</v>
          </cell>
        </row>
        <row r="486">
          <cell r="A486" t="str">
            <v>5110507010 Aj Preço-Dif Preço Fechamento ML-Sal (PRY)</v>
          </cell>
        </row>
        <row r="487">
          <cell r="A487" t="str">
            <v>5110507020 Aj Preço-Dif Preço Fechamento ML-Etileno (PRY)</v>
          </cell>
        </row>
        <row r="488">
          <cell r="A488" t="str">
            <v>5110507030 Aj Preço-Dif Preço Fechamento ML-Gas Natural (PRY)</v>
          </cell>
        </row>
        <row r="489">
          <cell r="A489" t="str">
            <v>5110507040 Aj Preço-Dif Preço Fechamento ML-Vapor (PRY)</v>
          </cell>
        </row>
        <row r="490">
          <cell r="A490" t="str">
            <v>5110507050 Aj Preço-Dif Preço Fechamento ML-Mat Auxiliar(PRY)</v>
          </cell>
        </row>
        <row r="491">
          <cell r="A491" t="str">
            <v>5110507060 Aj Preço-Dif Preço Fechamento ML-Embalagens (PRY)</v>
          </cell>
        </row>
        <row r="492">
          <cell r="A492" t="str">
            <v>5110507070 Aj Preço-Dif Preço Fechamento ML-Semi Acabad (PRY)</v>
          </cell>
        </row>
        <row r="493">
          <cell r="A493" t="str">
            <v>5110507080 Aj Preço-Dif Preço Fechamento ML-Acabados (PRY)</v>
          </cell>
        </row>
        <row r="494">
          <cell r="A494" t="str">
            <v>5110507090 Aj Preço-Dif Preço Fechamento ML-Revenda (PRY)</v>
          </cell>
        </row>
        <row r="495">
          <cell r="A495" t="str">
            <v>5110599010 Ajustes do Grupo Material Ledger - Realizado</v>
          </cell>
        </row>
        <row r="496">
          <cell r="A496" t="str">
            <v>5110608010 Proj Inv.Est.Pesq-Mat Cons-Imobilizado (Realizado)</v>
          </cell>
        </row>
        <row r="497">
          <cell r="A497" t="str">
            <v>5110620010 Proj Inv.Est.Pesq-S.Prest Terc-Imobiliz PJ(Realiz)</v>
          </cell>
        </row>
        <row r="498">
          <cell r="A498" t="str">
            <v>5110620020 Proj Inv.Est.Pesq-S.Prest Terc-Estudo PJ (Realiz)</v>
          </cell>
        </row>
        <row r="499">
          <cell r="A499" t="str">
            <v>5110635010 Proj Inv.Est.Pesq-Encarg Financ-Imobiliz (Realiz)</v>
          </cell>
        </row>
        <row r="500">
          <cell r="A500" t="str">
            <v>5110690050 (-)Proj Inv.Est.Pesq-Imp Aq-ICMS s/Aquis Imob (R)</v>
          </cell>
        </row>
        <row r="501">
          <cell r="A501" t="str">
            <v>5110690060 (-)Proj Inv.Est.Pesq-Imp Aq-COFINS Aquis Imob (R)</v>
          </cell>
        </row>
        <row r="502">
          <cell r="A502" t="str">
            <v>5110690070 (-)Proj Inv.Est.Pesq-Imp Aquis-PIS Aquis Imob (R)</v>
          </cell>
        </row>
        <row r="503">
          <cell r="A503" t="str">
            <v>5110699010 Proj Inv.Est.Pesq-Transf p/Imob em Andamento (R)</v>
          </cell>
        </row>
        <row r="504">
          <cell r="A504" t="str">
            <v>5110699020 Proj Inv.Est.Pesq-Transf p/Estudos/Pesq (Realiz)</v>
          </cell>
        </row>
        <row r="505">
          <cell r="A505" t="str">
            <v>5120101010 Cst P.Fab Próp Transf p/S.Acabado(F.Fab)-(Aj.Real)</v>
          </cell>
        </row>
        <row r="506">
          <cell r="A506" t="str">
            <v>5120101011 Cst P.Fab Próp Transf p/S.Acab(AjOrdProd)-(Planej)</v>
          </cell>
        </row>
        <row r="507">
          <cell r="A507" t="str">
            <v>5120101012 Cst P.Fab Próp Transf p/S.Acab(Zerar Centro Cst)</v>
          </cell>
        </row>
        <row r="508">
          <cell r="A508" t="str">
            <v>5120101013 Cst P.Fab Próp Consumo S.Acab (Realizado)</v>
          </cell>
        </row>
        <row r="509">
          <cell r="A509" t="str">
            <v>5120101020 Cst P.Fab Próp Transf p/P.Acabado(F.Fab)-(Aj.Real)</v>
          </cell>
        </row>
        <row r="510">
          <cell r="A510" t="str">
            <v>5120101021 Cst P.Fab Próp Transf p/P.Acabado(F.Fab)-(Planej)</v>
          </cell>
        </row>
        <row r="511">
          <cell r="A511" t="str">
            <v>5120101022 Cst P.Fab Próp Transf p/P.Acabado(Zerar CentroCst)</v>
          </cell>
        </row>
        <row r="512">
          <cell r="A512" t="str">
            <v>5120101030 Cst P.Fab Próp Transf p/P.Acabado(Aj Cons Real)</v>
          </cell>
        </row>
        <row r="513">
          <cell r="A513" t="str">
            <v>Energia Elétrica</v>
          </cell>
        </row>
        <row r="514">
          <cell r="A514" t="str">
            <v>5110105010 Cons Insumo E Eletrica Cons Energia Eletrica (R)</v>
          </cell>
        </row>
        <row r="515">
          <cell r="A515" t="str">
            <v>Despesas com salários e benefícios a empregad</v>
          </cell>
        </row>
        <row r="516">
          <cell r="A516" t="str">
            <v>5111001030 FLPG-Ordena.Sal.Outras Remune Empreg(R)</v>
          </cell>
        </row>
        <row r="517">
          <cell r="A517" t="str">
            <v>5111001040 FLPG-13º Salario (Realizado)</v>
          </cell>
        </row>
        <row r="518">
          <cell r="A518" t="str">
            <v>5111001041 FLPG-Provisao de 13º Salario</v>
          </cell>
        </row>
        <row r="519">
          <cell r="A519" t="str">
            <v>5111001042 FLPG-Reversao da Provisao de 13º Salario</v>
          </cell>
        </row>
        <row r="520">
          <cell r="A520" t="str">
            <v>5111001050 FLPG-Ferias (Realizado)</v>
          </cell>
        </row>
        <row r="521">
          <cell r="A521" t="str">
            <v>5111001051 FLPG-Provisao de Ferias</v>
          </cell>
        </row>
        <row r="522">
          <cell r="A522" t="str">
            <v>5111001052 FLPG-Reversao da Provisao de Ferias</v>
          </cell>
        </row>
        <row r="523">
          <cell r="A523" t="str">
            <v>5111001080 FLPG-Gratificaçoes de Ferias(Realizado)</v>
          </cell>
        </row>
        <row r="524">
          <cell r="A524" t="str">
            <v>5111001081 FLPG-Provisao de Gratificaçoes de Ferias</v>
          </cell>
        </row>
        <row r="525">
          <cell r="A525" t="str">
            <v>5111001082 FLPG-Rever Provi Gratificaçoes de Ferias</v>
          </cell>
        </row>
        <row r="526">
          <cell r="A526" t="str">
            <v>5111001090 FLPG-Gratificaçoes (Realizado)</v>
          </cell>
        </row>
        <row r="527">
          <cell r="A527" t="str">
            <v>5111001091 FLPG-Provisao de Gratificaçoes</v>
          </cell>
        </row>
        <row r="528">
          <cell r="A528" t="str">
            <v>5111001092 FLPG-Rever da Provisao de Gratificaçoes</v>
          </cell>
        </row>
        <row r="529">
          <cell r="A529" t="str">
            <v>5111001100 FLPG-Gratificaçoes Quinquenios (Realizado)</v>
          </cell>
        </row>
        <row r="530">
          <cell r="A530" t="str">
            <v>5111001101 FLPG-Prov Gratificaçoes Quinquenios</v>
          </cell>
        </row>
        <row r="531">
          <cell r="A531" t="str">
            <v>5111001102 FLPG-Rever Prov Gratificaçoes Quinquenios</v>
          </cell>
        </row>
        <row r="532">
          <cell r="A532" t="str">
            <v>5111001120 FLPG-Aviso Previo (Realizado)</v>
          </cell>
        </row>
        <row r="533">
          <cell r="A533" t="str">
            <v>5111001122 FLPG-Reversao da Provisao de Aviso Previo</v>
          </cell>
        </row>
        <row r="534">
          <cell r="A534" t="str">
            <v>5111001130 FLPG-Indenizaçoes (Realizado)</v>
          </cell>
        </row>
        <row r="535">
          <cell r="A535" t="str">
            <v>5111001240 FLPG-Auxilio Doença (Realizado)</v>
          </cell>
        </row>
        <row r="536">
          <cell r="A536" t="str">
            <v>5111001250 FLPG-Auxilio Ensino (Realizado)</v>
          </cell>
        </row>
        <row r="537">
          <cell r="A537" t="str">
            <v>5111001300 FLPG-Bolsa Estudos de Estagiarios (Realizado)</v>
          </cell>
        </row>
        <row r="538">
          <cell r="A538" t="str">
            <v>5111001990 Rateio da Mão de Obra da Manutenção</v>
          </cell>
        </row>
        <row r="539">
          <cell r="A539" t="str">
            <v>5111002010 FGTS-Folha de Pagamento (Realizado)</v>
          </cell>
        </row>
        <row r="540">
          <cell r="A540" t="str">
            <v>5111002020 FGTS-Ferias (Realizado)</v>
          </cell>
        </row>
        <row r="541">
          <cell r="A541" t="str">
            <v>5111002021 FGTS-Provisao de FGTS s/Ferias</v>
          </cell>
        </row>
        <row r="542">
          <cell r="A542" t="str">
            <v>5111002022 FGTS-Reversao da Provisao de FGTS s/Ferias</v>
          </cell>
        </row>
        <row r="543">
          <cell r="A543" t="str">
            <v>5111002030 FGTS-13º Salario (Realizado)</v>
          </cell>
        </row>
        <row r="544">
          <cell r="A544" t="str">
            <v>5111002031 FGTS-Provisao de FGTS S/13º Salario</v>
          </cell>
        </row>
        <row r="545">
          <cell r="A545" t="str">
            <v>5111002032 FGTS-Reversao da Provisao FGTS S/13º Salario</v>
          </cell>
        </row>
        <row r="546">
          <cell r="A546" t="str">
            <v>5111002040 FGTS-Desligamento de Funcionarios (Realizado)</v>
          </cell>
        </row>
        <row r="547">
          <cell r="A547" t="str">
            <v>5111002041 FGTS-Provisao FGTS s/Desligamento Funcionario</v>
          </cell>
        </row>
        <row r="548">
          <cell r="A548" t="str">
            <v>5111002042 FGTS-Rever Prov FGTS s/Desligamento Funcionario</v>
          </cell>
        </row>
        <row r="549">
          <cell r="A549" t="str">
            <v>5111003010 INSS-Folha de Pagamento (Realizado)</v>
          </cell>
        </row>
        <row r="550">
          <cell r="A550" t="str">
            <v>5111003021 INSS-Provisao de INSS s/Ferias</v>
          </cell>
        </row>
        <row r="551">
          <cell r="A551" t="str">
            <v>5111003022 INSS-Reversao da Provisao de INSS s/Ferias</v>
          </cell>
        </row>
        <row r="552">
          <cell r="A552" t="str">
            <v>5111003031 INSS-Provisao de INSS s/13º Salario</v>
          </cell>
        </row>
        <row r="553">
          <cell r="A553" t="str">
            <v>5111003032 INSS-Reversao Provisao de INSS s/13º Salario</v>
          </cell>
        </row>
        <row r="554">
          <cell r="A554" t="str">
            <v>5111503040 Desp Medicas Hospitalares (Realizado)</v>
          </cell>
        </row>
        <row r="555">
          <cell r="A555" t="str">
            <v>5111504010 Desenv Prof-Cursos (Realizado)</v>
          </cell>
        </row>
        <row r="556">
          <cell r="A556" t="str">
            <v>5111504050 Desenv Prof-Transportes em Cursos (Realizado)</v>
          </cell>
        </row>
        <row r="557">
          <cell r="A557" t="str">
            <v>5111504060 Desenv Prof-Refeiçoes em Cursos (Realizado)</v>
          </cell>
        </row>
        <row r="558">
          <cell r="A558" t="str">
            <v>5111504070 Desenv Prof-Aprendiz de Menores em Cursos (Realiz)</v>
          </cell>
        </row>
        <row r="559">
          <cell r="A559" t="str">
            <v>5111505010 Desp Soc-Contrib Associaçao Desportiva (Realizado)</v>
          </cell>
        </row>
        <row r="560">
          <cell r="A560" t="str">
            <v>5111505020 Desp Soc-Comemoraçoes e Eventos (Realizado)</v>
          </cell>
        </row>
        <row r="561">
          <cell r="A561" t="str">
            <v>5111505030 Desp Soc-Assistencia Social Funcionarios (Realiz)</v>
          </cell>
        </row>
        <row r="562">
          <cell r="A562" t="str">
            <v>5111505040 Desp Soc-Vestuario (Realizado)</v>
          </cell>
        </row>
        <row r="563">
          <cell r="A563" t="str">
            <v>5111505050 Desp Soc-Comunicaçao Interna (Realizado)</v>
          </cell>
        </row>
        <row r="564">
          <cell r="A564" t="str">
            <v>5111506020 Despesa Vale Transporte (Realizado)</v>
          </cell>
        </row>
        <row r="565">
          <cell r="A565" t="str">
            <v>5111506030 Despesa Taxi e Conduçoes (Realizado)</v>
          </cell>
        </row>
        <row r="566">
          <cell r="A566" t="str">
            <v>5111506040 Despesa Aluguel de Veiculos (Realizado)</v>
          </cell>
        </row>
        <row r="567">
          <cell r="A567" t="str">
            <v>5111507010 Despesa Refeiçoes Prontas (Realizado)</v>
          </cell>
        </row>
        <row r="568">
          <cell r="A568" t="str">
            <v>5111507030 Despesa Refeiçoes-Visita e Outras (Realizado)</v>
          </cell>
        </row>
        <row r="569">
          <cell r="A569" t="str">
            <v>5111507040 Despesa Refeiçoes-Lanches Externos (Realizado)</v>
          </cell>
        </row>
        <row r="570">
          <cell r="A570" t="str">
            <v>Encargos de depreciação e amortização</v>
          </cell>
        </row>
        <row r="571">
          <cell r="A571" t="str">
            <v>5119001010 Encarg de Deprec e Amort-Depreciaçao (Realizado)</v>
          </cell>
        </row>
        <row r="572">
          <cell r="A572" t="str">
            <v>5119001011 Encarg de Depreciaçao Mais Valia (Realizado)</v>
          </cell>
        </row>
        <row r="573">
          <cell r="A573" t="str">
            <v>5119001012 Encarg de Depreciaçao Mais Valia CN (Realizado)</v>
          </cell>
        </row>
        <row r="574">
          <cell r="A574" t="str">
            <v>5119001014 Encarg de Depreciaçao AVP (Realizado)</v>
          </cell>
        </row>
        <row r="575">
          <cell r="A575" t="str">
            <v>5119001050 Encarg de Deprec e Amort-Amortizaçao (Realizado)</v>
          </cell>
        </row>
        <row r="576">
          <cell r="A576" t="str">
            <v>5119001054 Amortizaçao AVP (Realizado)</v>
          </cell>
        </row>
        <row r="577">
          <cell r="A577" t="str">
            <v>Serviços de terceiros</v>
          </cell>
        </row>
        <row r="578">
          <cell r="A578" t="str">
            <v>5112002010 Serviços Prestados Auditoria  p/PJ (Realizado)</v>
          </cell>
        </row>
        <row r="579">
          <cell r="A579" t="str">
            <v>5112003010 Serviços Prestados Consultoria p/PJ (Realizado)</v>
          </cell>
        </row>
        <row r="580">
          <cell r="A580" t="str">
            <v>5112003040 Serv Prest Consultoria p/PF s/Vinc Empr (Realiz)</v>
          </cell>
        </row>
        <row r="581">
          <cell r="A581" t="str">
            <v>5112008010 Serv Prest Propaganda e Publicidade p/PJ (Realiz)</v>
          </cell>
        </row>
        <row r="582">
          <cell r="A582" t="str">
            <v>5112009010 Serv Prest Atualiz/Suporte Tecnico p/PJ (Realiz)</v>
          </cell>
        </row>
        <row r="583">
          <cell r="A583" t="str">
            <v>5112010010 Serviços Prestados Temporario p/PJ (Realizado)</v>
          </cell>
        </row>
        <row r="584">
          <cell r="A584" t="str">
            <v>5112011010 Serviços Prestados Limpeza p/ PJ (Realizado)</v>
          </cell>
        </row>
        <row r="585">
          <cell r="A585" t="str">
            <v>5112012010 Serviços Prestados Vigilancia PJ (Realiz)</v>
          </cell>
        </row>
        <row r="586">
          <cell r="A586" t="str">
            <v>5112013010 Serviços Prestados Jardinagem p/PJ (Realizado)</v>
          </cell>
        </row>
        <row r="587">
          <cell r="A587" t="str">
            <v>5112014010 Serv Prest Estacionamento de Caminhoes PJ (Realiz)</v>
          </cell>
        </row>
        <row r="588">
          <cell r="A588" t="str">
            <v>5112015010 Serv Prest Fretes Carretos s/Compras p/PJ (Realiz)</v>
          </cell>
        </row>
        <row r="589">
          <cell r="A589" t="str">
            <v>5112016010 Serviços Prestados Construçao Civil p/PJ (Realiz)</v>
          </cell>
        </row>
        <row r="590">
          <cell r="A590" t="str">
            <v>5112017010 Serviços Prestados Engenharia p/PJ (Realiz)</v>
          </cell>
        </row>
        <row r="591">
          <cell r="A591" t="str">
            <v>5112018010 Serv Prest Reparos Assist Tecnica p/PJ (Realiz)</v>
          </cell>
        </row>
        <row r="592">
          <cell r="A592" t="str">
            <v>5112019010 Serv Prest Tratamento de Residuos p/PJ (Realiz)</v>
          </cell>
        </row>
        <row r="593">
          <cell r="A593" t="str">
            <v>5112099010 Prest Serv Tecnicos Profissionais p/PJ (Realiz)</v>
          </cell>
        </row>
        <row r="594">
          <cell r="A594" t="str">
            <v>5112099040 Serv Prest Tec Profissionais p/PF s/Vin Empr (R)</v>
          </cell>
        </row>
        <row r="595">
          <cell r="A595" t="str">
            <v>5112150010 Serv Prest Manutençao Civil p/PJ (Realizado)</v>
          </cell>
        </row>
        <row r="596">
          <cell r="A596" t="str">
            <v>5112151010 Serv Prest Manutençao Eletricos p/PJ (Realiz)</v>
          </cell>
        </row>
        <row r="597">
          <cell r="A597" t="str">
            <v>5112152010 Serv Prest Manutençao Mecânicos p/PJ (Realizado)</v>
          </cell>
        </row>
        <row r="598">
          <cell r="A598" t="str">
            <v>5112153010 Serv Prest Manutençao Inspeçao PJ (Realizado)</v>
          </cell>
        </row>
        <row r="599">
          <cell r="A599" t="str">
            <v>5112154010 Serv Prest Manutençao Cald/Tubul PJ (Realzado)</v>
          </cell>
        </row>
        <row r="600">
          <cell r="A600" t="str">
            <v>5112155010 Serv Prest Manut Instrumentaçao PJ (Realizado)</v>
          </cell>
        </row>
        <row r="601">
          <cell r="A601" t="str">
            <v>5112170010 Serv Prest Manutenaçao Cel HG-PJ (Realizado)</v>
          </cell>
        </row>
        <row r="602">
          <cell r="A602" t="str">
            <v>5112175010 Serv Prest Manutençao Cel Diafrag p/PJ (Realiz)</v>
          </cell>
        </row>
        <row r="603">
          <cell r="A603" t="str">
            <v>5112180010 Serv Prest Manutençao Cel Memb PJ (Realizado)</v>
          </cell>
        </row>
        <row r="604">
          <cell r="A604" t="str">
            <v>5112199010 Serv Prest Manutençao Apoio-PJ (Realizado)</v>
          </cell>
        </row>
        <row r="605">
          <cell r="A605" t="str">
            <v>5112199310 Serv Prest Manutençao Fretes Carret-PJ (Realizado)</v>
          </cell>
        </row>
        <row r="606">
          <cell r="A606" t="str">
            <v>5112199410 Serv Prest Manutençao Pintura-PJ (Realizado)</v>
          </cell>
        </row>
        <row r="607">
          <cell r="A607" t="str">
            <v>5112199510 Serv Prest Manutençao Revestimentos-PJ (Realizado)</v>
          </cell>
        </row>
        <row r="608">
          <cell r="A608" t="str">
            <v>5112199610 Serv Prest Manutençao Isolamentos-PJ (Realizado)</v>
          </cell>
        </row>
        <row r="609">
          <cell r="A609" t="str">
            <v>Outras</v>
          </cell>
        </row>
        <row r="610">
          <cell r="A610" t="str">
            <v>5110801010 Mat Cons Oper-Combustiveis e Lubrificantes(Realiz)</v>
          </cell>
        </row>
        <row r="611">
          <cell r="A611" t="str">
            <v>5110801020 Mat Cons-Oper-Mat Processo Produtivo (Realiz)</v>
          </cell>
        </row>
        <row r="612">
          <cell r="A612" t="str">
            <v>5110801030 Mat Cons-Oper-Mat Tratamento Residuos (Realiz)</v>
          </cell>
        </row>
        <row r="613">
          <cell r="A613" t="str">
            <v>5110801040 Mat Cons-Oper-Mat Análises Quimicas (Realizado)</v>
          </cell>
        </row>
        <row r="614">
          <cell r="A614" t="str">
            <v>5110801060 Mat Cons-Oper-Ferramentas (Realizado)</v>
          </cell>
        </row>
        <row r="615">
          <cell r="A615" t="str">
            <v>5110801070 Mat Cons-Oper-Mat Reparo e Manutençao (Realizado)</v>
          </cell>
        </row>
        <row r="616">
          <cell r="A616" t="str">
            <v>5110801080 Mat Cons-Oper-Mat Conserv Ecológica (Realizado)</v>
          </cell>
        </row>
        <row r="617">
          <cell r="A617" t="str">
            <v>5110801090 Mat Cons-Oper-Mat Limpeza (Realizado)</v>
          </cell>
        </row>
        <row r="618">
          <cell r="A618" t="str">
            <v>5110801100 Mat Cons-Oper-Mat Segurança (Realizado)</v>
          </cell>
        </row>
        <row r="619">
          <cell r="A619" t="str">
            <v>5110801110 Mat Cons-Oper-Consumo de Água (Realizado)</v>
          </cell>
        </row>
        <row r="620">
          <cell r="A620" t="str">
            <v>5110801130 Mat Cons-Oper-Mat Escritório (Realizado)</v>
          </cell>
        </row>
        <row r="621">
          <cell r="A621" t="str">
            <v>5110801140 Mat Cons-Oper-Mat Imobilizado (Realizado)</v>
          </cell>
        </row>
        <row r="622">
          <cell r="A622" t="str">
            <v>5110802010 Mat Cons-Manutençao-Manut Civil (Realizado)</v>
          </cell>
        </row>
        <row r="623">
          <cell r="A623" t="str">
            <v>5110802020 Mat Cons-Manutençao-Eletrica (Realizado)</v>
          </cell>
        </row>
        <row r="624">
          <cell r="A624" t="str">
            <v>5110802030 Mat Cons-Manutençao-Mecânica (Realizado)</v>
          </cell>
        </row>
        <row r="625">
          <cell r="A625" t="str">
            <v>5110802040 Mat Cons-Manutençao-Manut Inspeçao (Realizado)</v>
          </cell>
        </row>
        <row r="626">
          <cell r="A626" t="str">
            <v>5110802050 Mat Cons-Manutençao-Calderaria/Tubul (Realizado)</v>
          </cell>
        </row>
        <row r="627">
          <cell r="A627" t="str">
            <v>5110802060 Mat Cons-Manutençao-Instrumentaçao (Realizado)</v>
          </cell>
        </row>
        <row r="628">
          <cell r="A628" t="str">
            <v>5110802070 Mat Cons-Manutençao-Celula HG (Realizado)</v>
          </cell>
        </row>
        <row r="629">
          <cell r="A629" t="str">
            <v>5110802080 Mat Cons-Manutençao-Celula Diafragma (Realizado)</v>
          </cell>
        </row>
        <row r="630">
          <cell r="A630" t="str">
            <v>5110802090 Mat Cons-Manutençao-Celula Membrana (Realizado)</v>
          </cell>
        </row>
        <row r="631">
          <cell r="A631" t="str">
            <v>5110802990 Mat Cons-Manutençao-Geral (Realizado)</v>
          </cell>
        </row>
        <row r="632">
          <cell r="A632" t="str">
            <v>5111902010 Despesa Viagens Nacionais (Realizado)</v>
          </cell>
        </row>
        <row r="633">
          <cell r="A633" t="str">
            <v>5111902020 Despesas Viagens Internacionais (Realizado)</v>
          </cell>
        </row>
        <row r="634">
          <cell r="A634" t="str">
            <v>5113501020 Desp Correspondencia-Postais (Realizado)</v>
          </cell>
        </row>
        <row r="635">
          <cell r="A635" t="str">
            <v>5114001030 DLF-Desp Autenticidade Reconhecde Firmas (Realiz)</v>
          </cell>
        </row>
        <row r="636">
          <cell r="A636" t="str">
            <v>5114002030 DITC-Licença e Funcionamento (Realizado)</v>
          </cell>
        </row>
        <row r="637">
          <cell r="A637" t="str">
            <v>5114002060 DITC-Txs Municipais,Estaduais,Federais (Realizado)</v>
          </cell>
        </row>
        <row r="638">
          <cell r="A638" t="str">
            <v>5116001010 Desp Real Even-Semi Fora da Cia Gestao (Realizado)</v>
          </cell>
        </row>
        <row r="639">
          <cell r="A639" t="str">
            <v>5116001020 Desp Reali Eventos-Eventos Gestao (Realizado)</v>
          </cell>
        </row>
        <row r="640">
          <cell r="A640" t="str">
            <v>5116002020 Desp c/Marketing-Relaçoes Publicas (Realizado)</v>
          </cell>
        </row>
        <row r="641">
          <cell r="A641" t="str">
            <v>5116002040 Desp c/Marketing-Programa Fabrica Aberta (Realiz)</v>
          </cell>
        </row>
        <row r="642">
          <cell r="A642" t="str">
            <v>5118002050 DPC Ded-Contrib a Entidades de Classes (Realizado)</v>
          </cell>
        </row>
        <row r="643">
          <cell r="A643" t="str">
            <v>5119905010 Desp Alug/Loc.Oper-Locaçao Equip Operaçao (Realiz)</v>
          </cell>
        </row>
        <row r="644">
          <cell r="A644" t="str">
            <v>5119905030 Desp Alug/Loc.Oper-Loc Equiptos Escritorio(Realiz)</v>
          </cell>
        </row>
        <row r="645">
          <cell r="A645" t="str">
            <v>5119905050 Desp Alug/Loc.Oper-Loc de Equip Telefonia(Realiz)</v>
          </cell>
        </row>
        <row r="646">
          <cell r="A646" t="str">
            <v>5119906010 Desp Alug/Loc. Op-Equipamentos de Manut (Realiz)</v>
          </cell>
        </row>
        <row r="647">
          <cell r="A647" t="str">
            <v>5119910010 Assin L.IT.J.R-Ass de Jornais e Revistas (Realiz)</v>
          </cell>
        </row>
        <row r="648">
          <cell r="A648" t="str">
            <v>5119910030 Assin L.IT.J.R-Ass Livros/Inform Tecnicos (Realiz)</v>
          </cell>
        </row>
        <row r="649">
          <cell r="A649" t="str">
            <v>5119915010 Desp c/Impressao e Copias fora da Cia (Realizado)</v>
          </cell>
        </row>
        <row r="650">
          <cell r="A650" t="str">
            <v>5119920010 Desp c/Veiculos-Abastecimento (Realizado)</v>
          </cell>
        </row>
        <row r="651">
          <cell r="A651" t="str">
            <v>5119920020 Desp c/Veiculos-Reparos e Manutençoes (Realizado)</v>
          </cell>
        </row>
        <row r="652">
          <cell r="A652" t="str">
            <v>5119920030 Desp c/Veiculos-Peças e Acessorios (Realizado)</v>
          </cell>
        </row>
        <row r="653">
          <cell r="A653" t="str">
            <v>5119920050 Desp c/Veiculos-Pedagio e Estacionam (Realizado)</v>
          </cell>
        </row>
        <row r="654">
          <cell r="A654" t="str">
            <v>5119920060 Desp c/Veiculos-Licenciamento (Realizado)</v>
          </cell>
        </row>
        <row r="655">
          <cell r="A655" t="str">
            <v>Despesas / Receitas Operacionais</v>
          </cell>
        </row>
        <row r="656">
          <cell r="A656" t="str">
            <v>Despesas com vendas</v>
          </cell>
        </row>
        <row r="657">
          <cell r="A657" t="str">
            <v>Despesas com fretes sobre vendas</v>
          </cell>
        </row>
        <row r="658">
          <cell r="A658" t="str">
            <v>3140101010 Fretes s/Exportaçao Direta de Produtos (Realizado)</v>
          </cell>
        </row>
        <row r="659">
          <cell r="A659" t="str">
            <v>3140101020 Frete s/Venda Com Export c/Fim Esp Export (Realiz)</v>
          </cell>
        </row>
        <row r="660">
          <cell r="A660" t="str">
            <v>3140101030 Fretes s/Vendas de Produtos no MI (Realizado)</v>
          </cell>
        </row>
        <row r="661">
          <cell r="A661" t="str">
            <v>3140105010 Fretes s/Revendas de Mercs Nacinais no ME (Realiz)</v>
          </cell>
        </row>
        <row r="662">
          <cell r="A662" t="str">
            <v>3140105030 Fretes s/Revendas de Mercadorias no MI (Realiz)</v>
          </cell>
        </row>
        <row r="663">
          <cell r="A663" t="str">
            <v>Outras despesas com vendas</v>
          </cell>
        </row>
        <row r="664">
          <cell r="A664" t="str">
            <v>3140301010 Desp c/Desemb/Movim Export Prod FP ME (Realiz)</v>
          </cell>
        </row>
        <row r="665">
          <cell r="A665" t="str">
            <v>3140401030 Desp c/Armazenagem Produtos FP (Realizado)</v>
          </cell>
        </row>
        <row r="666">
          <cell r="A666" t="str">
            <v>3140406030 Desp c/Armazen Merc Imports p/Rev no MI (Realiz)</v>
          </cell>
        </row>
        <row r="667">
          <cell r="A667" t="str">
            <v>3140501030 Desp c/Fretes de Remessas p/Armaz Prod FP (Realiz)</v>
          </cell>
        </row>
        <row r="668">
          <cell r="A668" t="str">
            <v>3140601030 Desp Remessas p/Testes Ensaios e Prod FP (Realiz)</v>
          </cell>
        </row>
        <row r="669">
          <cell r="A669" t="str">
            <v>Despesas Gerais e Administrativas</v>
          </cell>
        </row>
        <row r="670">
          <cell r="A670" t="str">
            <v>Energia Elétrica consumo administrativo</v>
          </cell>
        </row>
        <row r="671">
          <cell r="A671" t="str">
            <v>3170801120 Mat Cons Oper-Luz (Realizado)</v>
          </cell>
        </row>
        <row r="672">
          <cell r="A672" t="str">
            <v>Despesas com salários e benefícios a empreg</v>
          </cell>
        </row>
        <row r="673">
          <cell r="A673" t="str">
            <v>3171001010 FLPG-Remuneraçao a Dirigentes Conselho Adm (Pgto)</v>
          </cell>
        </row>
        <row r="674">
          <cell r="A674" t="str">
            <v>3171001020 FLPG-Gratifiçao a Dirigentes Conselho Adm (Pgto)</v>
          </cell>
        </row>
        <row r="675">
          <cell r="A675" t="str">
            <v>3171001021 FLPG-Prov Gratificaçao a Dirigentes Conselho Adm</v>
          </cell>
        </row>
        <row r="676">
          <cell r="A676" t="str">
            <v>3171001022 FLPG-Rev Prov Gratif a Dirigentes Conselho Adm</v>
          </cell>
        </row>
        <row r="677">
          <cell r="A677" t="str">
            <v>3171001030 FLPG-Ordenados, Salars e Outras Remun a Empreg (R)</v>
          </cell>
        </row>
        <row r="678">
          <cell r="A678" t="str">
            <v>3171001040 FLPG-13º Salario (Realizado)</v>
          </cell>
        </row>
        <row r="679">
          <cell r="A679" t="str">
            <v>3171001041 FLPG-Provisao de 13º Salario</v>
          </cell>
        </row>
        <row r="680">
          <cell r="A680" t="str">
            <v>3171001042 FLPG-Reversao Provisao de 13º Salario</v>
          </cell>
        </row>
        <row r="681">
          <cell r="A681" t="str">
            <v>3171001050 FLPG-Ferias (Realizado)</v>
          </cell>
        </row>
        <row r="682">
          <cell r="A682" t="str">
            <v>3171001051 FLPG-Provisao de Ferias</v>
          </cell>
        </row>
        <row r="683">
          <cell r="A683" t="str">
            <v>3171001052 FLPG-Reversap da Provisao de Ferias</v>
          </cell>
        </row>
        <row r="684">
          <cell r="A684" t="str">
            <v>3171001080 FLPG-Gratificaçao de Ferias (Realiz)</v>
          </cell>
        </row>
        <row r="685">
          <cell r="A685" t="str">
            <v>3171001081 FLPG-Provisao de Gratificaçao de Ferias</v>
          </cell>
        </row>
        <row r="686">
          <cell r="A686" t="str">
            <v>3171001082 FLPG-Reversao da Prov de Gratificaçao de Ferias</v>
          </cell>
        </row>
        <row r="687">
          <cell r="A687" t="str">
            <v>3171001090 FLPG-Gratificaçoes (Realizado)</v>
          </cell>
        </row>
        <row r="688">
          <cell r="A688" t="str">
            <v>3171001091 FLPG-Provisao de Gratificaçoes</v>
          </cell>
        </row>
        <row r="689">
          <cell r="A689" t="str">
            <v>3171001092 FLPG-Reversao da Provisao de Gratificacoes</v>
          </cell>
        </row>
        <row r="690">
          <cell r="A690" t="str">
            <v>3171001100 FLPG-Gratificoes Quinquenios (Realizado)</v>
          </cell>
        </row>
        <row r="691">
          <cell r="A691" t="str">
            <v>3171001101 FLPG-Provisao de Gratificaçoes Quinquenios</v>
          </cell>
        </row>
        <row r="692">
          <cell r="A692" t="str">
            <v>3171001102 FLPG-Reversao Provisao Gratificacoes Quinquenios</v>
          </cell>
        </row>
        <row r="693">
          <cell r="A693" t="str">
            <v>3171001120 FLPG-Aviso Previo (Realizado)</v>
          </cell>
        </row>
        <row r="694">
          <cell r="A694" t="str">
            <v>3171001122 FLPG-Reversao da Provisao de Aviso Previo</v>
          </cell>
        </row>
        <row r="695">
          <cell r="A695" t="str">
            <v>3171001130 FLPG-Indenizacoes (Realizado)</v>
          </cell>
        </row>
        <row r="696">
          <cell r="A696" t="str">
            <v>3171001250 FLPG-Auxilio Ensino (Realizado)</v>
          </cell>
        </row>
        <row r="697">
          <cell r="A697" t="str">
            <v>3171001300 FLPG-Bolsa Estudos de Estagiarios (Realizado)</v>
          </cell>
        </row>
        <row r="698">
          <cell r="A698" t="str">
            <v>3171001990 Rateio da Mão de Obra da Manutenção</v>
          </cell>
        </row>
        <row r="699">
          <cell r="A699" t="str">
            <v>3171002010 FGTS s/Folha de Pagamento (Realizado)</v>
          </cell>
        </row>
        <row r="700">
          <cell r="A700" t="str">
            <v>3171002020 FGTS s/Ferias (Realizado)</v>
          </cell>
        </row>
        <row r="701">
          <cell r="A701" t="str">
            <v>3171002021 Provisao de FGTS s/Ferias</v>
          </cell>
        </row>
        <row r="702">
          <cell r="A702" t="str">
            <v>3171002022 Reversao da Provisao de FGTS s/Ferias</v>
          </cell>
        </row>
        <row r="703">
          <cell r="A703" t="str">
            <v>3171002030 FGTS s/13º Salario (Realizado)</v>
          </cell>
        </row>
        <row r="704">
          <cell r="A704" t="str">
            <v>3171002031 Provisao de FGTS s/13º Salario</v>
          </cell>
        </row>
        <row r="705">
          <cell r="A705" t="str">
            <v>3171002032 Reversao da Provisao de FGTS s/13º Salario</v>
          </cell>
        </row>
        <row r="706">
          <cell r="A706" t="str">
            <v>3171002040 FGTS s/Desligamento de Funcionario (Realizado)</v>
          </cell>
        </row>
        <row r="707">
          <cell r="A707" t="str">
            <v>3171002041 Provisao de FGTS s/Desligamento de Funcionario</v>
          </cell>
        </row>
        <row r="708">
          <cell r="A708" t="str">
            <v>3171002042 Reversao Provisao de FGTS s/Desl Funcionario</v>
          </cell>
        </row>
        <row r="709">
          <cell r="A709" t="str">
            <v>3171003010 INSS s/Folha de Pagamento (Realizado)</v>
          </cell>
        </row>
        <row r="710">
          <cell r="A710" t="str">
            <v>3171003021 Provisao de INSS s/Ferias</v>
          </cell>
        </row>
        <row r="711">
          <cell r="A711" t="str">
            <v>3171003022 Reversao da Provisao de INSS s/Ferias</v>
          </cell>
        </row>
        <row r="712">
          <cell r="A712" t="str">
            <v>3171003031 Provisao de INSS s/13º Salario</v>
          </cell>
        </row>
        <row r="713">
          <cell r="A713" t="str">
            <v>3171003032 Reversao da Provisao de INSS s/13º Salario</v>
          </cell>
        </row>
        <row r="714">
          <cell r="A714" t="str">
            <v>3171003051 Provisao de INSS s/Gratificações</v>
          </cell>
        </row>
        <row r="715">
          <cell r="A715" t="str">
            <v>3171501010 Prev Priv CD-Contribuicoes da Empresa (Realizado)</v>
          </cell>
        </row>
        <row r="716">
          <cell r="A716" t="str">
            <v>3171501015 Prev Priv CD-Participaçao dos Empregados</v>
          </cell>
        </row>
        <row r="717">
          <cell r="A717" t="str">
            <v>3171502010 Seguro de Vida em Grupo (Realizado)</v>
          </cell>
        </row>
        <row r="718">
          <cell r="A718" t="str">
            <v>3171502011 Provisao Seguro de Vida em Grupo</v>
          </cell>
        </row>
        <row r="719">
          <cell r="A719" t="str">
            <v>3171503010 Assistencia Medica e Hospitalar (Realizado)</v>
          </cell>
        </row>
        <row r="720">
          <cell r="A720" t="str">
            <v>3171503015 Partic dos Empregados Assistenc Medica e Hospit</v>
          </cell>
        </row>
        <row r="721">
          <cell r="A721" t="str">
            <v>3171503020 Assistencia Medica e Hospitalar Aposent (Realiz)</v>
          </cell>
        </row>
        <row r="722">
          <cell r="A722" t="str">
            <v>3171503021 Provisao Assistencia Medica Hospitalar Aposentados</v>
          </cell>
        </row>
        <row r="723">
          <cell r="A723" t="str">
            <v>3171503022 Reversao Prov Assist Medica Hospitalar Aposentados</v>
          </cell>
        </row>
        <row r="724">
          <cell r="A724" t="str">
            <v>3171503030 Assistencia Odontologica (Realizado)</v>
          </cell>
        </row>
        <row r="725">
          <cell r="A725" t="str">
            <v>3171503035 Participacao dos Empregados Assist Odontologica</v>
          </cell>
        </row>
        <row r="726">
          <cell r="A726" t="str">
            <v>3171503040 Despesas Medicas e Hospitalares (Realizado)</v>
          </cell>
        </row>
        <row r="727">
          <cell r="A727" t="str">
            <v>3171504010 Desenv Prof-Cursos (Realizado)</v>
          </cell>
        </row>
        <row r="728">
          <cell r="A728" t="str">
            <v>3171504020 Desenv Prof-Material de Consumo em Cursos (Realiz)</v>
          </cell>
        </row>
        <row r="729">
          <cell r="A729" t="str">
            <v>3171504030 Desenv Prof-Serviços de Tercrs em Cursos (Realiz)</v>
          </cell>
        </row>
        <row r="730">
          <cell r="A730" t="str">
            <v>3171504040 Desenv Prof-Diarias em Cursos (Realizado)</v>
          </cell>
        </row>
        <row r="731">
          <cell r="A731" t="str">
            <v>3171504050 Desenv Prof-Transportes em Cursos (Realizado)</v>
          </cell>
        </row>
        <row r="732">
          <cell r="A732" t="str">
            <v>3171504060 Desenv Prof-Refeiçoes em Cursos (Realizado)</v>
          </cell>
        </row>
        <row r="733">
          <cell r="A733" t="str">
            <v>3171504070 Desenv Prof-Aprendiz de Menores em Cursos (Realiz)</v>
          </cell>
        </row>
        <row r="734">
          <cell r="A734" t="str">
            <v>3171505010 Desp Soc-Contrib Associaçao Desportiva (Realizado)</v>
          </cell>
        </row>
        <row r="735">
          <cell r="A735" t="str">
            <v>3171505020 Desp Soc-Comemoraçoes e Eventos (Realizado)</v>
          </cell>
        </row>
        <row r="736">
          <cell r="A736" t="str">
            <v>3171505030 Desp Soc-Assistencia Social Funcionarios (Realiz)</v>
          </cell>
        </row>
        <row r="737">
          <cell r="A737" t="str">
            <v>3171505040 Desp Soc-Vestuario (Realizado)</v>
          </cell>
        </row>
        <row r="738">
          <cell r="A738" t="str">
            <v>3171505050 Desp Soc-Comunicaçao Interna (Realizado)</v>
          </cell>
        </row>
        <row r="739">
          <cell r="A739" t="str">
            <v>3171506010 Desp Transp-Conduçao Contratada (Realizado)</v>
          </cell>
        </row>
        <row r="740">
          <cell r="A740" t="str">
            <v>3171506015 Participaçao dos Empregados-Conduçao Contratada</v>
          </cell>
        </row>
        <row r="741">
          <cell r="A741" t="str">
            <v>3171506020 Despesa Vale Transporte (Realizado)</v>
          </cell>
        </row>
        <row r="742">
          <cell r="A742" t="str">
            <v>3171506025 Participaçao dos Empregados-Vale Transporte</v>
          </cell>
        </row>
        <row r="743">
          <cell r="A743" t="str">
            <v>3171506030 Despesa Taxi e Conduçoes (Realizado)</v>
          </cell>
        </row>
        <row r="744">
          <cell r="A744" t="str">
            <v>3171506040 Despesa Aluguel de Veiculos (Realizado)</v>
          </cell>
        </row>
        <row r="745">
          <cell r="A745" t="str">
            <v>3171506050 Despesas com Aluguel de Outros Veiculos(Realizado)</v>
          </cell>
        </row>
        <row r="746">
          <cell r="A746" t="str">
            <v>3171507010 Despesa Refeiçoes Prontas (Realizado)</v>
          </cell>
        </row>
        <row r="747">
          <cell r="A747" t="str">
            <v>3171507015 Participaçao dos Empregados-Refeiçoes Prontas</v>
          </cell>
        </row>
        <row r="748">
          <cell r="A748" t="str">
            <v>3171507020 Despesa Material de Consumo Refeitorio (Realiz)</v>
          </cell>
        </row>
        <row r="749">
          <cell r="A749" t="str">
            <v>3171507025 Desp Material Consumo Refeitorio Descont Func-R</v>
          </cell>
        </row>
        <row r="750">
          <cell r="A750" t="str">
            <v>3171507030 Despesa Refeiçoes-Visita e Outras (Realizado)</v>
          </cell>
        </row>
        <row r="751">
          <cell r="A751" t="str">
            <v>3171507040 Despesa Refeiçoes-Lanches Externos (Realizado)</v>
          </cell>
        </row>
        <row r="752">
          <cell r="A752" t="str">
            <v>3710101010 (-)PL-Participaçoes de Empregados (Realizado)</v>
          </cell>
        </row>
        <row r="753">
          <cell r="A753" t="str">
            <v>Encargos de depreciação e amortização na DGA</v>
          </cell>
        </row>
        <row r="754">
          <cell r="A754" t="str">
            <v>3179001010 Encarg de Deprec e Amort-Depreciaçao (Realizado)</v>
          </cell>
        </row>
        <row r="755">
          <cell r="A755" t="str">
            <v>3179001011 Encarg de Depreciaçao Mais Valia (Realizado)</v>
          </cell>
        </row>
        <row r="756">
          <cell r="A756" t="str">
            <v>3179001012 Encs de Depreciaçao Mais Valia Comb Neg(Realizado)</v>
          </cell>
        </row>
        <row r="757">
          <cell r="A757" t="str">
            <v>3179001014 Encarg de Depreciaçao do AVP (Realizado)</v>
          </cell>
        </row>
        <row r="758">
          <cell r="A758" t="str">
            <v>3179001050 Encarg de Deprec e Amort-Amortizaçao (Realizado)</v>
          </cell>
        </row>
        <row r="759">
          <cell r="A759" t="str">
            <v>3179001054 Encargs de Amortizaçao AVP (Realizado)</v>
          </cell>
        </row>
        <row r="760">
          <cell r="A760" t="str">
            <v>3179001104 Encargs de Amortizaçao Investimentos (Realizado)</v>
          </cell>
        </row>
        <row r="761">
          <cell r="A761" t="str">
            <v>Serviços de terceiros nas DGAs</v>
          </cell>
        </row>
        <row r="762">
          <cell r="A762" t="str">
            <v>3172001010 Serviços Prestados Advocacia p/PJ (Realizado)</v>
          </cell>
        </row>
        <row r="763">
          <cell r="A763" t="str">
            <v>3172001015 Rec Desps c/Honorarios Advocaticios (Realizado)</v>
          </cell>
        </row>
        <row r="764">
          <cell r="A764" t="str">
            <v>3172001040 Serv Prest Advocacia p/PF s/ Vinculo Empr (Realiz)</v>
          </cell>
        </row>
        <row r="765">
          <cell r="A765" t="str">
            <v>3172002010 Serviços Prestados Auditoria  p/PJ (Realizado)</v>
          </cell>
        </row>
        <row r="766">
          <cell r="A766" t="str">
            <v>3172003010 Serviços Prestados Consultoria p/PJ (Realizado)</v>
          </cell>
        </row>
        <row r="767">
          <cell r="A767" t="str">
            <v>3172003040 Serv Prest Consultoria p/PF s/Vinc Empr (Realiz)</v>
          </cell>
        </row>
        <row r="768">
          <cell r="A768" t="str">
            <v>3172007010 Serv Prest Informaçoes Cadastrais p/PJ (Realiz)</v>
          </cell>
        </row>
        <row r="769">
          <cell r="A769" t="str">
            <v>3172008010 Serv Prest Propaganda e Publicidade p/PJ (Realiz)</v>
          </cell>
        </row>
        <row r="770">
          <cell r="A770" t="str">
            <v>3172009010 Serv Prest Atualiz/Suporte Tecnico p/PJ (Realiz)</v>
          </cell>
        </row>
        <row r="771">
          <cell r="A771" t="str">
            <v>3172010010 Serviços Prestados Temporario p/PJ (Realizado)</v>
          </cell>
        </row>
        <row r="772">
          <cell r="A772" t="str">
            <v>3172011010 Serviços Prestados Limpeza p/ PJ (Realizado)</v>
          </cell>
        </row>
        <row r="773">
          <cell r="A773" t="str">
            <v>3172012010 Serviços Prestados Vigilancia PJ (Realiz)</v>
          </cell>
        </row>
        <row r="774">
          <cell r="A774" t="str">
            <v>3172015010 Serv Prest Fretes Carretos s/Compras p/PJ (Realiz)</v>
          </cell>
        </row>
        <row r="775">
          <cell r="A775" t="str">
            <v>3172018010 Serv Prest Reparos Assist Tecnica p/PJ (Realiz)</v>
          </cell>
        </row>
        <row r="776">
          <cell r="A776" t="str">
            <v>3172099010 Prest Serv Tecnicos Profissionais p/PJ (Realiz)</v>
          </cell>
        </row>
        <row r="777">
          <cell r="A777" t="str">
            <v>3172099020 Prest Serv Tec Profissionais p/Coop Trab (Realiz)</v>
          </cell>
        </row>
        <row r="778">
          <cell r="A778" t="str">
            <v>3172099040 Serv Prest Tec Profissionais p/PF s/Vin Empr (R)</v>
          </cell>
        </row>
        <row r="779">
          <cell r="A779" t="str">
            <v>3172150010 Serv Prest Manutençao Civil p/PJ (Realizado)</v>
          </cell>
        </row>
        <row r="780">
          <cell r="A780" t="str">
            <v>3172199010 Serv Prest Manutençao Geral p/PJ (Realizado)</v>
          </cell>
        </row>
        <row r="781">
          <cell r="A781" t="str">
            <v>Outras despesas gerais administrativas</v>
          </cell>
        </row>
        <row r="782">
          <cell r="A782" t="str">
            <v>3170801070 Mat Cons Oper-Reparo e Manutençao (Realiz)</v>
          </cell>
        </row>
        <row r="783">
          <cell r="A783" t="str">
            <v>3170801090 Mat Cons Oper-Limpeza (Realizado)</v>
          </cell>
        </row>
        <row r="784">
          <cell r="A784" t="str">
            <v>3170801100 Mat Cons Oper-Segurança (Realizado)</v>
          </cell>
        </row>
        <row r="785">
          <cell r="A785" t="str">
            <v>3170801130 Mat Cons Oper-Escritorio (Realizado)</v>
          </cell>
        </row>
        <row r="786">
          <cell r="A786" t="str">
            <v>3170801140 Mat Cons Oper-Imobilizado (Realizado)</v>
          </cell>
        </row>
        <row r="787">
          <cell r="A787" t="str">
            <v>3170802990 Materias Consumo-Manutencao em Geral (Realiz)</v>
          </cell>
        </row>
        <row r="788">
          <cell r="A788" t="str">
            <v>3171901010 Sel Recrut-Servs de Tercrs p/Seleçao e Recrut (R)</v>
          </cell>
        </row>
        <row r="789">
          <cell r="A789" t="str">
            <v>3171902010 Despesa Viagens Nacionais (Realizado)</v>
          </cell>
        </row>
        <row r="790">
          <cell r="A790" t="str">
            <v>3171902020 Despesas Viagens Internacionais (Realizado)</v>
          </cell>
        </row>
        <row r="791">
          <cell r="A791" t="str">
            <v>3173501010 Desp Correspondencia-Malote (Realizado)</v>
          </cell>
        </row>
        <row r="792">
          <cell r="A792" t="str">
            <v>3173501020 Desp Correspondencia-Postais (Realizado)</v>
          </cell>
        </row>
        <row r="793">
          <cell r="A793" t="str">
            <v>3173505010 Desp Telec-Desp c/Telefonia Fixa (Realizado)</v>
          </cell>
        </row>
        <row r="794">
          <cell r="A794" t="str">
            <v>3173505020 Desp Telec-Desp c/Telefonia Movel (Realizado)</v>
          </cell>
        </row>
        <row r="795">
          <cell r="A795" t="str">
            <v>3173505030 Desp Telec-Desp Comun Dados EC/FC Internet(Realiz)</v>
          </cell>
        </row>
        <row r="796">
          <cell r="A796" t="str">
            <v>3173505040 Desp Telec-Desp Comum Dados Internet (Realizado)</v>
          </cell>
        </row>
        <row r="797">
          <cell r="A797" t="str">
            <v>3173505060 Desp Telec-Desp Comum Dados Banda Larga(Realizado)</v>
          </cell>
        </row>
        <row r="798">
          <cell r="A798" t="str">
            <v>3173505070 Desp Telec-Desp Comum Dados Video Conferen(Realiz)</v>
          </cell>
        </row>
        <row r="799">
          <cell r="A799" t="str">
            <v>3174001010 DLF-Desp c/Publicidade Atas e Balanços (Realizado)</v>
          </cell>
        </row>
        <row r="800">
          <cell r="A800" t="str">
            <v>3174001020 DLF-Desp Escritur Procuraçoes e Contratos (Realiz)</v>
          </cell>
        </row>
        <row r="801">
          <cell r="A801" t="str">
            <v>3174001030 DLF-Desp Autenticidade Reconhecde Firmas (Realiz)</v>
          </cell>
        </row>
        <row r="802">
          <cell r="A802" t="str">
            <v>3174001040 DLF-Desp c/ Custas Judiciais (Realizado)</v>
          </cell>
        </row>
        <row r="803">
          <cell r="A803" t="str">
            <v>3174001990 DLF-Outras Despesas Legais (Realizado)</v>
          </cell>
        </row>
        <row r="804">
          <cell r="A804" t="str">
            <v>3174002010 DITC-Contribuiçao Sindical Patronal (Realizado)</v>
          </cell>
        </row>
        <row r="805">
          <cell r="A805" t="str">
            <v>3174002020 DITC-Predial e Territorial (Realizado)</v>
          </cell>
        </row>
        <row r="806">
          <cell r="A806" t="str">
            <v>3174002021 DITC-Provisao Imposto Predial Territorial (Realiz)</v>
          </cell>
        </row>
        <row r="807">
          <cell r="A807" t="str">
            <v>3174002030 DITC-Licença e Funcionamento (Realizado)</v>
          </cell>
        </row>
        <row r="808">
          <cell r="A808" t="str">
            <v>3174002040 DITC-ICMS s/Aquisiçao de Imobilizado (Realizado)</v>
          </cell>
        </row>
        <row r="809">
          <cell r="A809" t="str">
            <v>3174002050 DITC-ICMS-Debitos Extemporaneos (Realizado)</v>
          </cell>
        </row>
        <row r="810">
          <cell r="A810" t="str">
            <v>3174002060 DITC-Txs Municipais,Estaduais,Federais (Realizado)</v>
          </cell>
        </row>
        <row r="811">
          <cell r="A811" t="str">
            <v>3174003010 Multas Fiscais Indedutiveis (Realizado)</v>
          </cell>
        </row>
        <row r="812">
          <cell r="A812" t="str">
            <v>3174003020 Multas Fiscais Dedutiveis (Realizado)</v>
          </cell>
        </row>
        <row r="813">
          <cell r="A813" t="str">
            <v>3174003030 Multas Contratuais (Realizado)</v>
          </cell>
        </row>
        <row r="814">
          <cell r="A814" t="str">
            <v>3175001010 Desp Seguro-Automoveis (Realizado)</v>
          </cell>
        </row>
        <row r="815">
          <cell r="A815" t="str">
            <v>3175001020 Desp Seguro-Responsabilidade Civil (Realizado)</v>
          </cell>
        </row>
        <row r="816">
          <cell r="A816" t="str">
            <v>3175001030 Desp Seguro-Risco Nomeado (Realizado)</v>
          </cell>
        </row>
        <row r="817">
          <cell r="A817" t="str">
            <v>3175001040 Desp Seguro-Riscos Diversos (Realizado)</v>
          </cell>
        </row>
        <row r="818">
          <cell r="A818" t="str">
            <v>3176001010 Desp Real Even-Semi Fora da Cia Gestao (Realizado)</v>
          </cell>
        </row>
        <row r="819">
          <cell r="A819" t="str">
            <v>3176001020 Desp Reali Eventos-Eventos Gestao (Realizado)</v>
          </cell>
        </row>
        <row r="820">
          <cell r="A820" t="str">
            <v>3176002010 Desp Eventos Marketing (Realizado)</v>
          </cell>
        </row>
        <row r="821">
          <cell r="A821" t="str">
            <v>3176002020 Desp c/Marketing-Relaçoes Publicas (Realizado)</v>
          </cell>
        </row>
        <row r="822">
          <cell r="A822" t="str">
            <v>3176002030 Desp c/Marketing-Patrocinios (Realizado)</v>
          </cell>
        </row>
        <row r="823">
          <cell r="A823" t="str">
            <v>3177002020 EPCT-Estudos de Engenharia(Realizado)</v>
          </cell>
        </row>
        <row r="824">
          <cell r="A824" t="str">
            <v>3178001990 DPC Ind-Outras Contrib/Doaçoes Indeduts (Realiz)</v>
          </cell>
        </row>
        <row r="825">
          <cell r="A825" t="str">
            <v>3178002050 DPC Ded-Contrib a Entidades de Classes (Realizado)</v>
          </cell>
        </row>
        <row r="826">
          <cell r="A826" t="str">
            <v>3179905030 Desp Alug/Loc.Oper-Loc Equiptos Escritorio(Realiz)</v>
          </cell>
        </row>
        <row r="827">
          <cell r="A827" t="str">
            <v>3179905040 Desp Alug/Loc.Oper-Equip Impressao/Copias(Realiz)</v>
          </cell>
        </row>
        <row r="828">
          <cell r="A828" t="str">
            <v>3179905050 Desp Alug/Loc.Oper-Loc de Equip Telefonia(Realiz)</v>
          </cell>
        </row>
        <row r="829">
          <cell r="A829" t="str">
            <v>3179905100 Desp Alug/Loc.Oper-Aluguel de Imovel (Realizado)</v>
          </cell>
        </row>
        <row r="830">
          <cell r="A830" t="str">
            <v>3179910010 Assin L.IT.J.R-Ass de Jornais e Revistas (Realiz)</v>
          </cell>
        </row>
        <row r="831">
          <cell r="A831" t="str">
            <v>3179910030 Assin L.IT.J.R-Ass Livros/Inform Tecnicos (Realiz)</v>
          </cell>
        </row>
        <row r="832">
          <cell r="A832" t="str">
            <v>3179915010 Desp c/Impressao e Copias fora da Cia (Realizado)</v>
          </cell>
        </row>
        <row r="833">
          <cell r="A833" t="str">
            <v>3179920010 Desp c/Veiculos-Abastecimento (Realizado)</v>
          </cell>
        </row>
        <row r="834">
          <cell r="A834" t="str">
            <v>3179920020 Desp c/Veiculos-Reparos e Manutençoes (Realizado)</v>
          </cell>
        </row>
        <row r="835">
          <cell r="A835" t="str">
            <v>3179920030 Desp c/Veiculos-Peças e Acessorios (Realizado)</v>
          </cell>
        </row>
        <row r="836">
          <cell r="A836" t="str">
            <v>3179920040 Desp c/Veiculos-Lavagem e Lubrificaçao (Realizado)</v>
          </cell>
        </row>
        <row r="837">
          <cell r="A837" t="str">
            <v>3179920050 Desp c/Veiculos-Pedagio e Estacionam (Realizado)</v>
          </cell>
        </row>
        <row r="838">
          <cell r="A838" t="str">
            <v>3179920060 Desp c/Veiculos-Licenciamento (Realizado)</v>
          </cell>
        </row>
        <row r="839">
          <cell r="A839" t="str">
            <v>Outras despesas / receitas operacionais</v>
          </cell>
        </row>
        <row r="840">
          <cell r="A840" t="str">
            <v>Outras receitas operacionais</v>
          </cell>
        </row>
        <row r="841">
          <cell r="A841" t="str">
            <v>3310101010 Receita c/Dividendos Recebidos (Realizado)</v>
          </cell>
        </row>
        <row r="842">
          <cell r="A842" t="str">
            <v>3310105010 Res Liq Bx At Fixo-Rec Alienaç B/D At.Perman (R)</v>
          </cell>
        </row>
        <row r="843">
          <cell r="A843" t="str">
            <v>3310105020 (-)R Liq Bx At Fix-Vlr Contabil B/D Baixados (R)</v>
          </cell>
        </row>
        <row r="844">
          <cell r="A844" t="str">
            <v>3310105030 Outros Custos dos Bens e Direitos Alienados (R)</v>
          </cell>
        </row>
        <row r="845">
          <cell r="A845" t="str">
            <v>3310108990 Outros Imposto Recuperados (Realizado)</v>
          </cell>
        </row>
        <row r="846">
          <cell r="A846" t="str">
            <v>3310115010 Sinistros Indenizado (Realizado)</v>
          </cell>
        </row>
        <row r="847">
          <cell r="A847" t="str">
            <v>Outras despesas operacionais</v>
          </cell>
        </row>
        <row r="848">
          <cell r="A848" t="str">
            <v>3310110010 Desp c/Proc Jud-Tributarios (Realizado)</v>
          </cell>
        </row>
        <row r="849">
          <cell r="A849" t="str">
            <v>3310110011 Desp c/Proc Jud-Constit Contingencias Tributarias</v>
          </cell>
        </row>
        <row r="850">
          <cell r="A850" t="str">
            <v>3310110020 Desp c/Proc Trabalhista (Realizado)</v>
          </cell>
        </row>
        <row r="851">
          <cell r="A851" t="str">
            <v>3310110021 Desp c/Proc Trab-Constit Contingenc Trabalhistas</v>
          </cell>
        </row>
        <row r="852">
          <cell r="A852" t="str">
            <v>3310110031 Desp c/Proc Civeis-Constit Contingencias Civeis</v>
          </cell>
        </row>
        <row r="853">
          <cell r="A853" t="str">
            <v>3310110032 Desp c/Proc Civeis-Rev de Contingencias Civeis</v>
          </cell>
        </row>
        <row r="854">
          <cell r="A854" t="str">
            <v>3310140010 Desp n Cor Multas Indedutiveis (Realizado)</v>
          </cell>
        </row>
        <row r="855">
          <cell r="A855" t="str">
            <v>3310190010 Perdas Operacoes de Credito Incobraveis (Realiz)</v>
          </cell>
        </row>
        <row r="856">
          <cell r="A856" t="str">
            <v>3310190011 Provisao Perdas em Opercao Credito-PCLD</v>
          </cell>
        </row>
        <row r="857">
          <cell r="A857" t="str">
            <v>Resultado de equivalência patrimonial</v>
          </cell>
        </row>
        <row r="858">
          <cell r="A858" t="str">
            <v>3310201010 Result Positivo Participacoes Societarias (R)</v>
          </cell>
        </row>
        <row r="859">
          <cell r="A859" t="str">
            <v>3310201020 Result Negativo Paticipacoes Societarias (R)</v>
          </cell>
        </row>
        <row r="860">
          <cell r="A860" t="str">
            <v>Resultado financeiro</v>
          </cell>
        </row>
        <row r="861">
          <cell r="A861" t="str">
            <v>Receitas financeiras</v>
          </cell>
        </row>
        <row r="862">
          <cell r="A862" t="str">
            <v>Receita de equivalentes de caixa e TVM</v>
          </cell>
        </row>
        <row r="863">
          <cell r="A863" t="str">
            <v>3510101010 Rec Financ-Juros s/Aplic Financeiras (Realizado)</v>
          </cell>
        </row>
        <row r="864">
          <cell r="A864" t="str">
            <v>Outras receitas financeiras</v>
          </cell>
        </row>
        <row r="865">
          <cell r="A865" t="str">
            <v>3510101090 Rec Financ-Juros s/Capital Proprio (Realizado)</v>
          </cell>
        </row>
        <row r="866">
          <cell r="A866" t="str">
            <v>3510101990 Rec Financ-Juros s/Outros Ativos (Realizado)</v>
          </cell>
        </row>
        <row r="867">
          <cell r="A867" t="str">
            <v>3510102011 Rec Financ-Prov Var Monet s/ Depositos Judiciais</v>
          </cell>
        </row>
        <row r="868">
          <cell r="A868" t="str">
            <v>3510102020 Rec Financ-Var Monet s/Impostos a Recup. (Realiza)</v>
          </cell>
        </row>
        <row r="869">
          <cell r="A869" t="str">
            <v>3510102990 Rec Finan-Var Monetaria s/Outros Ativos(Realizado)</v>
          </cell>
        </row>
        <row r="870">
          <cell r="A870" t="str">
            <v>3510103010 Rec Financ-Encargos s/Cobrança Duplic(Realizado)</v>
          </cell>
        </row>
        <row r="871">
          <cell r="A871" t="str">
            <v>3510103030 Rec Financ-Descontos Obtidos (Realizado)</v>
          </cell>
        </row>
        <row r="872">
          <cell r="A872" t="str">
            <v>3510105010 Rec Financ-Bonificaçoes s/Adm Apolice (Realizado)</v>
          </cell>
        </row>
        <row r="873">
          <cell r="A873" t="str">
            <v>3510105020 Rec Financ-Bonificações s/ Pagamentos (Realizado)</v>
          </cell>
        </row>
        <row r="874">
          <cell r="A874" t="str">
            <v>3510106014 Rec Financ-Cont.AVP/ICMS Recup s/Aquis de At.Fixo</v>
          </cell>
        </row>
        <row r="875">
          <cell r="A875" t="str">
            <v>3510199990 Rec Financ-Demais Receitas Financeiras (Realizado)</v>
          </cell>
        </row>
        <row r="876">
          <cell r="A876" t="str">
            <v>Despesas financeiras</v>
          </cell>
        </row>
        <row r="877">
          <cell r="A877" t="str">
            <v>Juros de empréstimos e financiamentos</v>
          </cell>
        </row>
        <row r="878">
          <cell r="A878" t="str">
            <v>3510201010 (-)Desp Financ-Juros s/Emprestimos (Realizado)</v>
          </cell>
        </row>
        <row r="879">
          <cell r="A879" t="str">
            <v>Outras despesas financeiras</v>
          </cell>
        </row>
        <row r="880">
          <cell r="A880" t="str">
            <v>3510201020 (-)Desp Financ-Juros s/Pgtos em Atraso (Realizado)</v>
          </cell>
        </row>
        <row r="881">
          <cell r="A881" t="str">
            <v>3510201990 (-)Desp Financ-Juros s/Outros Passivos (Realizado)</v>
          </cell>
        </row>
        <row r="882">
          <cell r="A882" t="str">
            <v>3510202030 Desp Financ-Var Monet s/Pgto Imposto em Atraso(R)</v>
          </cell>
        </row>
        <row r="883">
          <cell r="A883" t="str">
            <v>3510202990 Desp Financ-Var Monet s/Outros Passivos(Realizado)</v>
          </cell>
        </row>
        <row r="884">
          <cell r="A884" t="str">
            <v>3510202991 Desp Financ-Prov Var Monetaria s/Contingencias</v>
          </cell>
        </row>
        <row r="885">
          <cell r="A885" t="str">
            <v>3510203020 Desp Financ-Encarg/Outros-Custas Judiciais(Realiz)</v>
          </cell>
        </row>
        <row r="886">
          <cell r="A886" t="str">
            <v>3510203500 Desp Financ-Encarg/Outros-I.O.C / I.O.F(Realizado)</v>
          </cell>
        </row>
        <row r="887">
          <cell r="A887" t="str">
            <v>3510203504 Ajuste a Valor Justo</v>
          </cell>
        </row>
        <row r="888">
          <cell r="A888" t="str">
            <v>3510204010 Desp Financ-EFE-Comissoes s/Aquis Empres Amort(R)</v>
          </cell>
        </row>
        <row r="889">
          <cell r="A889" t="str">
            <v>3510205010 Desp Financ-Bancarias-Comissoes (Ralizado)</v>
          </cell>
        </row>
        <row r="890">
          <cell r="A890" t="str">
            <v>3510205014 Ajuste a Valor Justo</v>
          </cell>
        </row>
        <row r="891">
          <cell r="A891" t="str">
            <v>3510205020 Desp Financ-Bancarias-Corretagens (Realiz)</v>
          </cell>
        </row>
        <row r="892">
          <cell r="A892" t="str">
            <v>3510205030 Desp Financ-Bancarias-Comissoes Fiança (Realiz)</v>
          </cell>
        </row>
        <row r="893">
          <cell r="A893" t="str">
            <v>3510205040 Desp Financ-Bancaria-Txa Expediente (Realiz)</v>
          </cell>
        </row>
        <row r="894">
          <cell r="A894" t="str">
            <v>3510299990 Demais Despesas Financeiras (Realizado)</v>
          </cell>
        </row>
        <row r="895">
          <cell r="A895" t="str">
            <v>Perdas cambiais financieras, líquidas</v>
          </cell>
        </row>
        <row r="896">
          <cell r="A896" t="str">
            <v>Variações cambiais passivas sobre empréstimos</v>
          </cell>
        </row>
        <row r="897">
          <cell r="A897" t="str">
            <v>3530102040 Var C Liq Pas-Perda Va rCamb s/Empres Exterior(R)</v>
          </cell>
        </row>
        <row r="898">
          <cell r="A898" t="str">
            <v>Outras variações cambiais</v>
          </cell>
        </row>
        <row r="899">
          <cell r="A899" t="str">
            <v>3530101010 Var C Liq At-Ganho Var Camb s/Receb Exterior (R)</v>
          </cell>
        </row>
        <row r="900">
          <cell r="A900" t="str">
            <v>3530101020 Var C Liq At-Perda Var Camb s/Receb Exterior (R)</v>
          </cell>
        </row>
        <row r="901">
          <cell r="A901" t="str">
            <v>3530102010 Var C Liq Pas-Ganho Var Camb s/Exigiv Exterior(R)</v>
          </cell>
        </row>
        <row r="902">
          <cell r="A902" t="str">
            <v>3530102020 Var C Liq Pas-Perda Var Camb s/Exigiv Exterior(R)</v>
          </cell>
        </row>
        <row r="903">
          <cell r="A903" t="str">
            <v>Imposto de renda e constribuição social</v>
          </cell>
        </row>
        <row r="904">
          <cell r="A904" t="str">
            <v>Corrente</v>
          </cell>
        </row>
        <row r="905">
          <cell r="A905" t="str">
            <v>3910101011 (-)Prov CSLL/Exerc.Corrente-CSLL Ajustado (Realiz)</v>
          </cell>
        </row>
        <row r="906">
          <cell r="A906" t="str">
            <v>3910101014 (-)Prov CSLL/Exerc.Corrente-CSLL Aj Aliq Efet (Rea</v>
          </cell>
        </row>
        <row r="907">
          <cell r="A907" t="str">
            <v>3920101011 (-)Prov IRPJ/Exerc.Correne-IRPJ s/Lucro Real</v>
          </cell>
        </row>
        <row r="908">
          <cell r="A908" t="str">
            <v>3920101014 (-)Prov IRPJ/Exerc.Corrente Aj Aliq Efetiva (Reali</v>
          </cell>
        </row>
        <row r="909">
          <cell r="A909" t="str">
            <v>Diferido</v>
          </cell>
        </row>
        <row r="910">
          <cell r="A910" t="str">
            <v>3910101021 (-)Prov CSLL/Exerc.Corrente-CSLL Diferido Ativos</v>
          </cell>
        </row>
        <row r="911">
          <cell r="A911" t="str">
            <v>3910101041 (-)Prov CSLL Diferida Base Negativa</v>
          </cell>
        </row>
        <row r="912">
          <cell r="A912" t="str">
            <v>3910102011 Prov CSLL/Exerc Ant-Prov CSLL Exerc Anterior</v>
          </cell>
        </row>
        <row r="913">
          <cell r="A913" t="str">
            <v>3920101021 (-)Prov IRPJ/Exerc.Corrente-IRPJ Diferido Ativos</v>
          </cell>
        </row>
        <row r="914">
          <cell r="A914" t="str">
            <v>3920101041 (-)Prov IRPJ Diferido Prej Fiscal</v>
          </cell>
        </row>
        <row r="915">
          <cell r="A915" t="str">
            <v>3920102011 Prov IRPJ/Exerc.Ant-Prov IRPJ Exerc Anterior</v>
          </cell>
        </row>
      </sheetData>
      <sheetData sheetId="9" refreshError="1">
        <row r="1">
          <cell r="A1" t="str">
            <v>NOVEMBRO - 2 0 1 4</v>
          </cell>
        </row>
        <row r="2">
          <cell r="A2" t="str">
            <v>ATIVO</v>
          </cell>
        </row>
        <row r="3">
          <cell r="A3" t="str">
            <v>CIRCULANTE</v>
          </cell>
        </row>
        <row r="4">
          <cell r="A4" t="str">
            <v>CAIXA E EQUIVALENTE DE CAIXA</v>
          </cell>
        </row>
        <row r="5">
          <cell r="A5" t="str">
            <v>Recursos em caixa e contas correntes bancária</v>
          </cell>
        </row>
        <row r="6">
          <cell r="A6" t="str">
            <v>1110102030 Banco Itau (Realizado)</v>
          </cell>
        </row>
        <row r="7">
          <cell r="A7" t="str">
            <v>1110102040 Banco Santander (Realizado)</v>
          </cell>
        </row>
        <row r="8">
          <cell r="A8" t="str">
            <v>1110102072 Banco Safra (Transitorias - Saidas)</v>
          </cell>
        </row>
        <row r="9">
          <cell r="A9" t="str">
            <v>1110102080 Banco Votorantin (Realizado)</v>
          </cell>
        </row>
        <row r="10">
          <cell r="A10" t="str">
            <v>1110102100 Banco Pactual S.A.(Realizado)</v>
          </cell>
        </row>
        <row r="11">
          <cell r="A11" t="str">
            <v>1110102120 Banco Alfa de Investimentos S.A. (Realizado)</v>
          </cell>
        </row>
        <row r="12">
          <cell r="A12" t="str">
            <v>1110102210 Banco do Brasil  (Realizado)</v>
          </cell>
        </row>
        <row r="13">
          <cell r="A13" t="str">
            <v>1110102220 Banco Bradesco (Realizado)</v>
          </cell>
        </row>
        <row r="14">
          <cell r="A14" t="str">
            <v>1110102240 Banco Santander (Realizado)</v>
          </cell>
        </row>
        <row r="15">
          <cell r="A15" t="str">
            <v>1110102250 Caixa Economica Federal (Realizado)</v>
          </cell>
        </row>
        <row r="16">
          <cell r="A16" t="str">
            <v>1110102270 Banco Safra (Transitorias - Saidas)</v>
          </cell>
        </row>
        <row r="17">
          <cell r="A17" t="str">
            <v>1110102290 Banco Paulista (Realizado)</v>
          </cell>
        </row>
        <row r="18">
          <cell r="A18" t="str">
            <v>1110102320 Banco Bradesco (Realizado)</v>
          </cell>
        </row>
        <row r="19">
          <cell r="A19" t="str">
            <v>1110102350 Caixa Economica Federal (Realizado)</v>
          </cell>
        </row>
        <row r="20">
          <cell r="A20" t="str">
            <v>Aplicações Financeiras (CDBs)</v>
          </cell>
        </row>
        <row r="21">
          <cell r="A21" t="str">
            <v>1110105010 Aplicaçoes Financeiras (Realizado)</v>
          </cell>
        </row>
        <row r="22">
          <cell r="A22" t="str">
            <v>APLICAÇÕES FINANCEIRAS</v>
          </cell>
        </row>
        <row r="23">
          <cell r="A23" t="str">
            <v>Mantidos para negociação</v>
          </cell>
        </row>
        <row r="24">
          <cell r="A24" t="str">
            <v>1110201010 Tits do Merc de Cap Inter Mant p/ Neg (Realizado)</v>
          </cell>
        </row>
        <row r="25">
          <cell r="A25" t="str">
            <v>Mantidos até o vencimento</v>
          </cell>
        </row>
        <row r="26">
          <cell r="A26" t="str">
            <v>1110201020 Tits do Merc de Cap Inter Mant ate Ven (Realizado)</v>
          </cell>
        </row>
        <row r="27">
          <cell r="A27" t="str">
            <v>DUPLICATAS A RECEBER DE CLIENTES</v>
          </cell>
        </row>
        <row r="28">
          <cell r="A28" t="str">
            <v>Clientes nacionais</v>
          </cell>
        </row>
        <row r="29">
          <cell r="A29" t="str">
            <v>1110501010 Duplicatas a Receber no MI  (Realizado)</v>
          </cell>
        </row>
        <row r="30">
          <cell r="A30" t="str">
            <v>1110501011 Duplicatas a Receber no MI (Parcela de CP / LP)</v>
          </cell>
        </row>
        <row r="31">
          <cell r="A31" t="str">
            <v>1110501014 (-)Rec Financeira a apropriar s/Dups a Rec no MI</v>
          </cell>
        </row>
        <row r="32">
          <cell r="A32" t="str">
            <v>PCLD</v>
          </cell>
        </row>
        <row r="33">
          <cell r="A33" t="str">
            <v>1110501900 (-) Provisões para Créditos de Liquidação Duvidosa</v>
          </cell>
        </row>
        <row r="34">
          <cell r="A34" t="str">
            <v>IMPOSTOS A RECUPERAR</v>
          </cell>
        </row>
        <row r="35">
          <cell r="A35" t="str">
            <v>Impostos de renda e CSLL</v>
          </cell>
        </row>
        <row r="36">
          <cell r="A36" t="str">
            <v>1111505990 Cred Fisc CSLL- Sdo Negativo Per Anterior (Realiz)</v>
          </cell>
        </row>
        <row r="37">
          <cell r="A37" t="str">
            <v>1111506990 Cred Fisc IRPJ Sdo Negativo Per Anterior (Realiz)</v>
          </cell>
        </row>
        <row r="38">
          <cell r="A38" t="str">
            <v>ICMS a recuperar</v>
          </cell>
        </row>
        <row r="39">
          <cell r="A39" t="str">
            <v>1111507010 ICMS a Recup sobre Ativo Permanente (Realizado)</v>
          </cell>
        </row>
        <row r="40">
          <cell r="A40" t="str">
            <v>1111507014 (-)AVP sobre ICMS a Recup sobre Ativo Permanente</v>
          </cell>
        </row>
        <row r="41">
          <cell r="A41" t="str">
            <v>INSS a compensar</v>
          </cell>
        </row>
        <row r="42">
          <cell r="A42" t="str">
            <v>1111599070 INSS a Compensar  - Decisão Judicial (Realizado)</v>
          </cell>
        </row>
        <row r="43">
          <cell r="A43" t="str">
            <v>PIS a compensar Lei nº 9.715</v>
          </cell>
        </row>
        <row r="44">
          <cell r="A44" t="str">
            <v>1111599000 PIS a Compensar Lei 9715 (Realizado)</v>
          </cell>
        </row>
        <row r="45">
          <cell r="A45" t="str">
            <v>Outros</v>
          </cell>
        </row>
        <row r="46">
          <cell r="A46" t="str">
            <v>1111599010 Imp Import a Rec-Recolhimento em Dupl (Realiz)</v>
          </cell>
        </row>
        <row r="47">
          <cell r="A47" t="str">
            <v>1111599020 INSS a Rec-Recolhimento em Duplicidade (Realizado)</v>
          </cell>
        </row>
        <row r="48">
          <cell r="A48" t="str">
            <v>1111599030 Adic Estadual doImposto de Renda a Rec (Realizado)</v>
          </cell>
        </row>
        <row r="49">
          <cell r="A49" t="str">
            <v>1111599040 FINSOCIAL 1982/83 (Realizado)</v>
          </cell>
        </row>
        <row r="50">
          <cell r="A50" t="str">
            <v>1111599050 IRRF Tercs Ret a Maior (Realizado)</v>
          </cell>
        </row>
        <row r="51">
          <cell r="A51" t="str">
            <v>1111599060 PIS/COF/COF Ret a maior (Realizado)</v>
          </cell>
        </row>
        <row r="52">
          <cell r="A52" t="str">
            <v>1111599080 ISS a restituir</v>
          </cell>
        </row>
        <row r="53">
          <cell r="A53" t="str">
            <v>ESTOQUES</v>
          </cell>
        </row>
        <row r="54">
          <cell r="A54" t="str">
            <v>Matérias-primas</v>
          </cell>
        </row>
        <row r="55">
          <cell r="A55" t="str">
            <v>1112090010 Importaçoes em And de Materias Primas (Realizado)</v>
          </cell>
        </row>
        <row r="56">
          <cell r="A56" t="str">
            <v>Produtos em processo</v>
          </cell>
        </row>
        <row r="57">
          <cell r="A57" t="str">
            <v>1112003010 Estoques de Produtos em Elaboraçao (Realizado)</v>
          </cell>
        </row>
        <row r="58">
          <cell r="A58" t="str">
            <v>Produtos Acabados</v>
          </cell>
        </row>
        <row r="59">
          <cell r="A59" t="str">
            <v>1112010010 Estoques de Produtos Acabados (Realizado)</v>
          </cell>
        </row>
        <row r="60">
          <cell r="A60" t="str">
            <v>1112050010 Estoques de Mercadorias Rev Nacionais (Realizado)</v>
          </cell>
        </row>
        <row r="61">
          <cell r="A61" t="str">
            <v>1112050020 Estoques de Mercadorias Rev Importadas (Realizado)</v>
          </cell>
        </row>
        <row r="62">
          <cell r="A62" t="str">
            <v>Provisão para desvalorização</v>
          </cell>
        </row>
        <row r="63">
          <cell r="A63" t="str">
            <v>1112010014 (-)Prov p/ Aj. do Est ao Vlr de Merc - Prods Acab</v>
          </cell>
        </row>
        <row r="64">
          <cell r="A64" t="str">
            <v>Materiais auxiliares e embalagens</v>
          </cell>
        </row>
        <row r="65">
          <cell r="A65" t="str">
            <v>1112005010 Estoques de Insumos (Mat-Aux) (Realiz)</v>
          </cell>
        </row>
        <row r="66">
          <cell r="A66" t="str">
            <v>1112008010 Estoques de Materiais de Embalagens (Realizado)</v>
          </cell>
        </row>
        <row r="67">
          <cell r="A67" t="str">
            <v>Materiais de manutenção e outros</v>
          </cell>
        </row>
        <row r="68">
          <cell r="A68" t="str">
            <v>1112020020 Estoque Almoxarif CP-Manutençao Eletrica (Realiz)</v>
          </cell>
        </row>
        <row r="69">
          <cell r="A69" t="str">
            <v>1112020030 Estoque Almoxarif CP-Manutençao Mecanica (Realiz)</v>
          </cell>
        </row>
        <row r="70">
          <cell r="A70" t="str">
            <v>1112020050 Estoq Alm CP-Manut Calderaria e Tubulaçao (Realiz)</v>
          </cell>
        </row>
        <row r="71">
          <cell r="A71" t="str">
            <v>1112020060 Estoque Alm CP-Manutençao Instrumentaçao (Realiz)</v>
          </cell>
        </row>
        <row r="72">
          <cell r="A72" t="str">
            <v>1112020070 Estoque Alm CP-Manutençao Celula HG (Realizado)</v>
          </cell>
        </row>
        <row r="73">
          <cell r="A73" t="str">
            <v>1112020080 Estoque Almo CP-Manut Celula Diafragma (Realizado)</v>
          </cell>
        </row>
        <row r="74">
          <cell r="A74" t="str">
            <v>1112020090 Estoque Alm CP-Manutençao Celula Membrana (Realiz)</v>
          </cell>
        </row>
        <row r="75">
          <cell r="A75" t="str">
            <v>1112020100 Estoque Alm CP-Manut.de Cilindros e Carretas R</v>
          </cell>
        </row>
        <row r="76">
          <cell r="A76" t="str">
            <v>1112020490 Estoque Almo CP-Manutençao em Geral (Realizado)</v>
          </cell>
        </row>
        <row r="77">
          <cell r="A77" t="str">
            <v>1112020500 Estoque Alm CP-Almoxarifado de Uso Geral (Realiz)</v>
          </cell>
        </row>
        <row r="78">
          <cell r="A78" t="str">
            <v>1112020991 Estoque Almoxarifado Transf. Parcela Realizada L.P</v>
          </cell>
        </row>
        <row r="79">
          <cell r="A79" t="str">
            <v>1112080200 Etq de Outros Mats-Almox em Poder de Ters (Realiz)</v>
          </cell>
        </row>
        <row r="80">
          <cell r="A80" t="str">
            <v>DESPESAS DE EXERCICIO SEGUINTE</v>
          </cell>
        </row>
        <row r="81">
          <cell r="A81" t="str">
            <v>Pagamentos Antecipados</v>
          </cell>
        </row>
        <row r="82">
          <cell r="A82" t="str">
            <v>1119001010 Pagamentos Antecipados-Seguros (Realizado)</v>
          </cell>
        </row>
        <row r="83">
          <cell r="A83" t="str">
            <v>1119001030 Pagamentos Antecip-Serv Tecnicos Prof (Realizado)</v>
          </cell>
        </row>
        <row r="84">
          <cell r="A84" t="str">
            <v>1119001040 Pagamentos Antecipados-Impostos (Realizado)</v>
          </cell>
        </row>
        <row r="85">
          <cell r="A85" t="str">
            <v>1119001050 Pagtos Antecip-Contribuiçoes Associativas (Realiz)</v>
          </cell>
        </row>
        <row r="86">
          <cell r="A86" t="str">
            <v>1119001900 Pagtos Antecip-Outras Desps/Custos(Realizado)</v>
          </cell>
        </row>
        <row r="87">
          <cell r="A87" t="str">
            <v>OUTROS ATIVOS CIRCULANTE</v>
          </cell>
        </row>
        <row r="88">
          <cell r="A88" t="str">
            <v>Adiantamento a Fornecedores</v>
          </cell>
        </row>
        <row r="89">
          <cell r="A89" t="str">
            <v>1118001010 Adiantamentos a Fornec de Serviços (Realizado)</v>
          </cell>
        </row>
        <row r="90">
          <cell r="A90" t="str">
            <v>1118001020 Adiantamentos a Fornecedores de MP (Realizado)</v>
          </cell>
        </row>
        <row r="91">
          <cell r="A91" t="str">
            <v>1118001030 Adiantamentos a Fornecedores de Energ (Realizado)</v>
          </cell>
        </row>
        <row r="92">
          <cell r="A92" t="str">
            <v>1118001040 Adiant  Fornecs de Materias de Consumo (Realizado)</v>
          </cell>
        </row>
        <row r="93">
          <cell r="A93" t="str">
            <v>1118001050 Adiant Fornecs de Funcionarios (Realizado)</v>
          </cell>
        </row>
        <row r="94">
          <cell r="A94" t="str">
            <v>1118001060 Adiantamentos a Fornecedores de Fretes</v>
          </cell>
        </row>
        <row r="95">
          <cell r="A95" t="str">
            <v>1118001070 Adiantamentos a Fornecedores do Exterior</v>
          </cell>
        </row>
        <row r="96">
          <cell r="A96" t="str">
            <v>Créditos a receber na venda de ativos</v>
          </cell>
        </row>
        <row r="97">
          <cell r="A97" t="str">
            <v>1118099060 Outros Créditos- Contratos a Receber (Realizado)</v>
          </cell>
        </row>
        <row r="98">
          <cell r="A98" t="str">
            <v>Outros Créditos</v>
          </cell>
        </row>
        <row r="99">
          <cell r="A99" t="str">
            <v>1118002010 Adiantamentos a Empregados Salarios (Realizado)</v>
          </cell>
        </row>
        <row r="100">
          <cell r="A100" t="str">
            <v>1118002020 Adiantamentos a Empregados 13º Salario (Realizado)</v>
          </cell>
        </row>
        <row r="101">
          <cell r="A101" t="str">
            <v>1118002030 Adiantamentos a Empregados Ferias (Realizado)</v>
          </cell>
        </row>
        <row r="102">
          <cell r="A102" t="str">
            <v>1118002050 Adiant a Empregados Plano Auxilio Doen (Realizado)</v>
          </cell>
        </row>
        <row r="103">
          <cell r="A103" t="str">
            <v>1118002060 Adto a Empregados Cobertura de Sdo Devedor (R)</v>
          </cell>
        </row>
        <row r="104">
          <cell r="A104" t="str">
            <v>1118002090 Adto a Empregados Desp de Resp de Funcionario (R)</v>
          </cell>
        </row>
        <row r="105">
          <cell r="A105" t="str">
            <v>1118099020 Outros Creditos-Depositos e Cauçoes (Realizado)</v>
          </cell>
        </row>
        <row r="106">
          <cell r="A106" t="str">
            <v>NÃO CIRCULANTE</v>
          </cell>
        </row>
        <row r="107">
          <cell r="A107" t="str">
            <v>DUPLICATAS A RECEBER DE CLIENTES</v>
          </cell>
        </row>
        <row r="108">
          <cell r="A108" t="str">
            <v>Clientes nacionais</v>
          </cell>
        </row>
        <row r="109">
          <cell r="A109" t="str">
            <v>1710501011 Duplicatas a Receber no MI LP (Parcela de CP / LP)</v>
          </cell>
        </row>
        <row r="110">
          <cell r="A110" t="str">
            <v>1710501014 (-)Rec Fin a apr s/ Dups a Rec no MI LP (P CP/LP)</v>
          </cell>
        </row>
        <row r="111">
          <cell r="A111" t="str">
            <v>IMPOSTOS A RECUPERAR</v>
          </cell>
        </row>
        <row r="112">
          <cell r="A112" t="str">
            <v>ICMS a Recuperar</v>
          </cell>
        </row>
        <row r="113">
          <cell r="A113" t="str">
            <v>1711507010 ICMS a Recuperar s/e Ativo Permanet LP (Realizado)</v>
          </cell>
        </row>
        <row r="114">
          <cell r="A114" t="str">
            <v>1711507014 (-)AVP s/ ICMS a Recuperar s/ Ativo Permanente LP</v>
          </cell>
        </row>
        <row r="115">
          <cell r="A115" t="str">
            <v>Outros</v>
          </cell>
        </row>
        <row r="116">
          <cell r="A116" t="str">
            <v>1711599040 FINSOCIAL 1982/83 (Realizado)</v>
          </cell>
        </row>
        <row r="117">
          <cell r="A117" t="str">
            <v>ESTOQUES</v>
          </cell>
        </row>
        <row r="118">
          <cell r="A118" t="str">
            <v>Materiais de Almoxarifado de Giro Baixo</v>
          </cell>
        </row>
        <row r="119">
          <cell r="A119" t="str">
            <v>1712020991 Estoque Almoxarifado Parcela Realizada LP</v>
          </cell>
        </row>
        <row r="120">
          <cell r="A120" t="str">
            <v>DEPÓSITOS JUDICIAIS</v>
          </cell>
        </row>
        <row r="121">
          <cell r="A121" t="str">
            <v>Tributários</v>
          </cell>
        </row>
        <row r="122">
          <cell r="A122" t="str">
            <v>1719001010 Dep Jud s/Res Trib Fed R</v>
          </cell>
        </row>
        <row r="123">
          <cell r="A123" t="str">
            <v>1719001011 ATM Dep Jud s/Res Trib Fed R</v>
          </cell>
        </row>
        <row r="124">
          <cell r="A124" t="str">
            <v>1719001030 Depos Jud s/Reserva-Imp, Taxas e Contrib Munic (R)</v>
          </cell>
        </row>
        <row r="125">
          <cell r="A125" t="str">
            <v>Trabalhistas</v>
          </cell>
        </row>
        <row r="126">
          <cell r="A126" t="str">
            <v>1719002010 Depos Jud s/Reserva-Reclamaçoes Trab (Realizado)</v>
          </cell>
        </row>
        <row r="127">
          <cell r="A127" t="str">
            <v>1719002030 Dep Judiciais s/Res -Previdenciarios (Realizado)</v>
          </cell>
        </row>
        <row r="128">
          <cell r="A128" t="str">
            <v>Outros depósitos judiciais</v>
          </cell>
        </row>
        <row r="129">
          <cell r="A129" t="str">
            <v>1719003990 Outros Dep Judic s/Reserva de Nat Oper (Realizado)</v>
          </cell>
        </row>
        <row r="130">
          <cell r="A130" t="str">
            <v>1719003991 ATM Outros Dep Judic s/Reserva Nat Oper (Realiz)</v>
          </cell>
        </row>
        <row r="131">
          <cell r="A131" t="str">
            <v>OUTROS ATIVOS NÃO CIRCULANTES</v>
          </cell>
        </row>
        <row r="132">
          <cell r="A132" t="str">
            <v>Créditos a receber na venda de ativos</v>
          </cell>
        </row>
        <row r="133">
          <cell r="A133" t="str">
            <v>1718099060 Outros Créditos- Contratos a Receber (Realizado)</v>
          </cell>
        </row>
        <row r="134">
          <cell r="A134" t="str">
            <v>INVESTIMENTOS</v>
          </cell>
        </row>
        <row r="135">
          <cell r="A135" t="str">
            <v>PARTICIPAÇÃO EM COLIGADA</v>
          </cell>
        </row>
        <row r="136">
          <cell r="A136" t="str">
            <v>Tecsis tecnologia e sistemas avançados</v>
          </cell>
        </row>
        <row r="137">
          <cell r="A137" t="str">
            <v>1720201010 Cto Part Per em Coligada ou ControladaTecsis</v>
          </cell>
        </row>
        <row r="138">
          <cell r="A138" t="str">
            <v>1720201012 Agios em Partic Per Colig ou Control - Tecsis</v>
          </cell>
        </row>
        <row r="139">
          <cell r="A139" t="str">
            <v>1720201014 Vlr Justo Ativos em Part Per Col Cont Tecsis</v>
          </cell>
        </row>
        <row r="140">
          <cell r="A140" t="str">
            <v>1720201015 Realização Vlr Justo em Part Per Col Cont -Tecsis</v>
          </cell>
        </row>
        <row r="141">
          <cell r="A141" t="str">
            <v>1720201018 Ajust Aval Patrimonial em Part Per Col Cont Tecsis</v>
          </cell>
        </row>
        <row r="142">
          <cell r="A142" t="str">
            <v>IMOBILIZADO</v>
          </cell>
        </row>
        <row r="143">
          <cell r="A143" t="str">
            <v>CUSTO</v>
          </cell>
        </row>
        <row r="144">
          <cell r="A144" t="str">
            <v>Terrenos</v>
          </cell>
        </row>
        <row r="145">
          <cell r="A145" t="str">
            <v>1740101010 Imobilizado-Custo dos Terrenos</v>
          </cell>
        </row>
        <row r="146">
          <cell r="A146" t="str">
            <v>1740101011 Imobilizado-Mais Valia dos Terrenos</v>
          </cell>
        </row>
        <row r="147">
          <cell r="A147" t="str">
            <v>1740101012 Imobilizado-Mais Valia Comb Neg dos Terrenos</v>
          </cell>
        </row>
        <row r="148">
          <cell r="A148" t="str">
            <v>Edificações e construções</v>
          </cell>
        </row>
        <row r="149">
          <cell r="A149" t="str">
            <v>1740102010 Imobilizado-Custo dos Edificios</v>
          </cell>
        </row>
        <row r="150">
          <cell r="A150" t="str">
            <v>1740102011 Imobilizado-Mais Valia dos Edificios</v>
          </cell>
        </row>
        <row r="151">
          <cell r="A151" t="str">
            <v>1740102012 Imobilizado-Mais Valia Comb Negocios dos Edificios</v>
          </cell>
        </row>
        <row r="152">
          <cell r="A152" t="str">
            <v>1740102014 Imobilizado-Contrapartida do AVP de Edificios</v>
          </cell>
        </row>
        <row r="153">
          <cell r="A153" t="str">
            <v>1740102020 Imobilizado-Custo das Benfeitorias</v>
          </cell>
        </row>
        <row r="154">
          <cell r="A154" t="str">
            <v>1740102021 Imobilizado-Mais Valia Benfeitorias</v>
          </cell>
        </row>
        <row r="155">
          <cell r="A155" t="str">
            <v>1740102022 Imobilizado-Mais Valia Comb Neg Benfeitorias</v>
          </cell>
        </row>
        <row r="156">
          <cell r="A156" t="str">
            <v>1740102024 Imobilizado-Contrapartida do AVP de Beneficios</v>
          </cell>
        </row>
        <row r="157">
          <cell r="A157" t="str">
            <v>Equipamentos e Instalações</v>
          </cell>
        </row>
        <row r="158">
          <cell r="A158" t="str">
            <v>1740103010 Imobilizado-Custo de Equipamentos</v>
          </cell>
        </row>
        <row r="159">
          <cell r="A159" t="str">
            <v>1740103011 Imobilizado-Mais Valia Equipamentos</v>
          </cell>
        </row>
        <row r="160">
          <cell r="A160" t="str">
            <v>1740103012 Imobilizado-Mais Valia Comb Neg Equipamentos</v>
          </cell>
        </row>
        <row r="161">
          <cell r="A161" t="str">
            <v>1740103014 Imobilizado-AVP Equipamentos</v>
          </cell>
        </row>
        <row r="162">
          <cell r="A162" t="str">
            <v>1740103020 Imobilizado-Custo dos Sobressalentes</v>
          </cell>
        </row>
        <row r="163">
          <cell r="A163" t="str">
            <v>1740103021 Imobilizado-Mais Valia dos Sobressalentes</v>
          </cell>
        </row>
        <row r="164">
          <cell r="A164" t="str">
            <v>1740103022 Imobilizado-Custo dos Sobressalentes</v>
          </cell>
        </row>
        <row r="165">
          <cell r="A165" t="str">
            <v>1740105020 Imobilizado-Custo de Veiculos Fora de Estrada</v>
          </cell>
        </row>
        <row r="166">
          <cell r="A166" t="str">
            <v>Veículos</v>
          </cell>
        </row>
        <row r="167">
          <cell r="A167" t="str">
            <v>1740105010 Imob-Custo de Veiculos de Passageiros e Carga</v>
          </cell>
        </row>
        <row r="168">
          <cell r="A168" t="str">
            <v>1740105011 Imob-Mais Valia de Veiculos de Passageiros e Carga</v>
          </cell>
        </row>
        <row r="169">
          <cell r="A169" t="str">
            <v>1740105012 Imob-Mais Valia de Veiculos de Passageiros e Carga</v>
          </cell>
        </row>
        <row r="170">
          <cell r="A170" t="str">
            <v>1740105014 Imob-AVP de Veiculos de Passageiros e Carga</v>
          </cell>
        </row>
        <row r="171">
          <cell r="A171" t="str">
            <v>Móveis e utensílios</v>
          </cell>
        </row>
        <row r="172">
          <cell r="A172" t="str">
            <v>1740104010 Imob-Custo de Moveis, Utensilios e Inst Comerciais</v>
          </cell>
        </row>
        <row r="173">
          <cell r="A173" t="str">
            <v>1740104014 Imob-AVP de Moveis, Utensilios e Inst Comerciais</v>
          </cell>
        </row>
        <row r="174">
          <cell r="A174" t="str">
            <v>Demais bens</v>
          </cell>
        </row>
        <row r="175">
          <cell r="A175" t="str">
            <v>1740199010 Imobilizado-Custo de Material Auxiliar Permanente</v>
          </cell>
        </row>
        <row r="176">
          <cell r="A176" t="str">
            <v>1740199070 Imobilizado-Custo de Computadores e Perifericos</v>
          </cell>
        </row>
        <row r="177">
          <cell r="A177" t="str">
            <v>1740199074 Imobilizado- AVP de Computadores e Perifericos</v>
          </cell>
        </row>
        <row r="178">
          <cell r="A178" t="str">
            <v>imobilizado em andamento</v>
          </cell>
        </row>
        <row r="179">
          <cell r="A179" t="str">
            <v>1745001010 Imob Andament-Custo das Aquisiçoes p/Imob (Receb)</v>
          </cell>
        </row>
        <row r="180">
          <cell r="A180" t="str">
            <v>1745001014 Contrapartida dos Aj a Vr Presente de IeA</v>
          </cell>
        </row>
        <row r="181">
          <cell r="A181" t="str">
            <v>1745001020 Imob And-Cto das Aquisiç de Sobres de Imob (Receb)</v>
          </cell>
        </row>
        <row r="182">
          <cell r="A182" t="str">
            <v>1745002030 Imob And-Cto dos Adiants p/Aquis de Imobiliz (T)</v>
          </cell>
        </row>
        <row r="183">
          <cell r="A183" t="str">
            <v>1745002031 Imob And-Tran de Adto p/Aquis Imob Reconcil (T)</v>
          </cell>
        </row>
        <row r="184">
          <cell r="A184" t="str">
            <v>1745002032 Imob And-Tran de Adto p/Aquis de Imob Razao (T)</v>
          </cell>
        </row>
        <row r="185">
          <cell r="A185" t="str">
            <v>1745099010 Imob And-Encar Fin s/ Aquis de Imob-Juros (Realiz)</v>
          </cell>
        </row>
        <row r="186">
          <cell r="A186" t="str">
            <v>1745099030 Imob And-Encar Fin s/ Aquis de Imob-Var Cam (R)</v>
          </cell>
        </row>
        <row r="187">
          <cell r="A187" t="str">
            <v>Tributos diferidos</v>
          </cell>
        </row>
        <row r="188">
          <cell r="A188" t="str">
            <v>1744901010 Trib Diferidos s/Mais Valia de Ativos Imob (Realiz</v>
          </cell>
        </row>
        <row r="241">
          <cell r="A241" t="str">
            <v>PASSIVO E PATRIMÔNIO LÍQUIDO</v>
          </cell>
        </row>
        <row r="242">
          <cell r="A242" t="str">
            <v>CIRCULANTE</v>
          </cell>
        </row>
        <row r="243">
          <cell r="A243" t="str">
            <v>FORNECEDORES</v>
          </cell>
        </row>
        <row r="244">
          <cell r="A244" t="str">
            <v>Serviços</v>
          </cell>
        </row>
        <row r="245">
          <cell r="A245" t="str">
            <v>2110101010 Fornecedores Nacionais de Serviços (Realizado)</v>
          </cell>
        </row>
        <row r="246">
          <cell r="A246" t="str">
            <v>Matérias Primas</v>
          </cell>
        </row>
        <row r="247">
          <cell r="A247" t="str">
            <v>2110101020 Fornecedores Nacionais de MP (Realizado)</v>
          </cell>
        </row>
        <row r="248">
          <cell r="A248" t="str">
            <v>Fretes</v>
          </cell>
        </row>
        <row r="249">
          <cell r="A249" t="str">
            <v>2110101070 Fornecedores Nacionais de Fretes (Realizado)</v>
          </cell>
        </row>
        <row r="250">
          <cell r="A250" t="str">
            <v>Materiais de Consumo</v>
          </cell>
        </row>
        <row r="251">
          <cell r="A251" t="str">
            <v>2110101040 Fornecedores Nacionais de Mat de Cons(Realizado)</v>
          </cell>
        </row>
        <row r="252">
          <cell r="A252" t="str">
            <v>2110102040 Fornecedores do Ext de Mat de Cons (Realizado)</v>
          </cell>
        </row>
        <row r="253">
          <cell r="A253" t="str">
            <v>Demais tipos de fornecedores</v>
          </cell>
        </row>
        <row r="254">
          <cell r="A254" t="str">
            <v>2110101030 Fornecedores Nacionais de Energia (Realizado)</v>
          </cell>
        </row>
        <row r="255">
          <cell r="A255" t="str">
            <v>2110101050 Fornecedores Nacionais Funcionarios (Realizado)</v>
          </cell>
        </row>
        <row r="256">
          <cell r="A256" t="str">
            <v>2110101060 Fornecedores Nacionais Imps e Contrib (Realizado)</v>
          </cell>
        </row>
        <row r="257">
          <cell r="A257" t="str">
            <v>2110101990 Fornecedores Nacionais Outros (Realizado)</v>
          </cell>
        </row>
        <row r="258">
          <cell r="A258" t="str">
            <v>2110199011 Provisao de Entrada de Mercad e de Fatura (EM/EF)</v>
          </cell>
        </row>
        <row r="259">
          <cell r="A259" t="str">
            <v>EMPRÉSTIMOS</v>
          </cell>
        </row>
        <row r="260">
          <cell r="A260" t="str">
            <v>Moeda nacional</v>
          </cell>
        </row>
        <row r="261">
          <cell r="A261" t="str">
            <v>2110502010 Emprest e Financs em Moeda Nacional CP (Realizado)</v>
          </cell>
        </row>
        <row r="262">
          <cell r="A262" t="str">
            <v>2110502020 Juros s/Empr Fin em Moeda Nacional CP (Realizado)</v>
          </cell>
        </row>
        <row r="263">
          <cell r="A263" t="str">
            <v>2110502500 Custo de Emprest e Finan Amort em MN CP (Realiz)</v>
          </cell>
        </row>
        <row r="264">
          <cell r="A264" t="str">
            <v>Moeda estrangeira</v>
          </cell>
        </row>
        <row r="265">
          <cell r="A265" t="str">
            <v>2110502600 Emprestimos e Finan em Moeda Estrang CP (Realiz)</v>
          </cell>
        </row>
        <row r="266">
          <cell r="A266" t="str">
            <v>2110502610 Jur s/Emprest e Finan Moeda Estrang CP (Realizado)</v>
          </cell>
        </row>
        <row r="267">
          <cell r="A267" t="str">
            <v>SALÁRIOS E ENCARGOS SOCIAIS</v>
          </cell>
        </row>
        <row r="268">
          <cell r="A268" t="str">
            <v>Salários, Férias e Gratificações</v>
          </cell>
        </row>
        <row r="269">
          <cell r="A269" t="str">
            <v>2111001050 Provisao de 13º Salario (Realizado)</v>
          </cell>
        </row>
        <row r="270">
          <cell r="A270" t="str">
            <v>2111001060 Provisao de Ferias (Realizado)</v>
          </cell>
        </row>
        <row r="271">
          <cell r="A271" t="str">
            <v>2111001080 Provisao de Gratificaçoes Ferias (Realizado)</v>
          </cell>
        </row>
        <row r="272">
          <cell r="A272" t="str">
            <v>2111001090 Provisao de Gratificaçoes Diretores Estatutários</v>
          </cell>
        </row>
        <row r="273">
          <cell r="A273" t="str">
            <v>2111001100 Provisão de Gratificações  - CLT</v>
          </cell>
        </row>
        <row r="274">
          <cell r="A274" t="str">
            <v>2111001900 Provisoes Partic nos Lucros de Funcion (Realizado)</v>
          </cell>
        </row>
        <row r="275">
          <cell r="A275" t="str">
            <v>INSS</v>
          </cell>
        </row>
        <row r="276">
          <cell r="A276" t="str">
            <v>2111005010 Contrib Prev a Recolher-INSS s/Folha (Realizado)</v>
          </cell>
        </row>
        <row r="277">
          <cell r="A277" t="str">
            <v>2111005020 Contrib Prev a Recolher-INSS s/Autonomos (Realiz)</v>
          </cell>
        </row>
        <row r="278">
          <cell r="A278" t="str">
            <v>2111005030 Contrib Prev a Recolher-INSS s/Cooperativas (Real)</v>
          </cell>
        </row>
        <row r="279">
          <cell r="A279" t="str">
            <v>2111005050 Prov de Contrib Prev-INSS sobre 13º Salario (R)</v>
          </cell>
        </row>
        <row r="280">
          <cell r="A280" t="str">
            <v>2111005060 Prov de Contrib Prev-INSS sobre Ferias (Realizado)</v>
          </cell>
        </row>
        <row r="281">
          <cell r="A281" t="str">
            <v>FGTS</v>
          </cell>
        </row>
        <row r="282">
          <cell r="A282" t="str">
            <v>2111006010 Contrib Prev a Recolher-FGTS s/Folha (Realizado)</v>
          </cell>
        </row>
        <row r="283">
          <cell r="A283" t="str">
            <v>2111006050 Prov Contrib Prev-FGTS s/ 13º Salario (Realizado)</v>
          </cell>
        </row>
        <row r="284">
          <cell r="A284" t="str">
            <v>2111006060 Prov Contrib Prev-FGTS sobre Ferias (Realizado)</v>
          </cell>
        </row>
        <row r="285">
          <cell r="A285" t="str">
            <v>IMPOSTOS DE RENDA E CONTRIBUIÇÃO SOCIAL</v>
          </cell>
        </row>
        <row r="286">
          <cell r="A286" t="str">
            <v>IRPJ e CSLL</v>
          </cell>
        </row>
        <row r="287">
          <cell r="A287" t="str">
            <v>1111001010 Antecipaçoes de CSLL (Realizado)</v>
          </cell>
        </row>
        <row r="288">
          <cell r="A288" t="str">
            <v>1111001020 Antecipaçoes de IRPJ (Realizado)</v>
          </cell>
        </row>
        <row r="289">
          <cell r="A289" t="str">
            <v>1111506020 IRRF sobre Aplicaçoes Financeiras (Realizado)</v>
          </cell>
        </row>
        <row r="290">
          <cell r="A290" t="str">
            <v>1111506030 IRRF sobre Depositos Judiciais (Realizado)</v>
          </cell>
        </row>
        <row r="291">
          <cell r="A291" t="str">
            <v>2112001010 Prov p/ CSLL s/Resultado Operacional (Realizado)</v>
          </cell>
        </row>
        <row r="292">
          <cell r="A292" t="str">
            <v>2112001014 Prov p/ CSLL s/Alíquota Efetiva</v>
          </cell>
        </row>
        <row r="293">
          <cell r="A293" t="str">
            <v>2112001020 Provisao p/ CSLL Diferida (Realizado)</v>
          </cell>
        </row>
        <row r="294">
          <cell r="A294" t="str">
            <v>2112001030 Provisao p/ CSLL Diferida s/Depreciaçao Fiscal (R)</v>
          </cell>
        </row>
        <row r="295">
          <cell r="A295" t="str">
            <v>2112001040 Contribuição Social s/Compensação Base Negativa (R</v>
          </cell>
        </row>
        <row r="296">
          <cell r="A296" t="str">
            <v>2112002010 Prov p/  IR s/Resultando Operacional (Realizado)</v>
          </cell>
        </row>
        <row r="297">
          <cell r="A297" t="str">
            <v>2112002014 Prov p/  IR s/Alíquota Efetiva</v>
          </cell>
        </row>
        <row r="298">
          <cell r="A298" t="str">
            <v>2112002020 Provisao para IR Diferida (Realizado)</v>
          </cell>
        </row>
        <row r="299">
          <cell r="A299" t="str">
            <v>2112002030 Provisao p/ IR Diferida s/Depreciaçao Fiscal (R)</v>
          </cell>
        </row>
        <row r="300">
          <cell r="A300" t="str">
            <v>2112002040 Imposto de Renda s/ Compensação Prejuízo Fiscal (R</v>
          </cell>
        </row>
        <row r="301">
          <cell r="A301" t="str">
            <v>OUTROS IMPOSTOS E CONTRIBUIÇÕES A PAGAR</v>
          </cell>
        </row>
        <row r="302">
          <cell r="A302" t="str">
            <v>ICMS a recolher</v>
          </cell>
        </row>
        <row r="303">
          <cell r="A303" t="str">
            <v>2113005300 ICMS a Recolher (Realizado)</v>
          </cell>
        </row>
        <row r="304">
          <cell r="A304" t="str">
            <v>PIS a recolher</v>
          </cell>
        </row>
        <row r="305">
          <cell r="A305" t="str">
            <v>2113005010 PIS a Recolher (Realizado)</v>
          </cell>
        </row>
        <row r="306">
          <cell r="A306" t="str">
            <v>Cofins a recolher</v>
          </cell>
        </row>
        <row r="307">
          <cell r="A307" t="str">
            <v>2113005020 COFINS a Recolher (Realizado)</v>
          </cell>
        </row>
        <row r="308">
          <cell r="A308" t="str">
            <v>Obrigações tributárias s/ servs.de terceiros</v>
          </cell>
        </row>
        <row r="309">
          <cell r="A309" t="str">
            <v>2113001010 IR de Funcionarios (Realizado)</v>
          </cell>
        </row>
        <row r="310">
          <cell r="A310" t="str">
            <v>2113001200 Imposto Sindical de Funcionarios (Realizado)</v>
          </cell>
        </row>
        <row r="311">
          <cell r="A311" t="str">
            <v>2113001300 Imposto de Renda s/Servs de Terceiros (Realizado)</v>
          </cell>
        </row>
        <row r="312">
          <cell r="A312" t="str">
            <v>2113001310 INSS s/Serviços de Terceiros PF</v>
          </cell>
        </row>
        <row r="313">
          <cell r="A313" t="str">
            <v>2113001320 INSS s/Serviços de Terceiros PJ</v>
          </cell>
        </row>
        <row r="314">
          <cell r="A314" t="str">
            <v>2113001350 CSLL s/Serviços de Terceiros (Realizado)</v>
          </cell>
        </row>
        <row r="315">
          <cell r="A315" t="str">
            <v>2113001360 PIS s/Serviços de Terceiros (Realizado)</v>
          </cell>
        </row>
        <row r="316">
          <cell r="A316" t="str">
            <v>2113001370 COFINS s/Serviços de Terceiros (Realizado)</v>
          </cell>
        </row>
        <row r="317">
          <cell r="A317" t="str">
            <v>2113001400 ISS s/Serviços de Terceiros (Realizado)</v>
          </cell>
        </row>
        <row r="318">
          <cell r="A318" t="str">
            <v>Outros</v>
          </cell>
        </row>
        <row r="319">
          <cell r="A319" t="str">
            <v>2113099010 CIDE s/Remessas ao Exterior a Recolher (Realizado)</v>
          </cell>
        </row>
        <row r="320">
          <cell r="A320" t="str">
            <v>DIVIDENDOS E JUROS S/ CAPITAL PROPRIO A PAGAR</v>
          </cell>
        </row>
        <row r="321">
          <cell r="A321" t="str">
            <v>Dividendos a pagar</v>
          </cell>
        </row>
        <row r="322">
          <cell r="A322" t="str">
            <v>2114001010 Dividendos a Pagar (Realizado)</v>
          </cell>
        </row>
        <row r="323">
          <cell r="A323" t="str">
            <v>Dividendos propostos</v>
          </cell>
        </row>
        <row r="324">
          <cell r="A324" t="str">
            <v>2114001020 Dividendos Propostos (Realizado)</v>
          </cell>
        </row>
        <row r="325">
          <cell r="A325" t="str">
            <v>DEMANDAS JUDICIAIS</v>
          </cell>
        </row>
        <row r="326">
          <cell r="A326" t="str">
            <v>Fiscais</v>
          </cell>
        </row>
        <row r="327">
          <cell r="A327" t="str">
            <v>2119001010 Prov Nat Trib s/Dep Gar CP-Imp,Taxas Contr Fed (R)</v>
          </cell>
        </row>
        <row r="328">
          <cell r="A328" t="str">
            <v>ENERGIA ELÉTRICA</v>
          </cell>
        </row>
        <row r="329">
          <cell r="A329" t="str">
            <v>Energia elétrica provisionada</v>
          </cell>
        </row>
        <row r="330">
          <cell r="A330" t="str">
            <v>2118005010 Fornec e nao Faturado-Energia Eletrica (Realizado)</v>
          </cell>
        </row>
        <row r="331">
          <cell r="A331" t="str">
            <v>OUTROS PASSIVOS CIRCULANTES</v>
          </cell>
        </row>
        <row r="332">
          <cell r="A332" t="str">
            <v>Serviços Técnicos profissionais</v>
          </cell>
        </row>
        <row r="333">
          <cell r="A333" t="str">
            <v>2119003020 Prov Nat Op Desp c/ Servs Tecn e Prof CP (Realiz)</v>
          </cell>
        </row>
        <row r="334">
          <cell r="A334" t="str">
            <v>Fretes sobre vendas</v>
          </cell>
        </row>
        <row r="335">
          <cell r="A335" t="str">
            <v>2119003010 Prov Nat Op Desp c/ Fretes s/Vendas CP (Realizado)</v>
          </cell>
        </row>
        <row r="336">
          <cell r="A336" t="str">
            <v>Desembaraço alfandegário</v>
          </cell>
        </row>
        <row r="337">
          <cell r="A337" t="str">
            <v>2118005040 Fornec e nao Faturado-Materiais de Cons (Realiz)</v>
          </cell>
        </row>
        <row r="338">
          <cell r="A338" t="str">
            <v>Obrigações de natureza fiscais</v>
          </cell>
        </row>
        <row r="339">
          <cell r="A339" t="str">
            <v>2119001030 Prov Nat Trib s/Dep Gar CP-Imp,Taxas Cont Mun (R)</v>
          </cell>
        </row>
        <row r="340">
          <cell r="A340" t="str">
            <v>Trabalhistas e previdênciárias</v>
          </cell>
        </row>
        <row r="341">
          <cell r="A341" t="str">
            <v>2119002020 Prov Ind Trab p/Desligamen Compulsório CP (Realiz)</v>
          </cell>
        </row>
        <row r="342">
          <cell r="A342" t="str">
            <v>2119002030 Prov Nat Trab s/Dep Gar CP-Previdenciaria (Realiz)</v>
          </cell>
        </row>
        <row r="343">
          <cell r="A343" t="str">
            <v>Outras obrigações e compromissos</v>
          </cell>
        </row>
        <row r="344">
          <cell r="A344" t="str">
            <v>2118005020 Fornec e nao Faturado-Agua (Realizado)</v>
          </cell>
        </row>
        <row r="345">
          <cell r="A345" t="str">
            <v>2118005090 Fornec e nao Faturado-Servs Prestados (Realizado)</v>
          </cell>
        </row>
        <row r="346">
          <cell r="A346" t="str">
            <v>2118010010 Retençoes s/Contratos de Compras (Realizado)</v>
          </cell>
        </row>
        <row r="347">
          <cell r="A347" t="str">
            <v>2118050010 Adiantamentos de Clientes (Realizado)</v>
          </cell>
        </row>
        <row r="348">
          <cell r="A348" t="str">
            <v>2119003030 Prov Nat Op Desp c/Servs de Auditoria CP (Realiz)</v>
          </cell>
        </row>
        <row r="349">
          <cell r="A349" t="str">
            <v>2119003040 Prov Nat Op Desp c/Seguros Gerais CP (Realizado)</v>
          </cell>
        </row>
        <row r="350">
          <cell r="A350" t="str">
            <v>NÃO CIRCULANTE</v>
          </cell>
        </row>
        <row r="351">
          <cell r="A351" t="str">
            <v>EMPRÉSTIMOS</v>
          </cell>
        </row>
        <row r="352">
          <cell r="A352" t="str">
            <v>Moeda nacional</v>
          </cell>
        </row>
        <row r="353">
          <cell r="A353" t="str">
            <v>2310502010 Emprest Finan Bancarios Moeda Nacional LP (R)</v>
          </cell>
        </row>
        <row r="354">
          <cell r="A354" t="str">
            <v>Moeda estrangeira</v>
          </cell>
        </row>
        <row r="355">
          <cell r="A355" t="str">
            <v>2310502600 Empr Financiamentos Moeda Estrangeira LP (Realiz)</v>
          </cell>
        </row>
        <row r="356">
          <cell r="A356" t="str">
            <v>IR E CONTRIBUIÇÃO SOCIAL DIFERIDOS</v>
          </cell>
        </row>
        <row r="357">
          <cell r="A357" t="str">
            <v>Ativo de imposto diferido</v>
          </cell>
        </row>
        <row r="358">
          <cell r="A358" t="str">
            <v>1711505000 Cred Fisc CSLL-Bas de Cal Negativa LP (Real)</v>
          </cell>
        </row>
        <row r="359">
          <cell r="A359" t="str">
            <v>1711505010 Cred Fisc CSLL-Dif Temp e Bas de Cal Negtiv (Real)</v>
          </cell>
        </row>
        <row r="360">
          <cell r="A360" t="str">
            <v>1711506000 Cred Fisc IRPJL-Prejuizo Fiscal LP (Real)</v>
          </cell>
        </row>
        <row r="361">
          <cell r="A361" t="str">
            <v>1711506010 Cred Fisc IRPJ-Dif Temp e Prej Fiscais (Realizado)</v>
          </cell>
        </row>
        <row r="362">
          <cell r="A362" t="str">
            <v>Passivo de imposto diferido</v>
          </cell>
        </row>
        <row r="363">
          <cell r="A363" t="str">
            <v>2312001030 Prov p/CSLL Diferida s/Depr Fiscal LP (Realiz)</v>
          </cell>
        </row>
        <row r="364">
          <cell r="A364" t="str">
            <v>2312001040 Prov p/CSLL Diferida s/Dif Temp (Realiz)</v>
          </cell>
        </row>
        <row r="365">
          <cell r="A365" t="str">
            <v>2312002030 Prov p/IR Diferida s/Depr Fiscal LP (Realiz)</v>
          </cell>
        </row>
        <row r="366">
          <cell r="A366" t="str">
            <v>2312002040 Prov p/IR Diferida s/Dif Temp (Realiz)</v>
          </cell>
        </row>
        <row r="367">
          <cell r="A367" t="str">
            <v>OBRIGAÇÕES COM BENEFICIOS AOS EMPREGADOS</v>
          </cell>
        </row>
        <row r="368">
          <cell r="A368" t="str">
            <v>Provisão para previdência privada</v>
          </cell>
        </row>
        <row r="369">
          <cell r="A369" t="str">
            <v>2318001010 Previdencia Privada-CVM 371 LP (Realizado)</v>
          </cell>
        </row>
        <row r="370">
          <cell r="A370" t="str">
            <v>Provisão para assistência médica</v>
          </cell>
        </row>
        <row r="371">
          <cell r="A371" t="str">
            <v>2319002150 Prov Nat Trab Assist Medica Aposent LP (Realizado)</v>
          </cell>
        </row>
        <row r="372">
          <cell r="A372" t="str">
            <v>Provisão para aposentadoria compulsória</v>
          </cell>
        </row>
        <row r="373">
          <cell r="A373" t="str">
            <v>2319002100 Prov Nat Trab FGTS Aviso Prev s/Aposen Comp LP (R)</v>
          </cell>
        </row>
        <row r="374">
          <cell r="A374" t="str">
            <v>Provisão para gratificação tempo de casa</v>
          </cell>
        </row>
        <row r="375">
          <cell r="A375" t="str">
            <v>2319002200 Prov Nat Trab Gratif Tempo Serv LP-Quinq (Realiz)</v>
          </cell>
        </row>
        <row r="376">
          <cell r="A376" t="str">
            <v>DEMANDAS JUDICIAIS</v>
          </cell>
        </row>
        <row r="377">
          <cell r="A377" t="str">
            <v>Fiscais</v>
          </cell>
        </row>
        <row r="378">
          <cell r="A378" t="str">
            <v>2319001010 Prov Nat Trib s/Dep Gar LP-Imp,Taxs Cont Fed (R)</v>
          </cell>
        </row>
        <row r="379">
          <cell r="A379" t="str">
            <v>2319101010 Prov Nat Trib c/Dep Gar LP-Imp,Taxas Cont Fed (R)</v>
          </cell>
        </row>
        <row r="380">
          <cell r="A380" t="str">
            <v>2319101030 Prov Nat Trib c/Dep em Gar LP-Imps Taxs Ctrb M (R)</v>
          </cell>
        </row>
        <row r="381">
          <cell r="A381" t="str">
            <v>Trabalhistas</v>
          </cell>
        </row>
        <row r="382">
          <cell r="A382" t="str">
            <v>2319002010 Prov Nat Trab s/Dep em Gar LP-Recl Trabalh (Real)</v>
          </cell>
        </row>
        <row r="383">
          <cell r="A383" t="str">
            <v>2319102030 Prov Nat Trab c/Dep em Gar LP - Previd (Realizado)</v>
          </cell>
        </row>
        <row r="384">
          <cell r="A384" t="str">
            <v>Cíveis</v>
          </cell>
        </row>
        <row r="385">
          <cell r="A385" t="str">
            <v>2319000010 Prov Nat Cível s/Dep Gar LP (R)</v>
          </cell>
        </row>
        <row r="386">
          <cell r="A386" t="str">
            <v>Depósitos judiciais</v>
          </cell>
        </row>
        <row r="387">
          <cell r="A387" t="str">
            <v>1719101010 Dep Jud c/ Reserv-Imp,Taxas e Contrib Fed (Realiz)</v>
          </cell>
        </row>
        <row r="388">
          <cell r="A388" t="str">
            <v>1719101030 Dep Jud c/Res-Imp, Taxas e Contrib Munic (Realiz)</v>
          </cell>
        </row>
        <row r="389">
          <cell r="A389" t="str">
            <v>1719102030 Dep Judiciais c/Res -Previdenciarios (Realizado)</v>
          </cell>
        </row>
        <row r="390">
          <cell r="A390" t="str">
            <v>PATRIMÔNIO LÍQUIDO</v>
          </cell>
        </row>
        <row r="391">
          <cell r="A391" t="str">
            <v>CAPITAL SOCIAL</v>
          </cell>
        </row>
        <row r="392">
          <cell r="A392" t="str">
            <v>Capital Subscrito</v>
          </cell>
        </row>
        <row r="393">
          <cell r="A393" t="str">
            <v>2710101010 Capital  Subs Domic e Resids no Pais (Realizado)</v>
          </cell>
        </row>
        <row r="394">
          <cell r="A394" t="str">
            <v>AÇÕES EM TESOURARIA</v>
          </cell>
        </row>
        <row r="395">
          <cell r="A395" t="str">
            <v>Preferenciais</v>
          </cell>
        </row>
        <row r="396">
          <cell r="A396" t="str">
            <v>2760101010 Acoes Preferenciais em Tesouraria</v>
          </cell>
        </row>
        <row r="397">
          <cell r="A397" t="str">
            <v>Ordinárias</v>
          </cell>
        </row>
        <row r="398">
          <cell r="A398" t="str">
            <v>2760101020 Acoes Ordinarias em Tesouraria</v>
          </cell>
        </row>
        <row r="399">
          <cell r="A399" t="str">
            <v>RESERVA DE CAPITAL</v>
          </cell>
        </row>
        <row r="400">
          <cell r="A400" t="str">
            <v>Reserva de capital</v>
          </cell>
        </row>
        <row r="401">
          <cell r="A401" t="str">
            <v>2740101010 Reservas de Capital (Realizado)</v>
          </cell>
        </row>
        <row r="402">
          <cell r="A402" t="str">
            <v>RESERVAS DE LUCROS</v>
          </cell>
        </row>
        <row r="403">
          <cell r="A403" t="str">
            <v>Reserva legal</v>
          </cell>
        </row>
        <row r="404">
          <cell r="A404" t="str">
            <v>2740201010 Reserva Legal (Realizado)</v>
          </cell>
        </row>
        <row r="405">
          <cell r="A405" t="str">
            <v>Reserva especial para dividendos</v>
          </cell>
        </row>
        <row r="406">
          <cell r="A406" t="str">
            <v>2740203010 Reserva Especial p/Dividendos (Realizado)</v>
          </cell>
        </row>
        <row r="407">
          <cell r="A407" t="str">
            <v>Reserva de retenção de lucros</v>
          </cell>
        </row>
        <row r="408">
          <cell r="A408" t="str">
            <v>2740202000 Reserva Est-Ret de Lucros An Anteriores (Realiz)</v>
          </cell>
        </row>
        <row r="409">
          <cell r="A409" t="str">
            <v>2740202100 Reserva Est-Ret de Lucros Exer de 2.014 (Realiz)</v>
          </cell>
        </row>
        <row r="410">
          <cell r="A410" t="str">
            <v>Reserva de lucros a realizar</v>
          </cell>
        </row>
        <row r="411">
          <cell r="A411" t="str">
            <v>2740204010 Reserva de Lucros a Realizar (Realizado)</v>
          </cell>
        </row>
        <row r="412">
          <cell r="A412" t="str">
            <v>OUTROS RESULTADOS ABRANGENTES DO PERIODO</v>
          </cell>
        </row>
        <row r="413">
          <cell r="A413" t="str">
            <v>Ajuste às normas internacionais de contab.</v>
          </cell>
        </row>
        <row r="414">
          <cell r="A414" t="str">
            <v>2750101010 Ajs as Normas Internac de Contab (Realizado)</v>
          </cell>
        </row>
        <row r="415">
          <cell r="A415" t="str">
            <v>2750102010 (-)Ajs as Normas Internac de Contab (Realizado)</v>
          </cell>
        </row>
        <row r="416">
          <cell r="A416" t="str">
            <v>LUCROS ACUMULADOS</v>
          </cell>
        </row>
        <row r="417">
          <cell r="A417" t="str">
            <v>Resultado líquido do periodo</v>
          </cell>
        </row>
        <row r="418">
          <cell r="A418" t="str">
            <v>Resultado antes dos tributos sobre o lucro</v>
          </cell>
        </row>
        <row r="419">
          <cell r="A419" t="str">
            <v>Resultado antes do resultado financeiro</v>
          </cell>
        </row>
        <row r="420">
          <cell r="A420" t="str">
            <v>Lucro bruto</v>
          </cell>
        </row>
        <row r="421">
          <cell r="A421" t="str">
            <v>Receita líquida de vendas</v>
          </cell>
        </row>
        <row r="422">
          <cell r="A422" t="str">
            <v>Receita bruta de vendas</v>
          </cell>
        </row>
        <row r="423">
          <cell r="A423" t="str">
            <v>Mercado interno</v>
          </cell>
        </row>
        <row r="424">
          <cell r="A424" t="str">
            <v>3110101030 Rec Brt-Vendas de Produtos no MI (Realizado)</v>
          </cell>
        </row>
        <row r="425">
          <cell r="A425" t="str">
            <v>3110105030 Rec Brt-Rev de Mercs Nacionais no MI (Realizado)</v>
          </cell>
        </row>
        <row r="426">
          <cell r="A426" t="str">
            <v>3110106030 Rec Brt-Rev de Mercs Importadas MI ( Realizado)</v>
          </cell>
        </row>
        <row r="427">
          <cell r="A427" t="str">
            <v>3110108030 Rec Brt-Rev de Mercs Diversas no MI (Realizado)</v>
          </cell>
        </row>
        <row r="428">
          <cell r="A428" t="str">
            <v>3110301030 (-)Vendas Canc e Dev de Prod no MI (Realizado)</v>
          </cell>
        </row>
        <row r="429">
          <cell r="A429" t="str">
            <v>3110305030 (-)Rev Canc e Dev de Merc Nac no MI (Realizado)</v>
          </cell>
        </row>
        <row r="430">
          <cell r="A430" t="str">
            <v>Mercado externo</v>
          </cell>
        </row>
        <row r="431">
          <cell r="A431" t="str">
            <v>3110101010 Rec Brt-Export Direta de Produtos FP (Realizado)</v>
          </cell>
        </row>
        <row r="432">
          <cell r="A432" t="str">
            <v>3110305010 (-)Rev Canc e Dev de Merc Nac no ME (Realizado)</v>
          </cell>
        </row>
        <row r="433">
          <cell r="A433" t="str">
            <v>Impostos incidentes s/ vendas e abatimentos</v>
          </cell>
        </row>
        <row r="434">
          <cell r="A434" t="str">
            <v>3110401010 (-)Desc Incond s/Vendas de Prod FP no ME (Realiz)</v>
          </cell>
        </row>
        <row r="435">
          <cell r="A435" t="str">
            <v>3110401030 (-)Desc Incond s/Vend de Prod FP no MI (Realizado)</v>
          </cell>
        </row>
        <row r="436">
          <cell r="A436" t="str">
            <v>3110405030 (-)Desc Incond s/Rev Merc Nacional no MI (Realiz)</v>
          </cell>
        </row>
        <row r="437">
          <cell r="A437" t="str">
            <v>3110408030 (-)Desc Incond s/Rev Merc Diversas no MI (Realiz)</v>
          </cell>
        </row>
        <row r="438">
          <cell r="A438" t="str">
            <v>3110501030 (-)ICMS s/Vendas de Produtos FP no MI (Realiz)</v>
          </cell>
        </row>
        <row r="439">
          <cell r="A439" t="str">
            <v>3110505030 (-)ICMS s/Rev de Mercs Nacionais no MI (Realiz)</v>
          </cell>
        </row>
        <row r="440">
          <cell r="A440" t="str">
            <v>3110506030 (-)ICMS s/Rev de Merc Imports no MI (Realiz)</v>
          </cell>
        </row>
        <row r="441">
          <cell r="A441" t="str">
            <v>3110508030 (-)ICMS s/Rev Mercadorias Divs no MI (Realizado)</v>
          </cell>
        </row>
        <row r="442">
          <cell r="A442" t="str">
            <v>3110590900 (-)ICMS s/Remessas Mercadorias Div no MI (Realiz)</v>
          </cell>
        </row>
        <row r="443">
          <cell r="A443" t="str">
            <v>3110601030 (-)Cofins s/Venda Produtos FP no MI (R)</v>
          </cell>
        </row>
        <row r="444">
          <cell r="A444" t="str">
            <v>3110605030 (-)Cofins s/Revenda Merc Nacionais no MI (Realiz)</v>
          </cell>
        </row>
        <row r="445">
          <cell r="A445" t="str">
            <v>3110606030 (-)Cofins s/Revenda Merc Importadas no MI (Realiz)</v>
          </cell>
        </row>
        <row r="446">
          <cell r="A446" t="str">
            <v>3110608030 (-)Cofins s/Revenda Mercad Divs no MI (Realiz)</v>
          </cell>
        </row>
        <row r="447">
          <cell r="A447" t="str">
            <v>3110701030 (-)PIS/Pasep s/Vendas Produtos FP no MI (Realiz)</v>
          </cell>
        </row>
        <row r="448">
          <cell r="A448" t="str">
            <v>3110705030 (-)PIS/Pasep s/Rev Merc Nacionais no MI (Realiz)</v>
          </cell>
        </row>
        <row r="449">
          <cell r="A449" t="str">
            <v>3110706030 (-)PIS/Pasep s/Rev Merc Importadas no MI (Realiz)</v>
          </cell>
        </row>
        <row r="450">
          <cell r="A450" t="str">
            <v>3110708030 (-)PIS/Pasep s/Revenda Merc Divs no MI (Realiz)</v>
          </cell>
        </row>
        <row r="451">
          <cell r="A451" t="str">
            <v>Custo dos bens e serviços vendidos</v>
          </cell>
        </row>
        <row r="452">
          <cell r="A452" t="str">
            <v>Variações nos estoques de Materiais</v>
          </cell>
        </row>
        <row r="453">
          <cell r="A453" t="str">
            <v>3130101010 Custo de Exportaçao Direta de Produtos (Realiz)</v>
          </cell>
        </row>
        <row r="454">
          <cell r="A454" t="str">
            <v>3130101012 Rev Prov p/ Desv de Exportaçao Direta de Produtos</v>
          </cell>
        </row>
        <row r="455">
          <cell r="A455" t="str">
            <v>3130101015 Prov p/Desv de Exportaçao Direta de Produtos</v>
          </cell>
        </row>
        <row r="456">
          <cell r="A456" t="str">
            <v>3130101030 Custo das Vendas de Produtos MI (Realizado)</v>
          </cell>
        </row>
        <row r="457">
          <cell r="A457" t="str">
            <v>3130101031 Custo Vendas de Produtos MI - AJ</v>
          </cell>
        </row>
        <row r="458">
          <cell r="A458" t="str">
            <v>3130101039 Custo das Vendas de Produtos MI Serv (Realizado)</v>
          </cell>
        </row>
        <row r="459">
          <cell r="A459" t="str">
            <v>3130105030 Custo das Revendas de Mercadorias no MI (Realiz)</v>
          </cell>
        </row>
        <row r="460">
          <cell r="A460" t="str">
            <v>3130105031 Custo Revendas de Produtos MI - AJ</v>
          </cell>
        </row>
        <row r="461">
          <cell r="A461" t="str">
            <v>3130106030 Custo da Revenda de Merc Importadas no MI (Realiz)</v>
          </cell>
        </row>
        <row r="462">
          <cell r="A462" t="str">
            <v>3130130030 Custo das Vendas de Serviços no MI (Realizado)</v>
          </cell>
        </row>
        <row r="463">
          <cell r="A463" t="str">
            <v>5110101010 Estoq Consumido Prod-Materia Prima SAL (Realizado)</v>
          </cell>
        </row>
        <row r="464">
          <cell r="A464" t="str">
            <v>5110101011 Estoq Consumido Prod-Materia Prima SAL (Aj Real)</v>
          </cell>
        </row>
        <row r="465">
          <cell r="A465" t="str">
            <v>5110101020 Estoq Consumido Prod-MP-Etileno (Realizado)</v>
          </cell>
        </row>
        <row r="466">
          <cell r="A466" t="str">
            <v>5110101021 Estoq Consumido Prod-MP-Etileno (Aj Real)</v>
          </cell>
        </row>
        <row r="467">
          <cell r="A467" t="str">
            <v>5110101300 Estoq Consumido Prod-Mat Aux Gas Natural (Realiz)</v>
          </cell>
        </row>
        <row r="468">
          <cell r="A468" t="str">
            <v>5110101301 Estoq Consumido Prod-Mat Aux Gas Natural (Aj Real)</v>
          </cell>
        </row>
        <row r="469">
          <cell r="A469" t="str">
            <v>5110101310 Estoq Consumido Prod-M Aux Vapor Petroc (Realiz)</v>
          </cell>
        </row>
        <row r="470">
          <cell r="A470" t="str">
            <v>5110101311 Estoq Consumido Prod-M Aux Vapor Petroc (Aj Real)</v>
          </cell>
        </row>
        <row r="471">
          <cell r="A471" t="str">
            <v>5110101490 Estoq Consumido Prod-M Aux Demais (Realizado)</v>
          </cell>
        </row>
        <row r="472">
          <cell r="A472" t="str">
            <v>5110101491 Estoq Consumido Prod-M Aux Demais (Aj Real)</v>
          </cell>
        </row>
        <row r="473">
          <cell r="A473" t="str">
            <v>5110101500 Estoq Consumido Prod-Embalagens (Realizado)</v>
          </cell>
        </row>
        <row r="474">
          <cell r="A474" t="str">
            <v>5110101501 Estoq Consumido Prod-Embalagens (Aj Real)</v>
          </cell>
        </row>
        <row r="475">
          <cell r="A475" t="str">
            <v>5110102010 Cons.Insumo-Revestimentos de Anodos (Realizado)</v>
          </cell>
        </row>
        <row r="476">
          <cell r="A476" t="str">
            <v>5110503100 Aj Preço-Var Preço Dif Cambio Ent Mat-Rev Imp(KDM)</v>
          </cell>
        </row>
        <row r="477">
          <cell r="A477" t="str">
            <v>5110504070 Aj Preço-Var Preço Dif C Mud Nivel-Semi Acab (KDV)</v>
          </cell>
        </row>
        <row r="478">
          <cell r="A478" t="str">
            <v>5110505010 Aj Preço-Dif Preço Nivel Único-Sal (PRD)</v>
          </cell>
        </row>
        <row r="479">
          <cell r="A479" t="str">
            <v>5110505020 Aj Preço-Dif Preço Nivel Único-Etileno (PRD)</v>
          </cell>
        </row>
        <row r="480">
          <cell r="A480" t="str">
            <v>5110505030 Aj Preço-Dif Preço Nivel Único-Gás Natural (PRD)</v>
          </cell>
        </row>
        <row r="481">
          <cell r="A481" t="str">
            <v>5110505040 Aj Preço-Dif Preço Nivel Único-Vapor (PRD)</v>
          </cell>
        </row>
        <row r="482">
          <cell r="A482" t="str">
            <v>5110505050 Aj Preço-Dif Preço Nivel Único-Mat Auxiliares(PRD)</v>
          </cell>
        </row>
        <row r="483">
          <cell r="A483" t="str">
            <v>5110505060 Aj Preço-Dif Preço Nivel Único-Embalagens (PRD)</v>
          </cell>
        </row>
        <row r="484">
          <cell r="A484" t="str">
            <v>5110505070 Aj Preço-Dif Preço Nivel Único-Semi Acabados (PRD)</v>
          </cell>
        </row>
        <row r="485">
          <cell r="A485" t="str">
            <v>5110505080 Aj Preço-Dif Preço Nivel Único-Acabados (PRD)</v>
          </cell>
        </row>
        <row r="486">
          <cell r="A486" t="str">
            <v>5110505090 Aj Preço-Dif Preço Nivel Único-Revenda (PRD)</v>
          </cell>
        </row>
        <row r="487">
          <cell r="A487" t="str">
            <v>5110505100 Aj Preço-Dif Preço Nivel Único-Revenda Imp (PRD)</v>
          </cell>
        </row>
        <row r="488">
          <cell r="A488" t="str">
            <v>5110506070 Aj Preço-Dif Preço Multinivel-Semi Acabado (PRV)</v>
          </cell>
        </row>
        <row r="489">
          <cell r="A489" t="str">
            <v>5110507010 Aj Preço-Dif Preço Fechamento ML-Sal (PRY)</v>
          </cell>
        </row>
        <row r="490">
          <cell r="A490" t="str">
            <v>5110507020 Aj Preço-Dif Preço Fechamento ML-Etileno (PRY)</v>
          </cell>
        </row>
        <row r="491">
          <cell r="A491" t="str">
            <v>5110507030 Aj Preço-Dif Preço Fechamento ML-Gas Natural (PRY)</v>
          </cell>
        </row>
        <row r="492">
          <cell r="A492" t="str">
            <v>5110507040 Aj Preço-Dif Preço Fechamento ML-Vapor (PRY)</v>
          </cell>
        </row>
        <row r="493">
          <cell r="A493" t="str">
            <v>5110507050 Aj Preço-Dif Preço Fechamento ML-Mat Auxiliar(PRY)</v>
          </cell>
        </row>
        <row r="494">
          <cell r="A494" t="str">
            <v>5110507060 Aj Preço-Dif Preço Fechamento ML-Embalagens (PRY)</v>
          </cell>
        </row>
        <row r="495">
          <cell r="A495" t="str">
            <v>5110507070 Aj Preço-Dif Preço Fechamento ML-Semi Acabad (PRY)</v>
          </cell>
        </row>
        <row r="496">
          <cell r="A496" t="str">
            <v>5110507080 Aj Preço-Dif Preço Fechamento ML-Acabados (PRY)</v>
          </cell>
        </row>
        <row r="497">
          <cell r="A497" t="str">
            <v>5110507090 Aj Preço-Dif Preço Fechamento ML-Revenda (PRY)</v>
          </cell>
        </row>
        <row r="498">
          <cell r="A498" t="str">
            <v>5110599010 Ajustes do Grupo Material Ledger - Realizado</v>
          </cell>
        </row>
        <row r="499">
          <cell r="A499" t="str">
            <v>5110608010 Proj Inv.Est.Pesq-Mat Cons-Imobilizado (Realizado)</v>
          </cell>
        </row>
        <row r="500">
          <cell r="A500" t="str">
            <v>5110620010 Proj Inv.Est.Pesq-S.Prest Terc-Imobiliz PJ(Realiz)</v>
          </cell>
        </row>
        <row r="501">
          <cell r="A501" t="str">
            <v>5110620020 Proj Inv.Est.Pesq-S.Prest Terc-Estudo PJ (Realiz)</v>
          </cell>
        </row>
        <row r="502">
          <cell r="A502" t="str">
            <v>5110635010 Proj Inv.Est.Pesq-Encarg Financ-Imobiliz (Realiz)</v>
          </cell>
        </row>
        <row r="503">
          <cell r="A503" t="str">
            <v>5110690050 (-)Proj Inv.Est.Pesq-Imp Aq-ICMS s/Aquis Imob (R)</v>
          </cell>
        </row>
        <row r="504">
          <cell r="A504" t="str">
            <v>5110690060 (-)Proj Inv.Est.Pesq-Imp Aq-COFINS Aquis Imob (R)</v>
          </cell>
        </row>
        <row r="505">
          <cell r="A505" t="str">
            <v>5110690070 (-)Proj Inv.Est.Pesq-Imp Aquis-PIS Aquis Imob (R)</v>
          </cell>
        </row>
        <row r="506">
          <cell r="A506" t="str">
            <v>5110699010 Proj Inv.Est.Pesq-Transf p/Imob em Andamento (R)</v>
          </cell>
        </row>
        <row r="507">
          <cell r="A507" t="str">
            <v>5110699020 Proj Inv.Est.Pesq-Transf p/Estudos/Pesq (Realiz)</v>
          </cell>
        </row>
        <row r="508">
          <cell r="A508" t="str">
            <v>5120101010 Cst P.Fab Próp Transf p/S.Acabado(F.Fab)-(Aj.Real)</v>
          </cell>
        </row>
        <row r="509">
          <cell r="A509" t="str">
            <v>5120101011 Cst P.Fab Próp Transf p/S.Acab(AjOrdProd)-(Planej)</v>
          </cell>
        </row>
        <row r="510">
          <cell r="A510" t="str">
            <v>5120101012 Cst P.Fab Próp Transf p/S.Acab(Zerar Centro Cst)</v>
          </cell>
        </row>
        <row r="511">
          <cell r="A511" t="str">
            <v>5120101013 Cst P.Fab Próp Consumo S.Acab (Realizado)</v>
          </cell>
        </row>
        <row r="512">
          <cell r="A512" t="str">
            <v>5120101020 Cst P.Fab Próp Transf p/P.Acabado(F.Fab)-(Aj.Real)</v>
          </cell>
        </row>
        <row r="513">
          <cell r="A513" t="str">
            <v>5120101021 Cst P.Fab Próp Transf p/P.Acabado(F.Fab)-(Planej)</v>
          </cell>
        </row>
        <row r="514">
          <cell r="A514" t="str">
            <v>5120101022 Cst P.Fab Próp Transf p/P.Acabado(Zerar CentroCst)</v>
          </cell>
        </row>
        <row r="515">
          <cell r="A515" t="str">
            <v>5120101030 Cst P.Fab Próp Transf p/P.Acabado(Aj Cons Real)</v>
          </cell>
        </row>
        <row r="516">
          <cell r="A516" t="str">
            <v>Energia Elétrica</v>
          </cell>
        </row>
        <row r="517">
          <cell r="A517" t="str">
            <v>5110105010 Cons Insumo E Eletrica Cons Energia Eletrica (R)</v>
          </cell>
        </row>
        <row r="518">
          <cell r="A518" t="str">
            <v>Despesas com salários e benefícios a empregad</v>
          </cell>
        </row>
        <row r="519">
          <cell r="A519" t="str">
            <v>5111001030 FLPG-Ordena.Sal.Outras Remune Empreg(R)</v>
          </cell>
        </row>
        <row r="520">
          <cell r="A520" t="str">
            <v>5111001040 FLPG-13º Salario (Realizado)</v>
          </cell>
        </row>
        <row r="521">
          <cell r="A521" t="str">
            <v>5111001041 FLPG-Provisao de 13º Salario</v>
          </cell>
        </row>
        <row r="522">
          <cell r="A522" t="str">
            <v>5111001042 FLPG-Reversao da Provisao de 13º Salario</v>
          </cell>
        </row>
        <row r="523">
          <cell r="A523" t="str">
            <v>5111001050 FLPG-Ferias (Realizado)</v>
          </cell>
        </row>
        <row r="524">
          <cell r="A524" t="str">
            <v>5111001051 FLPG-Provisao de Ferias</v>
          </cell>
        </row>
        <row r="525">
          <cell r="A525" t="str">
            <v>5111001052 FLPG-Reversao da Provisao de Ferias</v>
          </cell>
        </row>
        <row r="526">
          <cell r="A526" t="str">
            <v>5111001080 FLPG-Gratificaçoes de Ferias(Realizado)</v>
          </cell>
        </row>
        <row r="527">
          <cell r="A527" t="str">
            <v>5111001081 FLPG-Provisao de Gratificaçoes de Ferias</v>
          </cell>
        </row>
        <row r="528">
          <cell r="A528" t="str">
            <v>5111001082 FLPG-Rever Provi Gratificaçoes de Ferias</v>
          </cell>
        </row>
        <row r="529">
          <cell r="A529" t="str">
            <v>5111001090 FLPG-Gratificaçoes (Realizado)</v>
          </cell>
        </row>
        <row r="530">
          <cell r="A530" t="str">
            <v>5111001091 FLPG-Provisao de Gratificaçoes</v>
          </cell>
        </row>
        <row r="531">
          <cell r="A531" t="str">
            <v>5111001092 FLPG-Rever da Provisao de Gratificaçoes</v>
          </cell>
        </row>
        <row r="532">
          <cell r="A532" t="str">
            <v>5111001100 FLPG-Gratificaçoes Quinquenios (Realizado)</v>
          </cell>
        </row>
        <row r="533">
          <cell r="A533" t="str">
            <v>5111001101 FLPG-Prov Gratificaçoes Quinquenios</v>
          </cell>
        </row>
        <row r="534">
          <cell r="A534" t="str">
            <v>5111001102 FLPG-Rever Prov Gratificaçoes Quinquenios</v>
          </cell>
        </row>
        <row r="535">
          <cell r="A535" t="str">
            <v>5111001120 FLPG-Aviso Previo (Realizado)</v>
          </cell>
        </row>
        <row r="536">
          <cell r="A536" t="str">
            <v>5111001122 FLPG-Reversao da Provisao de Aviso Previo</v>
          </cell>
        </row>
        <row r="537">
          <cell r="A537" t="str">
            <v>5111001130 FLPG-Indenizaçoes (Realizado)</v>
          </cell>
        </row>
        <row r="538">
          <cell r="A538" t="str">
            <v>5111001240 FLPG-Auxilio Doença (Realizado)</v>
          </cell>
        </row>
        <row r="539">
          <cell r="A539" t="str">
            <v>5111001250 FLPG-Auxilio Ensino (Realizado)</v>
          </cell>
        </row>
        <row r="540">
          <cell r="A540" t="str">
            <v>5111001300 FLPG-Bolsa Estudos de Estagiarios (Realizado)</v>
          </cell>
        </row>
        <row r="541">
          <cell r="A541" t="str">
            <v>5111001990 Rateio da Mão de Obra da Manutenção</v>
          </cell>
        </row>
        <row r="542">
          <cell r="A542" t="str">
            <v>5111002010 FGTS-Folha de Pagamento (Realizado)</v>
          </cell>
        </row>
        <row r="543">
          <cell r="A543" t="str">
            <v>5111002020 FGTS-Ferias (Realizado)</v>
          </cell>
        </row>
        <row r="544">
          <cell r="A544" t="str">
            <v>5111002021 FGTS-Provisao de FGTS s/Ferias</v>
          </cell>
        </row>
        <row r="545">
          <cell r="A545" t="str">
            <v>5111002022 FGTS-Reversao da Provisao de FGTS s/Ferias</v>
          </cell>
        </row>
        <row r="546">
          <cell r="A546" t="str">
            <v>5111002030 FGTS-13º Salario (Realizado)</v>
          </cell>
        </row>
        <row r="547">
          <cell r="A547" t="str">
            <v>5111002031 FGTS-Provisao de FGTS S/13º Salario</v>
          </cell>
        </row>
        <row r="548">
          <cell r="A548" t="str">
            <v>5111002032 FGTS-Reversao da Provisao FGTS S/13º Salario</v>
          </cell>
        </row>
        <row r="549">
          <cell r="A549" t="str">
            <v>5111002040 FGTS-Desligamento de Funcionarios (Realizado)</v>
          </cell>
        </row>
        <row r="550">
          <cell r="A550" t="str">
            <v>5111002041 FGTS-Provisao FGTS s/Desligamento Funcionario</v>
          </cell>
        </row>
        <row r="551">
          <cell r="A551" t="str">
            <v>5111002042 FGTS-Rever Prov FGTS s/Desligamento Funcionario</v>
          </cell>
        </row>
        <row r="552">
          <cell r="A552" t="str">
            <v>5111003010 INSS-Folha de Pagamento (Realizado)</v>
          </cell>
        </row>
        <row r="553">
          <cell r="A553" t="str">
            <v>5111003021 INSS-Provisao de INSS s/Ferias</v>
          </cell>
        </row>
        <row r="554">
          <cell r="A554" t="str">
            <v>5111003022 INSS-Reversao da Provisao de INSS s/Ferias</v>
          </cell>
        </row>
        <row r="555">
          <cell r="A555" t="str">
            <v>5111003031 INSS-Provisao de INSS s/13º Salario</v>
          </cell>
        </row>
        <row r="556">
          <cell r="A556" t="str">
            <v>5111003032 INSS-Reversao Provisao de INSS s/13º Salario</v>
          </cell>
        </row>
        <row r="557">
          <cell r="A557" t="str">
            <v>5111503040 Desp Medicas Hospitalares (Realizado)</v>
          </cell>
        </row>
        <row r="558">
          <cell r="A558" t="str">
            <v>5111504010 Desenv Prof-Cursos (Realizado)</v>
          </cell>
        </row>
        <row r="559">
          <cell r="A559" t="str">
            <v>5111504050 Desenv Prof-Transportes em Cursos (Realizado)</v>
          </cell>
        </row>
        <row r="560">
          <cell r="A560" t="str">
            <v>5111504060 Desenv Prof-Refeiçoes em Cursos (Realizado)</v>
          </cell>
        </row>
        <row r="561">
          <cell r="A561" t="str">
            <v>5111504070 Desenv Prof-Aprendiz de Menores em Cursos (Realiz)</v>
          </cell>
        </row>
        <row r="562">
          <cell r="A562" t="str">
            <v>5111505010 Desp Soc-Contrib Associaçao Desportiva (Realizado)</v>
          </cell>
        </row>
        <row r="563">
          <cell r="A563" t="str">
            <v>5111505020 Desp Soc-Comemoraçoes e Eventos (Realizado)</v>
          </cell>
        </row>
        <row r="564">
          <cell r="A564" t="str">
            <v>5111505030 Desp Soc-Assistencia Social Funcionarios (Realiz)</v>
          </cell>
        </row>
        <row r="565">
          <cell r="A565" t="str">
            <v>5111505040 Desp Soc-Vestuario (Realizado)</v>
          </cell>
        </row>
        <row r="566">
          <cell r="A566" t="str">
            <v>5111505050 Desp Soc-Comunicaçao Interna (Realizado)</v>
          </cell>
        </row>
        <row r="567">
          <cell r="A567" t="str">
            <v>5111506020 Despesa Vale Transporte (Realizado)</v>
          </cell>
        </row>
        <row r="568">
          <cell r="A568" t="str">
            <v>5111506030 Despesa Taxi e Conduçoes (Realizado)</v>
          </cell>
        </row>
        <row r="569">
          <cell r="A569" t="str">
            <v>5111506040 Despesa Aluguel de Veiculos (Realizado)</v>
          </cell>
        </row>
        <row r="570">
          <cell r="A570" t="str">
            <v>5111507010 Despesa Refeiçoes Prontas (Realizado)</v>
          </cell>
        </row>
        <row r="571">
          <cell r="A571" t="str">
            <v>5111507030 Despesa Refeiçoes-Visita e Outras (Realizado)</v>
          </cell>
        </row>
        <row r="572">
          <cell r="A572" t="str">
            <v>5111507040 Despesa Refeiçoes-Lanches Externos (Realizado)</v>
          </cell>
        </row>
        <row r="573">
          <cell r="A573" t="str">
            <v>Encargos de depreciação e amortização</v>
          </cell>
        </row>
        <row r="574">
          <cell r="A574" t="str">
            <v>5119001010 Encarg de Deprec e Amort-Depreciaçao (Realizado)</v>
          </cell>
        </row>
        <row r="575">
          <cell r="A575" t="str">
            <v>5119001011 Encarg de Depreciaçao Mais Valia (Realizado)</v>
          </cell>
        </row>
        <row r="576">
          <cell r="A576" t="str">
            <v>5119001012 Encarg de Depreciaçao Mais Valia CN (Realizado)</v>
          </cell>
        </row>
        <row r="577">
          <cell r="A577" t="str">
            <v>5119001014 Encarg de Depreciaçao AVP (Realizado)</v>
          </cell>
        </row>
        <row r="578">
          <cell r="A578" t="str">
            <v>5119001050 Encarg de Deprec e Amort-Amortizaçao (Realizado)</v>
          </cell>
        </row>
        <row r="579">
          <cell r="A579" t="str">
            <v>5119001054 Amortizaçao AVP (Realizado)</v>
          </cell>
        </row>
        <row r="580">
          <cell r="A580" t="str">
            <v>Serviços de terceiros</v>
          </cell>
        </row>
        <row r="581">
          <cell r="A581" t="str">
            <v>5112002010 Serviços Prestados Auditoria  p/PJ (Realizado)</v>
          </cell>
        </row>
        <row r="582">
          <cell r="A582" t="str">
            <v>5112003010 Serviços Prestados Consultoria p/PJ (Realizado)</v>
          </cell>
        </row>
        <row r="583">
          <cell r="A583" t="str">
            <v>5112003040 Serv Prest Consultoria p/PF s/Vinc Empr (Realiz)</v>
          </cell>
        </row>
        <row r="584">
          <cell r="A584" t="str">
            <v>5112008010 Serv Prest Propaganda e Publicidade p/PJ (Realiz)</v>
          </cell>
        </row>
        <row r="585">
          <cell r="A585" t="str">
            <v>5112009010 Serv Prest Atualiz/Suporte Tecnico p/PJ (Realiz)</v>
          </cell>
        </row>
        <row r="586">
          <cell r="A586" t="str">
            <v>5112010010 Serviços Prestados Temporario p/PJ (Realizado)</v>
          </cell>
        </row>
        <row r="587">
          <cell r="A587" t="str">
            <v>5112011010 Serviços Prestados Limpeza p/ PJ (Realizado)</v>
          </cell>
        </row>
        <row r="588">
          <cell r="A588" t="str">
            <v>5112012010 Serviços Prestados Vigilancia PJ (Realiz)</v>
          </cell>
        </row>
        <row r="589">
          <cell r="A589" t="str">
            <v>5112013010 Serviços Prestados Jardinagem p/PJ (Realizado)</v>
          </cell>
        </row>
        <row r="590">
          <cell r="A590" t="str">
            <v>5112014010 Serv Prest Estacionamento de Caminhoes PJ (Realiz)</v>
          </cell>
        </row>
        <row r="591">
          <cell r="A591" t="str">
            <v>5112015010 Serv Prest Fretes Carretos s/Compras p/PJ (Realiz)</v>
          </cell>
        </row>
        <row r="592">
          <cell r="A592" t="str">
            <v>5112016010 Serviços Prestados Construçao Civil p/PJ (Realiz)</v>
          </cell>
        </row>
        <row r="593">
          <cell r="A593" t="str">
            <v>5112017010 Serviços Prestados Engenharia p/PJ (Realiz)</v>
          </cell>
        </row>
        <row r="594">
          <cell r="A594" t="str">
            <v>5112018010 Serv Prest Reparos Assist Tecnica p/PJ (Realiz)</v>
          </cell>
        </row>
        <row r="595">
          <cell r="A595" t="str">
            <v>5112019010 Serv Prest Tratamento de Residuos p/PJ (Realiz)</v>
          </cell>
        </row>
        <row r="596">
          <cell r="A596" t="str">
            <v>5112099010 Prest Serv Tecnicos Profissionais p/PJ (Realiz)</v>
          </cell>
        </row>
        <row r="597">
          <cell r="A597" t="str">
            <v>5112099040 Serv Prest Tec Profissionais p/PF s/Vin Empr (R)</v>
          </cell>
        </row>
        <row r="598">
          <cell r="A598" t="str">
            <v>5112150010 Serv Prest Manutençao Civil p/PJ (Realizado)</v>
          </cell>
        </row>
        <row r="599">
          <cell r="A599" t="str">
            <v>5112151010 Serv Prest Manutençao Eletricos p/PJ (Realiz)</v>
          </cell>
        </row>
        <row r="600">
          <cell r="A600" t="str">
            <v>5112152010 Serv Prest Manutençao Mecânicos p/PJ (Realizado)</v>
          </cell>
        </row>
        <row r="601">
          <cell r="A601" t="str">
            <v>5112153010 Serv Prest Manutençao Inspeçao PJ (Realizado)</v>
          </cell>
        </row>
        <row r="602">
          <cell r="A602" t="str">
            <v>5112154010 Serv Prest Manutençao Cald/Tubul PJ (Realzado)</v>
          </cell>
        </row>
        <row r="603">
          <cell r="A603" t="str">
            <v>5112155010 Serv Prest Manut Instrumentaçao PJ (Realizado)</v>
          </cell>
        </row>
        <row r="604">
          <cell r="A604" t="str">
            <v>5112170010 Serv Prest Manutenaçao Cel HG-PJ (Realizado)</v>
          </cell>
        </row>
        <row r="605">
          <cell r="A605" t="str">
            <v>5112175010 Serv Prest Manutençao Cel Diafrag p/PJ (Realiz)</v>
          </cell>
        </row>
        <row r="606">
          <cell r="A606" t="str">
            <v>5112180010 Serv Prest Manutençao Cel Memb PJ (Realizado)</v>
          </cell>
        </row>
        <row r="607">
          <cell r="A607" t="str">
            <v>5112199010 Serv Prest Manutençao Apoio-PJ (Realizado)</v>
          </cell>
        </row>
        <row r="608">
          <cell r="A608" t="str">
            <v>5112199310 Serv Prest Manutençao Fretes Carret-PJ (Realizado)</v>
          </cell>
        </row>
        <row r="609">
          <cell r="A609" t="str">
            <v>5112199410 Serv Prest Manutençao Pintura-PJ (Realizado)</v>
          </cell>
        </row>
        <row r="610">
          <cell r="A610" t="str">
            <v>5112199510 Serv Prest Manutençao Revestimentos-PJ (Realizado)</v>
          </cell>
        </row>
        <row r="611">
          <cell r="A611" t="str">
            <v>5112199610 Serv Prest Manutençao Isolamentos-PJ (Realizado)</v>
          </cell>
        </row>
        <row r="612">
          <cell r="A612" t="str">
            <v>Outras</v>
          </cell>
        </row>
        <row r="613">
          <cell r="A613" t="str">
            <v>5110801010 Mat Cons Oper-Combustiveis e Lubrificantes(Realiz)</v>
          </cell>
        </row>
        <row r="614">
          <cell r="A614" t="str">
            <v>5110801020 Mat Cons-Oper-Mat Processo Produtivo (Realiz)</v>
          </cell>
        </row>
        <row r="615">
          <cell r="A615" t="str">
            <v>5110801030 Mat Cons-Oper-Mat Tratamento Residuos (Realiz)</v>
          </cell>
        </row>
        <row r="616">
          <cell r="A616" t="str">
            <v>5110801040 Mat Cons-Oper-Mat Análises Quimicas (Realizado)</v>
          </cell>
        </row>
        <row r="617">
          <cell r="A617" t="str">
            <v>5110801060 Mat Cons-Oper-Ferramentas (Realizado)</v>
          </cell>
        </row>
        <row r="618">
          <cell r="A618" t="str">
            <v>5110801070 Mat Cons-Oper-Mat Reparo e Manutençao (Realizado)</v>
          </cell>
        </row>
        <row r="619">
          <cell r="A619" t="str">
            <v>5110801080 Mat Cons-Oper-Mat Conserv Ecológica (Realizado)</v>
          </cell>
        </row>
        <row r="620">
          <cell r="A620" t="str">
            <v>5110801090 Mat Cons-Oper-Mat Limpeza (Realizado)</v>
          </cell>
        </row>
        <row r="621">
          <cell r="A621" t="str">
            <v>5110801100 Mat Cons-Oper-Mat Segurança (Realizado)</v>
          </cell>
        </row>
        <row r="622">
          <cell r="A622" t="str">
            <v>5110801110 Mat Cons-Oper-Consumo de Água (Realizado)</v>
          </cell>
        </row>
        <row r="623">
          <cell r="A623" t="str">
            <v>5110801130 Mat Cons-Oper-Mat Escritório (Realizado)</v>
          </cell>
        </row>
        <row r="624">
          <cell r="A624" t="str">
            <v>5110801140 Mat Cons-Oper-Mat Imobilizado (Realizado)</v>
          </cell>
        </row>
        <row r="625">
          <cell r="A625" t="str">
            <v>5110802010 Mat Cons-Manutençao-Manut Civil (Realizado)</v>
          </cell>
        </row>
        <row r="626">
          <cell r="A626" t="str">
            <v>5110802020 Mat Cons-Manutençao-Eletrica (Realizado)</v>
          </cell>
        </row>
        <row r="627">
          <cell r="A627" t="str">
            <v>5110802030 Mat Cons-Manutençao-Mecânica (Realizado)</v>
          </cell>
        </row>
        <row r="628">
          <cell r="A628" t="str">
            <v>5110802040 Mat Cons-Manutençao-Manut Inspeçao (Realizado)</v>
          </cell>
        </row>
        <row r="629">
          <cell r="A629" t="str">
            <v>5110802050 Mat Cons-Manutençao-Calderaria/Tubul (Realizado)</v>
          </cell>
        </row>
        <row r="630">
          <cell r="A630" t="str">
            <v>5110802060 Mat Cons-Manutençao-Instrumentaçao (Realizado)</v>
          </cell>
        </row>
        <row r="631">
          <cell r="A631" t="str">
            <v>5110802070 Mat Cons-Manutençao-Celula HG (Realizado)</v>
          </cell>
        </row>
        <row r="632">
          <cell r="A632" t="str">
            <v>5110802080 Mat Cons-Manutençao-Celula Diafragma (Realizado)</v>
          </cell>
        </row>
        <row r="633">
          <cell r="A633" t="str">
            <v>5110802090 Mat Cons-Manutençao-Celula Membrana (Realizado)</v>
          </cell>
        </row>
        <row r="634">
          <cell r="A634" t="str">
            <v>5110802990 Mat Cons-Manutençao-Geral (Realizado)</v>
          </cell>
        </row>
        <row r="635">
          <cell r="A635" t="str">
            <v>5111902010 Despesa Viagens Nacionais (Realizado)</v>
          </cell>
        </row>
        <row r="636">
          <cell r="A636" t="str">
            <v>5111902020 Despesas Viagens Internacionais (Realizado)</v>
          </cell>
        </row>
        <row r="637">
          <cell r="A637" t="str">
            <v>5113501020 Desp Correspondencia-Postais (Realizado)</v>
          </cell>
        </row>
        <row r="638">
          <cell r="A638" t="str">
            <v>5114001030 DLF-Desp Autenticidade Reconhecde Firmas (Realiz)</v>
          </cell>
        </row>
        <row r="639">
          <cell r="A639" t="str">
            <v>5114002030 DITC-Licença e Funcionamento (Realizado)</v>
          </cell>
        </row>
        <row r="640">
          <cell r="A640" t="str">
            <v>5114002060 DITC-Txs Municipais,Estaduais,Federais (Realizado)</v>
          </cell>
        </row>
        <row r="641">
          <cell r="A641" t="str">
            <v>5116001010 Desp Real Even-Semi Fora da Cia Gestao (Realizado)</v>
          </cell>
        </row>
        <row r="642">
          <cell r="A642" t="str">
            <v>5116001020 Desp Reali Eventos-Eventos Gestao (Realizado)</v>
          </cell>
        </row>
        <row r="643">
          <cell r="A643" t="str">
            <v>5116002020 Desp c/Marketing-Relaçoes Publicas (Realizado)</v>
          </cell>
        </row>
        <row r="644">
          <cell r="A644" t="str">
            <v>5116002030 Desp c/Marketing-Patrocinios (Realizado)</v>
          </cell>
        </row>
        <row r="645">
          <cell r="A645" t="str">
            <v>5116002040 Desp c/Marketing-Programa Fabrica Aberta (Realiz)</v>
          </cell>
        </row>
        <row r="646">
          <cell r="A646" t="str">
            <v>5118002050 DPC Ded-Contrib a Entidades de Classes (Realizado)</v>
          </cell>
        </row>
        <row r="647">
          <cell r="A647" t="str">
            <v>5119905010 Desp Alug/Loc.Oper-Locaçao Equip Operaçao (Realiz)</v>
          </cell>
        </row>
        <row r="648">
          <cell r="A648" t="str">
            <v>5119905030 Desp Alug/Loc.Oper-Loc Equiptos Escritorio(Realiz)</v>
          </cell>
        </row>
        <row r="649">
          <cell r="A649" t="str">
            <v>5119905050 Desp Alug/Loc.Oper-Loc de Equip Telefonia(Realiz)</v>
          </cell>
        </row>
        <row r="650">
          <cell r="A650" t="str">
            <v>5119906010 Desp Alug/Loc. Op-Equipamentos de Manut (Realiz)</v>
          </cell>
        </row>
        <row r="651">
          <cell r="A651" t="str">
            <v>5119910010 Assin L.IT.J.R-Ass de Jornais e Revistas (Realiz)</v>
          </cell>
        </row>
        <row r="652">
          <cell r="A652" t="str">
            <v>5119910030 Assin L.IT.J.R-Ass Livros/Inform Tecnicos (Realiz)</v>
          </cell>
        </row>
        <row r="653">
          <cell r="A653" t="str">
            <v>5119915010 Desp c/Impressao e Copias fora da Cia (Realizado)</v>
          </cell>
        </row>
        <row r="654">
          <cell r="A654" t="str">
            <v>5119920010 Desp c/Veiculos-Abastecimento (Realizado)</v>
          </cell>
        </row>
        <row r="655">
          <cell r="A655" t="str">
            <v>5119920020 Desp c/Veiculos-Reparos e Manutençoes (Realizado)</v>
          </cell>
        </row>
        <row r="656">
          <cell r="A656" t="str">
            <v>5119920030 Desp c/Veiculos-Peças e Acessorios (Realizado)</v>
          </cell>
        </row>
        <row r="657">
          <cell r="A657" t="str">
            <v>5119920050 Desp c/Veiculos-Pedagio e Estacionam (Realizado)</v>
          </cell>
        </row>
        <row r="658">
          <cell r="A658" t="str">
            <v>5119920060 Desp c/Veiculos-Licenciamento (Realizado)</v>
          </cell>
        </row>
        <row r="659">
          <cell r="A659" t="str">
            <v>Despesas / Receitas Operacionais</v>
          </cell>
        </row>
        <row r="660">
          <cell r="A660" t="str">
            <v>Despesas com vendas</v>
          </cell>
        </row>
        <row r="661">
          <cell r="A661" t="str">
            <v>Despesas com fretes sobre vendas</v>
          </cell>
        </row>
        <row r="662">
          <cell r="A662" t="str">
            <v>3140101010 Fretes s/Exportaçao Direta de Produtos (Realizado)</v>
          </cell>
        </row>
        <row r="663">
          <cell r="A663" t="str">
            <v>3140101020 Frete s/Venda Com Export c/Fim Esp Export (Realiz)</v>
          </cell>
        </row>
        <row r="664">
          <cell r="A664" t="str">
            <v>3140101030 Fretes s/Vendas de Produtos no MI (Realizado)</v>
          </cell>
        </row>
        <row r="665">
          <cell r="A665" t="str">
            <v>3140105010 Fretes s/Revendas de Mercs Nacinais no ME (Realiz)</v>
          </cell>
        </row>
        <row r="666">
          <cell r="A666" t="str">
            <v>3140105030 Fretes s/Revendas de Mercadorias no MI (Realiz)</v>
          </cell>
        </row>
        <row r="667">
          <cell r="A667" t="str">
            <v>Outras despesas com vendas</v>
          </cell>
        </row>
        <row r="668">
          <cell r="A668" t="str">
            <v>3140301010 Desp c/Desemb/Movim Export Prod FP ME (Realiz)</v>
          </cell>
        </row>
        <row r="669">
          <cell r="A669" t="str">
            <v>3140401030 Desp c/Armazenagem Produtos FP (Realizado)</v>
          </cell>
        </row>
        <row r="670">
          <cell r="A670" t="str">
            <v>3140406030 Desp c/Armazen Merc Imports p/Rev no MI (Realiz)</v>
          </cell>
        </row>
        <row r="671">
          <cell r="A671" t="str">
            <v>3140501030 Desp c/Fretes de Remessas p/Armaz Prod FP (Realiz)</v>
          </cell>
        </row>
        <row r="672">
          <cell r="A672" t="str">
            <v>3140601030 Desp Remessas p/Testes Ensaios e Prod FP (Realiz)</v>
          </cell>
        </row>
        <row r="673">
          <cell r="A673" t="str">
            <v>Despesas Gerais e Administrativas</v>
          </cell>
        </row>
        <row r="674">
          <cell r="A674" t="str">
            <v>Energia Elétrica consumo administrativo</v>
          </cell>
        </row>
        <row r="675">
          <cell r="A675" t="str">
            <v>3170801120 Mat Cons Oper-Luz (Realizado)</v>
          </cell>
        </row>
        <row r="676">
          <cell r="A676" t="str">
            <v>Despesas com salários e benefícios a empreg</v>
          </cell>
        </row>
        <row r="677">
          <cell r="A677" t="str">
            <v>3171001010 FLPG-Remuneraçao a Dirigentes Conselho Adm (Pgto)</v>
          </cell>
        </row>
        <row r="678">
          <cell r="A678" t="str">
            <v>3171001020 FLPG-Gratifiçao a Dirigentes Conselho Adm (Pgto)</v>
          </cell>
        </row>
        <row r="679">
          <cell r="A679" t="str">
            <v>3171001021 FLPG-Prov Gratificaçao a Dirigentes Conselho Adm</v>
          </cell>
        </row>
        <row r="680">
          <cell r="A680" t="str">
            <v>3171001022 FLPG-Rev Prov Gratif a Dirigentes Conselho Adm</v>
          </cell>
        </row>
        <row r="681">
          <cell r="A681" t="str">
            <v>3171001030 FLPG-Ordenados, Salars e Outras Remun a Empreg (R)</v>
          </cell>
        </row>
        <row r="682">
          <cell r="A682" t="str">
            <v>3171001040 FLPG-13º Salario (Realizado)</v>
          </cell>
        </row>
        <row r="683">
          <cell r="A683" t="str">
            <v>3171001041 FLPG-Provisao de 13º Salario</v>
          </cell>
        </row>
        <row r="684">
          <cell r="A684" t="str">
            <v>3171001042 FLPG-Reversao Provisao de 13º Salario</v>
          </cell>
        </row>
        <row r="685">
          <cell r="A685" t="str">
            <v>3171001050 FLPG-Ferias (Realizado)</v>
          </cell>
        </row>
        <row r="686">
          <cell r="A686" t="str">
            <v>3171001051 FLPG-Provisao de Ferias</v>
          </cell>
        </row>
        <row r="687">
          <cell r="A687" t="str">
            <v>3171001052 FLPG-Reversap da Provisao de Ferias</v>
          </cell>
        </row>
        <row r="688">
          <cell r="A688" t="str">
            <v>3171001080 FLPG-Gratificaçao de Ferias (Realiz)</v>
          </cell>
        </row>
        <row r="689">
          <cell r="A689" t="str">
            <v>3171001081 FLPG-Provisao de Gratificaçao de Ferias</v>
          </cell>
        </row>
        <row r="690">
          <cell r="A690" t="str">
            <v>3171001082 FLPG-Reversao da Prov de Gratificaçao de Ferias</v>
          </cell>
        </row>
        <row r="691">
          <cell r="A691" t="str">
            <v>3171001090 FLPG-Gratificaçoes (Realizado)</v>
          </cell>
        </row>
        <row r="692">
          <cell r="A692" t="str">
            <v>3171001091 FLPG-Provisao de Gratificaçoes</v>
          </cell>
        </row>
        <row r="693">
          <cell r="A693" t="str">
            <v>3171001092 FLPG-Reversao da Provisao de Gratificacoes</v>
          </cell>
        </row>
        <row r="694">
          <cell r="A694" t="str">
            <v>3171001100 FLPG-Gratificoes Quinquenios (Realizado)</v>
          </cell>
        </row>
        <row r="695">
          <cell r="A695" t="str">
            <v>3171001101 FLPG-Provisao de Gratificaçoes Quinquenios</v>
          </cell>
        </row>
        <row r="696">
          <cell r="A696" t="str">
            <v>3171001102 FLPG-Reversao Provisao Gratificacoes Quinquenios</v>
          </cell>
        </row>
        <row r="697">
          <cell r="A697" t="str">
            <v>3171001120 FLPG-Aviso Previo (Realizado)</v>
          </cell>
        </row>
        <row r="698">
          <cell r="A698" t="str">
            <v>3171001122 FLPG-Reversao da Provisao de Aviso Previo</v>
          </cell>
        </row>
        <row r="699">
          <cell r="A699" t="str">
            <v>3171001130 FLPG-Indenizacoes (Realizado)</v>
          </cell>
        </row>
        <row r="700">
          <cell r="A700" t="str">
            <v>3171001250 FLPG-Auxilio Ensino (Realizado)</v>
          </cell>
        </row>
        <row r="701">
          <cell r="A701" t="str">
            <v>3171001300 FLPG-Bolsa Estudos de Estagiarios (Realizado)</v>
          </cell>
        </row>
        <row r="702">
          <cell r="A702" t="str">
            <v>3171001990 Rateio da Mão de Obra da Manutenção</v>
          </cell>
        </row>
        <row r="703">
          <cell r="A703" t="str">
            <v>3171002010 FGTS s/Folha de Pagamento (Realizado)</v>
          </cell>
        </row>
        <row r="704">
          <cell r="A704" t="str">
            <v>3171002020 FGTS s/Ferias (Realizado)</v>
          </cell>
        </row>
        <row r="705">
          <cell r="A705" t="str">
            <v>3171002021 Provisao de FGTS s/Ferias</v>
          </cell>
        </row>
        <row r="706">
          <cell r="A706" t="str">
            <v>3171002022 Reversao da Provisao de FGTS s/Ferias</v>
          </cell>
        </row>
        <row r="707">
          <cell r="A707" t="str">
            <v>3171002030 FGTS s/13º Salario (Realizado)</v>
          </cell>
        </row>
        <row r="708">
          <cell r="A708" t="str">
            <v>3171002031 Provisao de FGTS s/13º Salario</v>
          </cell>
        </row>
        <row r="709">
          <cell r="A709" t="str">
            <v>3171002032 Reversao da Provisao de FGTS s/13º Salario</v>
          </cell>
        </row>
        <row r="710">
          <cell r="A710" t="str">
            <v>3171002040 FGTS s/Desligamento de Funcionario (Realizado)</v>
          </cell>
        </row>
        <row r="711">
          <cell r="A711" t="str">
            <v>3171002041 Provisao de FGTS s/Desligamento de Funcionario</v>
          </cell>
        </row>
        <row r="712">
          <cell r="A712" t="str">
            <v>3171002042 Reversao Provisao de FGTS s/Desl Funcionario</v>
          </cell>
        </row>
        <row r="713">
          <cell r="A713" t="str">
            <v>3171003010 INSS s/Folha de Pagamento (Realizado)</v>
          </cell>
        </row>
        <row r="714">
          <cell r="A714" t="str">
            <v>3171003021 Provisao de INSS s/Ferias</v>
          </cell>
        </row>
        <row r="715">
          <cell r="A715" t="str">
            <v>3171003022 Reversao da Provisao de INSS s/Ferias</v>
          </cell>
        </row>
        <row r="716">
          <cell r="A716" t="str">
            <v>3171003031 Provisao de INSS s/13º Salario</v>
          </cell>
        </row>
        <row r="717">
          <cell r="A717" t="str">
            <v>3171003032 Reversao da Provisao de INSS s/13º Salario</v>
          </cell>
        </row>
        <row r="718">
          <cell r="A718" t="str">
            <v>3171003051 Provisao de INSS s/Gratificações</v>
          </cell>
        </row>
        <row r="719">
          <cell r="A719" t="str">
            <v>3171501010 Prev Priv CD-Contribuicoes da Empresa (Realizado)</v>
          </cell>
        </row>
        <row r="720">
          <cell r="A720" t="str">
            <v>3171501015 Prev Priv CD-Participaçao dos Empregados</v>
          </cell>
        </row>
        <row r="721">
          <cell r="A721" t="str">
            <v>3171502010 Seguro de Vida em Grupo (Realizado)</v>
          </cell>
        </row>
        <row r="722">
          <cell r="A722" t="str">
            <v>3171502011 Provisao Seguro de Vida em Grupo</v>
          </cell>
        </row>
        <row r="723">
          <cell r="A723" t="str">
            <v>3171503010 Assistencia Medica e Hospitalar (Realizado)</v>
          </cell>
        </row>
        <row r="724">
          <cell r="A724" t="str">
            <v>3171503015 Partic dos Empregados Assistenc Medica e Hospit</v>
          </cell>
        </row>
        <row r="725">
          <cell r="A725" t="str">
            <v>3171503020 Assistencia Medica e Hospitalar Aposent (Realiz)</v>
          </cell>
        </row>
        <row r="726">
          <cell r="A726" t="str">
            <v>3171503021 Provisao Assistencia Medica Hospitalar Aposentados</v>
          </cell>
        </row>
        <row r="727">
          <cell r="A727" t="str">
            <v>3171503022 Reversao Prov Assist Medica Hospitalar Aposentados</v>
          </cell>
        </row>
        <row r="728">
          <cell r="A728" t="str">
            <v>3171503030 Assistencia Odontologica (Realizado)</v>
          </cell>
        </row>
        <row r="729">
          <cell r="A729" t="str">
            <v>3171503035 Participacao dos Empregados Assist Odontologica</v>
          </cell>
        </row>
        <row r="730">
          <cell r="A730" t="str">
            <v>3171503040 Despesas Medicas e Hospitalares (Realizado)</v>
          </cell>
        </row>
        <row r="731">
          <cell r="A731" t="str">
            <v>3171504010 Desenv Prof-Cursos (Realizado)</v>
          </cell>
        </row>
        <row r="732">
          <cell r="A732" t="str">
            <v>3171504020 Desenv Prof-Material de Consumo em Cursos (Realiz)</v>
          </cell>
        </row>
        <row r="733">
          <cell r="A733" t="str">
            <v>3171504030 Desenv Prof-Serviços de Tercrs em Cursos (Realiz)</v>
          </cell>
        </row>
        <row r="734">
          <cell r="A734" t="str">
            <v>3171504040 Desenv Prof-Diarias em Cursos (Realizado)</v>
          </cell>
        </row>
        <row r="735">
          <cell r="A735" t="str">
            <v>3171504050 Desenv Prof-Transportes em Cursos (Realizado)</v>
          </cell>
        </row>
        <row r="736">
          <cell r="A736" t="str">
            <v>3171504060 Desenv Prof-Refeiçoes em Cursos (Realizado)</v>
          </cell>
        </row>
        <row r="737">
          <cell r="A737" t="str">
            <v>3171504070 Desenv Prof-Aprendiz de Menores em Cursos (Realiz)</v>
          </cell>
        </row>
        <row r="738">
          <cell r="A738" t="str">
            <v>3171505010 Desp Soc-Contrib Associaçao Desportiva (Realizado)</v>
          </cell>
        </row>
        <row r="739">
          <cell r="A739" t="str">
            <v>3171505020 Desp Soc-Comemoraçoes e Eventos (Realizado)</v>
          </cell>
        </row>
        <row r="740">
          <cell r="A740" t="str">
            <v>3171505030 Desp Soc-Assistencia Social Funcionarios (Realiz)</v>
          </cell>
        </row>
        <row r="741">
          <cell r="A741" t="str">
            <v>3171505040 Desp Soc-Vestuario (Realizado)</v>
          </cell>
        </row>
        <row r="742">
          <cell r="A742" t="str">
            <v>3171505050 Desp Soc-Comunicaçao Interna (Realizado)</v>
          </cell>
        </row>
        <row r="743">
          <cell r="A743" t="str">
            <v>3171506010 Desp Transp-Conduçao Contratada (Realizado)</v>
          </cell>
        </row>
        <row r="744">
          <cell r="A744" t="str">
            <v>3171506015 Participaçao dos Empregados-Conduçao Contratada</v>
          </cell>
        </row>
        <row r="745">
          <cell r="A745" t="str">
            <v>3171506020 Despesa Vale Transporte (Realizado)</v>
          </cell>
        </row>
        <row r="746">
          <cell r="A746" t="str">
            <v>3171506025 Participaçao dos Empregados-Vale Transporte</v>
          </cell>
        </row>
        <row r="747">
          <cell r="A747" t="str">
            <v>3171506030 Despesa Taxi e Conduçoes (Realizado)</v>
          </cell>
        </row>
        <row r="748">
          <cell r="A748" t="str">
            <v>3171506040 Despesa Aluguel de Veiculos (Realizado)</v>
          </cell>
        </row>
        <row r="749">
          <cell r="A749" t="str">
            <v>3171506050 Despesas com Aluguel de Outros Veiculos(Realizado)</v>
          </cell>
        </row>
        <row r="750">
          <cell r="A750" t="str">
            <v>3171507010 Despesa Refeiçoes Prontas (Realizado)</v>
          </cell>
        </row>
        <row r="751">
          <cell r="A751" t="str">
            <v>3171507015 Participaçao dos Empregados-Refeiçoes Prontas</v>
          </cell>
        </row>
        <row r="752">
          <cell r="A752" t="str">
            <v>3171507020 Despesa Material de Consumo Refeitorio (Realiz)</v>
          </cell>
        </row>
        <row r="753">
          <cell r="A753" t="str">
            <v>3171507025 Desp Material Consumo Refeitorio Descont Func-R</v>
          </cell>
        </row>
        <row r="754">
          <cell r="A754" t="str">
            <v>3171507030 Despesa Refeiçoes-Visita e Outras (Realizado)</v>
          </cell>
        </row>
        <row r="755">
          <cell r="A755" t="str">
            <v>3171507040 Despesa Refeiçoes-Lanches Externos (Realizado)</v>
          </cell>
        </row>
        <row r="756">
          <cell r="A756" t="str">
            <v>3710101010 (-)PL-Participaçoes de Empregados (Realizado)</v>
          </cell>
        </row>
        <row r="757">
          <cell r="A757" t="str">
            <v>Encargos de depreciação e amortização na DGA</v>
          </cell>
        </row>
        <row r="758">
          <cell r="A758" t="str">
            <v>3179001010 Encarg de Deprec e Amort-Depreciaçao (Realizado)</v>
          </cell>
        </row>
        <row r="759">
          <cell r="A759" t="str">
            <v>3179001011 Encarg de Depreciaçao Mais Valia (Realizado)</v>
          </cell>
        </row>
        <row r="760">
          <cell r="A760" t="str">
            <v>3179001012 Encs de Depreciaçao Mais Valia Comb Neg(Realizado)</v>
          </cell>
        </row>
        <row r="761">
          <cell r="A761" t="str">
            <v>3179001014 Encarg de Depreciaçao do AVP (Realizado)</v>
          </cell>
        </row>
        <row r="762">
          <cell r="A762" t="str">
            <v>3179001050 Encarg de Deprec e Amort-Amortizaçao (Realizado)</v>
          </cell>
        </row>
        <row r="763">
          <cell r="A763" t="str">
            <v>3179001054 Encargs de Amortizaçao AVP (Realizado)</v>
          </cell>
        </row>
        <row r="764">
          <cell r="A764" t="str">
            <v>3179001104 Encargs de Amortizaçao Investimentos (Realizado)</v>
          </cell>
        </row>
        <row r="765">
          <cell r="A765" t="str">
            <v>Serviços de terceiros nas DGAs</v>
          </cell>
        </row>
        <row r="766">
          <cell r="A766" t="str">
            <v>3172001010 Serviços Prestados Advocacia p/PJ (Realizado)</v>
          </cell>
        </row>
        <row r="767">
          <cell r="A767" t="str">
            <v>3172001015 Rec Desps c/Honorarios Advocaticios (Realizado)</v>
          </cell>
        </row>
        <row r="768">
          <cell r="A768" t="str">
            <v>3172001040 Serv Prest Advocacia p/PF s/ Vinculo Empr (Realiz)</v>
          </cell>
        </row>
        <row r="769">
          <cell r="A769" t="str">
            <v>3172002010 Serviços Prestados Auditoria  p/PJ (Realizado)</v>
          </cell>
        </row>
        <row r="770">
          <cell r="A770" t="str">
            <v>3172003010 Serviços Prestados Consultoria p/PJ (Realizado)</v>
          </cell>
        </row>
        <row r="771">
          <cell r="A771" t="str">
            <v>3172003040 Serv Prest Consultoria p/PF s/Vinc Empr (Realiz)</v>
          </cell>
        </row>
        <row r="772">
          <cell r="A772" t="str">
            <v>3172007010 Serv Prest Informaçoes Cadastrais p/PJ (Realiz)</v>
          </cell>
        </row>
        <row r="773">
          <cell r="A773" t="str">
            <v>3172008010 Serv Prest Propaganda e Publicidade p/PJ (Realiz)</v>
          </cell>
        </row>
        <row r="774">
          <cell r="A774" t="str">
            <v>3172009010 Serv Prest Atualiz/Suporte Tecnico p/PJ (Realiz)</v>
          </cell>
        </row>
        <row r="775">
          <cell r="A775" t="str">
            <v>3172010010 Serviços Prestados Temporario p/PJ (Realizado)</v>
          </cell>
        </row>
        <row r="776">
          <cell r="A776" t="str">
            <v>3172011010 Serviços Prestados Limpeza p/ PJ (Realizado)</v>
          </cell>
        </row>
        <row r="777">
          <cell r="A777" t="str">
            <v>3172012010 Serviços Prestados Vigilancia PJ (Realiz)</v>
          </cell>
        </row>
        <row r="778">
          <cell r="A778" t="str">
            <v>3172015010 Serv Prest Fretes Carretos s/Compras p/PJ (Realiz)</v>
          </cell>
        </row>
        <row r="779">
          <cell r="A779" t="str">
            <v>3172018010 Serv Prest Reparos Assist Tecnica p/PJ (Realiz)</v>
          </cell>
        </row>
        <row r="780">
          <cell r="A780" t="str">
            <v>3172099010 Prest Serv Tecnicos Profissionais p/PJ (Realiz)</v>
          </cell>
        </row>
        <row r="781">
          <cell r="A781" t="str">
            <v>3172099020 Prest Serv Tec Profissionais p/Coop Trab (Realiz)</v>
          </cell>
        </row>
        <row r="782">
          <cell r="A782" t="str">
            <v>3172099040 Serv Prest Tec Profissionais p/PF s/Vin Empr (R)</v>
          </cell>
        </row>
        <row r="783">
          <cell r="A783" t="str">
            <v>3172150010 Serv Prest Manutençao Civil p/PJ (Realizado)</v>
          </cell>
        </row>
        <row r="784">
          <cell r="A784" t="str">
            <v>3172199010 Serv Prest Manutençao Geral p/PJ (Realizado)</v>
          </cell>
        </row>
        <row r="785">
          <cell r="A785" t="str">
            <v>Outras despesas gerais administrativas</v>
          </cell>
        </row>
        <row r="786">
          <cell r="A786" t="str">
            <v>3170801070 Mat Cons Oper-Reparo e Manutençao (Realiz)</v>
          </cell>
        </row>
        <row r="787">
          <cell r="A787" t="str">
            <v>3170801090 Mat Cons Oper-Limpeza (Realizado)</v>
          </cell>
        </row>
        <row r="788">
          <cell r="A788" t="str">
            <v>3170801100 Mat Cons Oper-Segurança (Realizado)</v>
          </cell>
        </row>
        <row r="789">
          <cell r="A789" t="str">
            <v>3170801130 Mat Cons Oper-Escritorio (Realizado)</v>
          </cell>
        </row>
        <row r="790">
          <cell r="A790" t="str">
            <v>3170801140 Mat Cons Oper-Imobilizado (Realizado)</v>
          </cell>
        </row>
        <row r="791">
          <cell r="A791" t="str">
            <v>3170802990 Materias Consumo-Manutencao em Geral (Realiz)</v>
          </cell>
        </row>
        <row r="792">
          <cell r="A792" t="str">
            <v>3171901010 Sel Recrut-Servs de Tercrs p/Seleçao e Recrut (R)</v>
          </cell>
        </row>
        <row r="793">
          <cell r="A793" t="str">
            <v>3171902010 Despesa Viagens Nacionais (Realizado)</v>
          </cell>
        </row>
        <row r="794">
          <cell r="A794" t="str">
            <v>3171902020 Despesas Viagens Internacionais (Realizado)</v>
          </cell>
        </row>
        <row r="795">
          <cell r="A795" t="str">
            <v>3173501010 Desp Correspondencia-Malote (Realizado)</v>
          </cell>
        </row>
        <row r="796">
          <cell r="A796" t="str">
            <v>3173501020 Desp Correspondencia-Postais (Realizado)</v>
          </cell>
        </row>
        <row r="797">
          <cell r="A797" t="str">
            <v>3173505010 Desp Telec-Desp c/Telefonia Fixa (Realizado)</v>
          </cell>
        </row>
        <row r="798">
          <cell r="A798" t="str">
            <v>3173505020 Desp Telec-Desp c/Telefonia Movel (Realizado)</v>
          </cell>
        </row>
        <row r="799">
          <cell r="A799" t="str">
            <v>3173505030 Desp Telec-Desp Comun Dados EC/FC Internet(Realiz)</v>
          </cell>
        </row>
        <row r="800">
          <cell r="A800" t="str">
            <v>3173505040 Desp Telec-Desp Comum Dados Internet (Realizado)</v>
          </cell>
        </row>
        <row r="801">
          <cell r="A801" t="str">
            <v>3173505060 Desp Telec-Desp Comum Dados Banda Larga(Realizado)</v>
          </cell>
        </row>
        <row r="802">
          <cell r="A802" t="str">
            <v>3173505070 Desp Telec-Desp Comum Dados Video Conferen(Realiz)</v>
          </cell>
        </row>
        <row r="803">
          <cell r="A803" t="str">
            <v>3174001010 DLF-Desp c/Publicidade Atas e Balanços (Realizado)</v>
          </cell>
        </row>
        <row r="804">
          <cell r="A804" t="str">
            <v>3174001020 DLF-Desp Escritur Procuraçoes e Contratos (Realiz)</v>
          </cell>
        </row>
        <row r="805">
          <cell r="A805" t="str">
            <v>3174001030 DLF-Desp Autenticidade Reconhecde Firmas (Realiz)</v>
          </cell>
        </row>
        <row r="806">
          <cell r="A806" t="str">
            <v>3174001040 DLF-Desp c/ Custas Judiciais (Realizado)</v>
          </cell>
        </row>
        <row r="807">
          <cell r="A807" t="str">
            <v>3174001990 DLF-Outras Despesas Legais (Realizado)</v>
          </cell>
        </row>
        <row r="808">
          <cell r="A808" t="str">
            <v>3174002010 DITC-Contribuiçao Sindical Patronal (Realizado)</v>
          </cell>
        </row>
        <row r="809">
          <cell r="A809" t="str">
            <v>3174002020 DITC-Predial e Territorial (Realizado)</v>
          </cell>
        </row>
        <row r="810">
          <cell r="A810" t="str">
            <v>3174002021 DITC-Provisao Imposto Predial Territorial (Realiz)</v>
          </cell>
        </row>
        <row r="811">
          <cell r="A811" t="str">
            <v>3174002030 DITC-Licença e Funcionamento (Realizado)</v>
          </cell>
        </row>
        <row r="812">
          <cell r="A812" t="str">
            <v>3174002040 DITC-ICMS s/Aquisiçao de Imobilizado (Realizado)</v>
          </cell>
        </row>
        <row r="813">
          <cell r="A813" t="str">
            <v>3174002050 DITC-ICMS-Debitos Extemporaneos (Realizado)</v>
          </cell>
        </row>
        <row r="814">
          <cell r="A814" t="str">
            <v>3174002060 DITC-Txs Municipais,Estaduais,Federais (Realizado)</v>
          </cell>
        </row>
        <row r="815">
          <cell r="A815" t="str">
            <v>3174003010 Multas Fiscais Indedutiveis (Realizado)</v>
          </cell>
        </row>
        <row r="816">
          <cell r="A816" t="str">
            <v>3174003020 Multas Fiscais Dedutiveis (Realizado)</v>
          </cell>
        </row>
        <row r="817">
          <cell r="A817" t="str">
            <v>3174003030 Multas Contratuais (Realizado)</v>
          </cell>
        </row>
        <row r="818">
          <cell r="A818" t="str">
            <v>3175001010 Desp Seguro-Automoveis (Realizado)</v>
          </cell>
        </row>
        <row r="819">
          <cell r="A819" t="str">
            <v>3175001020 Desp Seguro-Responsabilidade Civil (Realizado)</v>
          </cell>
        </row>
        <row r="820">
          <cell r="A820" t="str">
            <v>3175001030 Desp Seguro-Risco Nomeado (Realizado)</v>
          </cell>
        </row>
        <row r="821">
          <cell r="A821" t="str">
            <v>3175001040 Desp Seguro-Riscos Diversos (Realizado)</v>
          </cell>
        </row>
        <row r="822">
          <cell r="A822" t="str">
            <v>3176001010 Desp Real Even-Semi Fora da Cia Gestao (Realizado)</v>
          </cell>
        </row>
        <row r="823">
          <cell r="A823" t="str">
            <v>3176001020 Desp Reali Eventos-Eventos Gestao (Realizado)</v>
          </cell>
        </row>
        <row r="824">
          <cell r="A824" t="str">
            <v>3176002010 Desp Eventos Marketing (Realizado)</v>
          </cell>
        </row>
        <row r="825">
          <cell r="A825" t="str">
            <v>3176002020 Desp c/Marketing-Relaçoes Publicas (Realizado)</v>
          </cell>
        </row>
        <row r="826">
          <cell r="A826" t="str">
            <v>3176002030 Desp c/Marketing-Patrocinios (Realizado)</v>
          </cell>
        </row>
        <row r="827">
          <cell r="A827" t="str">
            <v>3177002020 EPCT-Estudos de Engenharia(Realizado)</v>
          </cell>
        </row>
        <row r="828">
          <cell r="A828" t="str">
            <v>3178001990 DPC Ind-Outras Contrib/Doaçoes Indeduts (Realiz)</v>
          </cell>
        </row>
        <row r="829">
          <cell r="A829" t="str">
            <v>3178002050 DPC Ded-Contrib a Entidades de Classes (Realizado)</v>
          </cell>
        </row>
        <row r="830">
          <cell r="A830" t="str">
            <v>3179905030 Desp Alug/Loc.Oper-Loc Equiptos Escritorio(Realiz)</v>
          </cell>
        </row>
        <row r="831">
          <cell r="A831" t="str">
            <v>3179905040 Desp Alug/Loc.Oper-Equip Impressao/Copias(Realiz)</v>
          </cell>
        </row>
        <row r="832">
          <cell r="A832" t="str">
            <v>3179905050 Desp Alug/Loc.Oper-Loc de Equip Telefonia(Realiz)</v>
          </cell>
        </row>
        <row r="833">
          <cell r="A833" t="str">
            <v>3179905100 Desp Alug/Loc.Oper-Aluguel de Imovel (Realizado)</v>
          </cell>
        </row>
        <row r="834">
          <cell r="A834" t="str">
            <v>3179910010 Assin L.IT.J.R-Ass de Jornais e Revistas (Realiz)</v>
          </cell>
        </row>
        <row r="835">
          <cell r="A835" t="str">
            <v>3179910030 Assin L.IT.J.R-Ass Livros/Inform Tecnicos (Realiz)</v>
          </cell>
        </row>
        <row r="836">
          <cell r="A836" t="str">
            <v>3179915010 Desp c/Impressao e Copias fora da Cia (Realizado)</v>
          </cell>
        </row>
        <row r="837">
          <cell r="A837" t="str">
            <v>3179920010 Desp c/Veiculos-Abastecimento (Realizado)</v>
          </cell>
        </row>
        <row r="838">
          <cell r="A838" t="str">
            <v>3179920020 Desp c/Veiculos-Reparos e Manutençoes (Realizado)</v>
          </cell>
        </row>
        <row r="839">
          <cell r="A839" t="str">
            <v>3179920030 Desp c/Veiculos-Peças e Acessorios (Realizado)</v>
          </cell>
        </row>
        <row r="840">
          <cell r="A840" t="str">
            <v>3179920040 Desp c/Veiculos-Lavagem e Lubrificaçao (Realizado)</v>
          </cell>
        </row>
        <row r="841">
          <cell r="A841" t="str">
            <v>3179920050 Desp c/Veiculos-Pedagio e Estacionam (Realizado)</v>
          </cell>
        </row>
        <row r="842">
          <cell r="A842" t="str">
            <v>3179920060 Desp c/Veiculos-Licenciamento (Realizado)</v>
          </cell>
        </row>
        <row r="843">
          <cell r="A843" t="str">
            <v>Outras despesas / receitas operacionais</v>
          </cell>
        </row>
        <row r="844">
          <cell r="A844" t="str">
            <v>Outras receitas operacionais</v>
          </cell>
        </row>
        <row r="845">
          <cell r="A845" t="str">
            <v>3310101010 Receita c/Dividendos Recebidos (Realizado)</v>
          </cell>
        </row>
        <row r="846">
          <cell r="A846" t="str">
            <v>3310105010 Res Liq Bx At Fixo-Rec Alienaç B/D At.Perman (R)</v>
          </cell>
        </row>
        <row r="847">
          <cell r="A847" t="str">
            <v>3310105020 (-)R Liq Bx At Fix-Vlr Contabil B/D Baixados (R)</v>
          </cell>
        </row>
        <row r="848">
          <cell r="A848" t="str">
            <v>3310105030 Outros Custos dos Bens e Direitos Alienados (R)</v>
          </cell>
        </row>
        <row r="849">
          <cell r="A849" t="str">
            <v>3310108990 Outros Imposto Recuperados (Realizado)</v>
          </cell>
        </row>
        <row r="850">
          <cell r="A850" t="str">
            <v>3310115010 Sinistros Indenizado (Realizado)</v>
          </cell>
        </row>
        <row r="851">
          <cell r="A851" t="str">
            <v>Outras despesas operacionais</v>
          </cell>
        </row>
        <row r="852">
          <cell r="A852" t="str">
            <v>3310110010 Desp c/Proc Jud-Tributarios (Realizado)</v>
          </cell>
        </row>
        <row r="853">
          <cell r="A853" t="str">
            <v>3310110011 Desp c/Proc Jud-Constit Contingencias Tributarias</v>
          </cell>
        </row>
        <row r="854">
          <cell r="A854" t="str">
            <v>3310110020 Desp c/Proc Trabalhista (Realizado)</v>
          </cell>
        </row>
        <row r="855">
          <cell r="A855" t="str">
            <v>3310110021 Desp c/Proc Trab-Constit Contingenc Trabalhistas</v>
          </cell>
        </row>
        <row r="856">
          <cell r="A856" t="str">
            <v>3310110031 Desp c/Proc Civeis-Constit Contingencias Civeis</v>
          </cell>
        </row>
        <row r="857">
          <cell r="A857" t="str">
            <v>3310110032 Desp c/Proc Civeis-Rev de Contingencias Civeis</v>
          </cell>
        </row>
        <row r="858">
          <cell r="A858" t="str">
            <v>3310140010 Desp n Cor Multas Indedutiveis (Realizado)</v>
          </cell>
        </row>
        <row r="859">
          <cell r="A859" t="str">
            <v>3310190010 Perdas Operacoes de Credito Incobraveis (Realiz)</v>
          </cell>
        </row>
        <row r="860">
          <cell r="A860" t="str">
            <v>3310190011 Provisao Perdas em Opercao Credito-PCLD</v>
          </cell>
        </row>
        <row r="861">
          <cell r="A861" t="str">
            <v>Resultado de equivalência patrimonial</v>
          </cell>
        </row>
        <row r="862">
          <cell r="A862" t="str">
            <v>3310201010 Result Positivo Participacoes Societarias (R)</v>
          </cell>
        </row>
        <row r="863">
          <cell r="A863" t="str">
            <v>3310201020 Result Negativo Paticipacoes Societarias (R)</v>
          </cell>
        </row>
        <row r="864">
          <cell r="A864" t="str">
            <v>Resultado financeiro</v>
          </cell>
        </row>
        <row r="865">
          <cell r="A865" t="str">
            <v>Receitas financeiras</v>
          </cell>
        </row>
        <row r="866">
          <cell r="A866" t="str">
            <v>Receita de equivalentes de caixa e TVM</v>
          </cell>
        </row>
        <row r="867">
          <cell r="A867" t="str">
            <v>3510101010 Rec Financ-Juros s/Aplic Financeiras (Realizado)</v>
          </cell>
        </row>
        <row r="868">
          <cell r="A868" t="str">
            <v>Outras receitas financeiras</v>
          </cell>
        </row>
        <row r="869">
          <cell r="A869" t="str">
            <v>3510101090 Rec Financ-Juros s/Capital Proprio (Realizado)</v>
          </cell>
        </row>
        <row r="870">
          <cell r="A870" t="str">
            <v>3510101990 Rec Financ-Juros s/Outros Ativos (Realizado)</v>
          </cell>
        </row>
        <row r="871">
          <cell r="A871" t="str">
            <v>3510102011 Rec Financ-Prov Var Monet s/ Depositos Judiciais</v>
          </cell>
        </row>
        <row r="872">
          <cell r="A872" t="str">
            <v>3510102020 Rec Financ-Var Monet s/Impostos a Recup. (Realiza)</v>
          </cell>
        </row>
        <row r="873">
          <cell r="A873" t="str">
            <v>3510102990 Rec Finan-Var Monetaria s/Outros Ativos(Realizado)</v>
          </cell>
        </row>
        <row r="874">
          <cell r="A874" t="str">
            <v>3510103010 Rec Financ-Encargos s/Cobrança Duplic(Realizado)</v>
          </cell>
        </row>
        <row r="875">
          <cell r="A875" t="str">
            <v>3510103030 Rec Financ-Descontos Obtidos (Realizado)</v>
          </cell>
        </row>
        <row r="876">
          <cell r="A876" t="str">
            <v>3510105010 Rec Financ-Bonificaçoes s/Adm Apolice (Realizado)</v>
          </cell>
        </row>
        <row r="877">
          <cell r="A877" t="str">
            <v>3510105020 Rec Financ-Bonificações s/ Pagamentos (Realizado)</v>
          </cell>
        </row>
        <row r="878">
          <cell r="A878" t="str">
            <v>3510106014 Rec Financ-Cont.AVP/ICMS Recup s/Aquis de At.Fixo</v>
          </cell>
        </row>
        <row r="879">
          <cell r="A879" t="str">
            <v>3510199990 Rec Financ-Demais Receitas Financeiras (Realizado)</v>
          </cell>
        </row>
        <row r="880">
          <cell r="A880" t="str">
            <v>Despesas financeiras</v>
          </cell>
        </row>
        <row r="881">
          <cell r="A881" t="str">
            <v>Juros de empréstimos e financiamentos</v>
          </cell>
        </row>
        <row r="882">
          <cell r="A882" t="str">
            <v>3510201010 (-)Desp Financ-Juros s/Emprestimos (Realizado)</v>
          </cell>
        </row>
        <row r="883">
          <cell r="A883" t="str">
            <v>Outras despesas financeiras</v>
          </cell>
        </row>
        <row r="884">
          <cell r="A884" t="str">
            <v>3510201020 (-)Desp Financ-Juros s/Pgtos em Atraso (Realizado)</v>
          </cell>
        </row>
        <row r="885">
          <cell r="A885" t="str">
            <v>3510201990 (-)Desp Financ-Juros s/Outros Passivos (Realizado)</v>
          </cell>
        </row>
        <row r="886">
          <cell r="A886" t="str">
            <v>3510202030 Desp Financ-Var Monet s/Pgto Imposto em Atraso(R)</v>
          </cell>
        </row>
        <row r="887">
          <cell r="A887" t="str">
            <v>3510202990 Desp Financ-Var Monet s/Outros Passivos(Realizado)</v>
          </cell>
        </row>
        <row r="888">
          <cell r="A888" t="str">
            <v>3510202991 Desp Financ-Prov Var Monetaria s/Contingencias</v>
          </cell>
        </row>
        <row r="889">
          <cell r="A889" t="str">
            <v>3510203020 Desp Financ-Encarg/Outros-Custas Judiciais(Realiz)</v>
          </cell>
        </row>
        <row r="890">
          <cell r="A890" t="str">
            <v>3510203500 Desp Financ-Encarg/Outros-I.O.C / I.O.F(Realizado)</v>
          </cell>
        </row>
        <row r="891">
          <cell r="A891" t="str">
            <v>3510203504 Ajuste a Valor Justo</v>
          </cell>
        </row>
        <row r="892">
          <cell r="A892" t="str">
            <v>3510204010 Desp Financ-EFE-Comissoes s/Aquis Empres Amort(R)</v>
          </cell>
        </row>
        <row r="893">
          <cell r="A893" t="str">
            <v>3510205010 Desp Financ-Bancarias-Comissoes (Ralizado)</v>
          </cell>
        </row>
        <row r="894">
          <cell r="A894" t="str">
            <v>3510205014 Ajuste a Valor Justo</v>
          </cell>
        </row>
        <row r="895">
          <cell r="A895" t="str">
            <v>3510205020 Desp Financ-Bancarias-Corretagens (Realiz)</v>
          </cell>
        </row>
        <row r="896">
          <cell r="A896" t="str">
            <v>3510205030 Desp Financ-Bancarias-Comissoes Fiança (Realiz)</v>
          </cell>
        </row>
        <row r="897">
          <cell r="A897" t="str">
            <v>3510205040 Desp Financ-Bancaria-Txa Expediente (Realiz)</v>
          </cell>
        </row>
        <row r="898">
          <cell r="A898" t="str">
            <v>3510299990 Demais Despesas Financeiras (Realizado)</v>
          </cell>
        </row>
        <row r="899">
          <cell r="A899" t="str">
            <v>Perdas cambiais financieras, líquidas</v>
          </cell>
        </row>
        <row r="900">
          <cell r="A900" t="str">
            <v>Variações cambiais passivas sobre empréstimos</v>
          </cell>
        </row>
        <row r="901">
          <cell r="A901" t="str">
            <v>3530102040 Var C Liq Pas-Perda Va rCamb s/Empres Exterior(R)</v>
          </cell>
        </row>
        <row r="902">
          <cell r="A902" t="str">
            <v>Outras variações cambiais</v>
          </cell>
        </row>
        <row r="903">
          <cell r="A903" t="str">
            <v>3530101010 Var C Liq At-Ganho Var Camb s/Receb Exterior (R)</v>
          </cell>
        </row>
        <row r="904">
          <cell r="A904" t="str">
            <v>3530101020 Var C Liq At-Perda Var Camb s/Receb Exterior (R)</v>
          </cell>
        </row>
        <row r="905">
          <cell r="A905" t="str">
            <v>3530102010 Var C Liq Pas-Ganho Var Camb s/Exigiv Exterior(R)</v>
          </cell>
        </row>
        <row r="906">
          <cell r="A906" t="str">
            <v>3530102020 Var C Liq Pas-Perda Var Camb s/Exigiv Exterior(R)</v>
          </cell>
        </row>
        <row r="907">
          <cell r="A907" t="str">
            <v>Imposto de renda e constribuição social</v>
          </cell>
        </row>
        <row r="908">
          <cell r="A908" t="str">
            <v>Corrente</v>
          </cell>
        </row>
        <row r="909">
          <cell r="A909" t="str">
            <v>3910101011 (-)Prov CSLL/Exerc.Corrente-CSLL Ajustado (Realiz)</v>
          </cell>
        </row>
        <row r="910">
          <cell r="A910" t="str">
            <v>3910101014 (-)Prov CSLL/Exerc.Corrente-CSLL Aj Aliq Efet (Rea</v>
          </cell>
        </row>
        <row r="911">
          <cell r="A911" t="str">
            <v>3920101011 (-)Prov IRPJ/Exerc.Correne-IRPJ s/Lucro Real</v>
          </cell>
        </row>
        <row r="912">
          <cell r="A912" t="str">
            <v>3920101014 (-)Prov IRPJ/Exerc.Corrente Aj Aliq Efetiva (Reali</v>
          </cell>
        </row>
        <row r="913">
          <cell r="A913" t="str">
            <v>Diferido</v>
          </cell>
        </row>
        <row r="914">
          <cell r="A914" t="str">
            <v>3910101021 (-)Prov CSLL/Exerc.Corrente-CSLL Diferido Ativos</v>
          </cell>
        </row>
        <row r="915">
          <cell r="A915" t="str">
            <v>3910101041 (-)Prov CSLL Diferida Base Negativa</v>
          </cell>
        </row>
        <row r="916">
          <cell r="A916" t="str">
            <v>3910102011 Prov CSLL/Exerc Ant-Prov CSLL Exerc Anterior</v>
          </cell>
        </row>
        <row r="917">
          <cell r="A917" t="str">
            <v>3920101021 (-)Prov IRPJ/Exerc.Corrente-IRPJ Diferido Ativos</v>
          </cell>
        </row>
        <row r="918">
          <cell r="A918" t="str">
            <v>3920101041 (-)Prov IRPJ Diferido Prej Fiscal</v>
          </cell>
        </row>
        <row r="919">
          <cell r="A919" t="str">
            <v>3920102011 Prov IRPJ/Exerc.Ant-Prov IRPJ Exerc Anterior</v>
          </cell>
        </row>
      </sheetData>
      <sheetData sheetId="10" refreshError="1">
        <row r="1">
          <cell r="A1" t="str">
            <v>DEZEMBRO - 2 0 1 4</v>
          </cell>
        </row>
        <row r="2">
          <cell r="A2" t="str">
            <v>ATIVO</v>
          </cell>
        </row>
        <row r="3">
          <cell r="A3" t="str">
            <v>CIRCULANTE</v>
          </cell>
        </row>
        <row r="4">
          <cell r="A4" t="str">
            <v>CAIXA E EQUIVALENTE DE CAIXA</v>
          </cell>
        </row>
        <row r="5">
          <cell r="A5" t="str">
            <v>Recursos em caixa e contas correntes bancária</v>
          </cell>
        </row>
        <row r="6">
          <cell r="A6" t="str">
            <v>1110102030 Banco Itau (Realizado)</v>
          </cell>
        </row>
        <row r="7">
          <cell r="A7" t="str">
            <v>1110102040 Banco Santander (Realizado)</v>
          </cell>
        </row>
        <row r="8">
          <cell r="A8" t="str">
            <v>1110102072 Banco Safra (Transitorias - Saidas)</v>
          </cell>
        </row>
        <row r="9">
          <cell r="A9" t="str">
            <v>1110102080 Banco Votorantin (Realizado)</v>
          </cell>
        </row>
        <row r="10">
          <cell r="A10" t="str">
            <v>1110102100 Banco Pactual S.A.(Realizado)</v>
          </cell>
        </row>
        <row r="11">
          <cell r="A11" t="str">
            <v>1110102120 Banco Alfa de Investimentos S.A. (Realizado)</v>
          </cell>
        </row>
        <row r="12">
          <cell r="A12" t="str">
            <v>1110102210 Banco do Brasil  (Realizado)</v>
          </cell>
        </row>
        <row r="13">
          <cell r="A13" t="str">
            <v>1110102220 Banco Bradesco (Realizado)</v>
          </cell>
        </row>
        <row r="14">
          <cell r="A14" t="str">
            <v>1110102240 Banco Santander (Realizado)</v>
          </cell>
        </row>
        <row r="15">
          <cell r="A15" t="str">
            <v>1110102250 Caixa Economica Federal (Realizado)</v>
          </cell>
        </row>
        <row r="16">
          <cell r="A16" t="str">
            <v>1110102270 Banco Safra (Transitorias - Saidas)</v>
          </cell>
        </row>
        <row r="17">
          <cell r="A17" t="str">
            <v>1110102290 Banco Paulista (Realizado)</v>
          </cell>
        </row>
        <row r="18">
          <cell r="A18" t="str">
            <v>1110102320 Banco Bradesco (Realizado)</v>
          </cell>
        </row>
        <row r="19">
          <cell r="A19" t="str">
            <v>1110102350 Caixa Economica Federal (Realizado)</v>
          </cell>
        </row>
        <row r="20">
          <cell r="A20" t="str">
            <v>Aplicações Financeiras (CDBs)</v>
          </cell>
        </row>
        <row r="21">
          <cell r="A21" t="str">
            <v>1110105010 Aplicaçoes Financeiras (Realizado)</v>
          </cell>
        </row>
        <row r="22">
          <cell r="A22" t="str">
            <v>APLICAÇÕES FINANCEIRAS</v>
          </cell>
        </row>
        <row r="23">
          <cell r="A23" t="str">
            <v>Mantidos para negociação</v>
          </cell>
        </row>
        <row r="24">
          <cell r="A24" t="str">
            <v>1110201010 Tits do Merc de Cap Inter Mant p/ Neg (Realizado)</v>
          </cell>
        </row>
        <row r="25">
          <cell r="A25" t="str">
            <v>Mantidos até o vencimento</v>
          </cell>
        </row>
        <row r="26">
          <cell r="A26" t="str">
            <v>1110201020 Tits do Merc de Cap Inter Mant ate Ven (Realizado)</v>
          </cell>
        </row>
        <row r="27">
          <cell r="A27" t="str">
            <v>DUPLICATAS A RECEBER DE CLIENTES</v>
          </cell>
        </row>
        <row r="28">
          <cell r="A28" t="str">
            <v>Clientes nacionais</v>
          </cell>
        </row>
        <row r="29">
          <cell r="A29" t="str">
            <v>1110501010 Duplicatas a Receber no MI  (Realizado)</v>
          </cell>
        </row>
        <row r="30">
          <cell r="A30" t="str">
            <v>1110501011 Duplicatas a Receber no MI (Parcela de CP / LP)</v>
          </cell>
        </row>
        <row r="31">
          <cell r="A31" t="str">
            <v>1110501014 (-)Rec Financeira a apropriar s/Dups a Rec no MI</v>
          </cell>
        </row>
        <row r="32">
          <cell r="A32" t="str">
            <v>PCLD</v>
          </cell>
        </row>
        <row r="33">
          <cell r="A33" t="str">
            <v>1110501900 (-) Provisões para Créditos de Liquidação Duvidosa</v>
          </cell>
        </row>
        <row r="34">
          <cell r="A34" t="str">
            <v>IMPOSTOS A RECUPERAR</v>
          </cell>
        </row>
        <row r="35">
          <cell r="A35" t="str">
            <v>Impostos de renda e CSLL</v>
          </cell>
        </row>
        <row r="36">
          <cell r="A36" t="str">
            <v>1111001010 Antecipaçoes de CSLL (Realizado)</v>
          </cell>
        </row>
        <row r="37">
          <cell r="A37" t="str">
            <v>1111001020 Antecipaçoes de IRPJ (Realizado)</v>
          </cell>
        </row>
        <row r="38">
          <cell r="A38" t="str">
            <v>1111505990 Cred Fisc CSLL- Sdo Negativo Per Anterior (Realiz)</v>
          </cell>
        </row>
        <row r="39">
          <cell r="A39" t="str">
            <v>1111506020 IRRF sobre Aplicaçoes Financeiras (Realizado)</v>
          </cell>
        </row>
        <row r="40">
          <cell r="A40" t="str">
            <v>1111506030 IRRF sobre Depositos Judiciais (Realizado)</v>
          </cell>
        </row>
        <row r="41">
          <cell r="A41" t="str">
            <v>1111506990 Cred Fisc IRPJ Sdo Negativo Per Anterior (Realiz)</v>
          </cell>
        </row>
        <row r="42">
          <cell r="A42" t="str">
            <v>2112001010 Prov p/ CSLL s/Resultado Operacional (Realizado)</v>
          </cell>
        </row>
        <row r="43">
          <cell r="A43" t="str">
            <v>2112001014 Prov p/ CSLL s/Alíquota Efetiva</v>
          </cell>
        </row>
        <row r="44">
          <cell r="A44" t="str">
            <v>2112001020 Provisao p/ CSLL Diferida (Realizado)</v>
          </cell>
        </row>
        <row r="45">
          <cell r="A45" t="str">
            <v>2112001030 Provisao p/ CSLL Diferida s/Depreciaçao Fiscal (R)</v>
          </cell>
        </row>
        <row r="46">
          <cell r="A46" t="str">
            <v>2112001040 Contribuição Social s/Compensação Base Negativa (R</v>
          </cell>
        </row>
        <row r="47">
          <cell r="A47" t="str">
            <v>2112002010 Prov p/  IR s/Resultando Operacional (Realizado)</v>
          </cell>
        </row>
        <row r="48">
          <cell r="A48" t="str">
            <v>2112002014 Prov p/  IR s/Alíquota Efetiva</v>
          </cell>
        </row>
        <row r="49">
          <cell r="A49" t="str">
            <v>2112002020 Provisao para IR Diferida (Realizado)</v>
          </cell>
        </row>
        <row r="50">
          <cell r="A50" t="str">
            <v>2112002030 Provisao p/ IR Diferida s/Depreciaçao Fiscal (R)</v>
          </cell>
        </row>
        <row r="51">
          <cell r="A51" t="str">
            <v>2112002040 Imposto de Renda s/ Compensação Prejuízo Fiscal (R</v>
          </cell>
        </row>
        <row r="52">
          <cell r="A52" t="str">
            <v>ICMS a recuperar</v>
          </cell>
        </row>
        <row r="53">
          <cell r="A53" t="str">
            <v>1111507010 ICMS a Recup sobre Ativo Permanente (Realizado)</v>
          </cell>
        </row>
        <row r="54">
          <cell r="A54" t="str">
            <v>1111507014 (-)AVP sobre ICMS a Recup sobre Ativo Permanente</v>
          </cell>
        </row>
        <row r="55">
          <cell r="A55" t="str">
            <v>INSS a compensar</v>
          </cell>
        </row>
        <row r="56">
          <cell r="A56" t="str">
            <v>1111599070 INSS a Compensar  - Decisão Judicial (Realizado)</v>
          </cell>
        </row>
        <row r="57">
          <cell r="A57" t="str">
            <v>PIS a compensar Lei nº 9.715</v>
          </cell>
        </row>
        <row r="58">
          <cell r="A58" t="str">
            <v>1111599000 PIS a Compensar Lei 9715 (Realizado)</v>
          </cell>
        </row>
        <row r="59">
          <cell r="A59" t="str">
            <v>Outros</v>
          </cell>
        </row>
        <row r="60">
          <cell r="A60" t="str">
            <v>1111599010 Imp Import a Rec-Recolhimento em Dupl (Realiz)</v>
          </cell>
        </row>
        <row r="61">
          <cell r="A61" t="str">
            <v>1111599020 INSS a Rec-Recolhimento em Duplicidade (Realizado)</v>
          </cell>
        </row>
        <row r="62">
          <cell r="A62" t="str">
            <v>1111599030 Adic Estadual doImposto de Renda a Rec (Realizado)</v>
          </cell>
        </row>
        <row r="63">
          <cell r="A63" t="str">
            <v>1111599040 FINSOCIAL 1982/83 (Realizado)</v>
          </cell>
        </row>
        <row r="64">
          <cell r="A64" t="str">
            <v>1111599050 IRRF Tercs Ret a Maior (Realizado)</v>
          </cell>
        </row>
        <row r="65">
          <cell r="A65" t="str">
            <v>1111599060 PIS/COF/COF Ret a maior (Realizado)</v>
          </cell>
        </row>
        <row r="66">
          <cell r="A66" t="str">
            <v>1111599080 ISS a restituir</v>
          </cell>
        </row>
        <row r="67">
          <cell r="A67" t="str">
            <v>ESTOQUES</v>
          </cell>
        </row>
        <row r="68">
          <cell r="A68" t="str">
            <v>Matérias-primas</v>
          </cell>
        </row>
        <row r="69">
          <cell r="A69" t="str">
            <v>1112090010 Importaçoes em And de Materias Primas (Realizado)</v>
          </cell>
        </row>
        <row r="70">
          <cell r="A70" t="str">
            <v>Produtos em processo</v>
          </cell>
        </row>
        <row r="71">
          <cell r="A71" t="str">
            <v>1112003010 Estoques de Produtos em Elaboraçao (Realizado)</v>
          </cell>
        </row>
        <row r="72">
          <cell r="A72" t="str">
            <v>Produtos Acabados</v>
          </cell>
        </row>
        <row r="73">
          <cell r="A73" t="str">
            <v>1112010010 Estoques de Produtos Acabados (Realizado)</v>
          </cell>
        </row>
        <row r="74">
          <cell r="A74" t="str">
            <v>1112050010 Estoques de Mercadorias Rev Nacionais (Realizado)</v>
          </cell>
        </row>
        <row r="75">
          <cell r="A75" t="str">
            <v>1112050020 Estoques de Mercadorias Rev Importadas (Realizado)</v>
          </cell>
        </row>
        <row r="76">
          <cell r="A76" t="str">
            <v>Provisão para desvalorização</v>
          </cell>
        </row>
        <row r="77">
          <cell r="A77" t="str">
            <v>1112010014 (-)Prov p/ Aj. do Est ao Vlr de Merc - Prods Acab</v>
          </cell>
        </row>
        <row r="78">
          <cell r="A78" t="str">
            <v>Materiais auxiliares e embalagens</v>
          </cell>
        </row>
        <row r="79">
          <cell r="A79" t="str">
            <v>1112005010 Estoques de Insumos (Mat-Aux) (Realiz)</v>
          </cell>
        </row>
        <row r="80">
          <cell r="A80" t="str">
            <v>1112008010 Estoques de Materiais de Embalagens (Realizado)</v>
          </cell>
        </row>
        <row r="81">
          <cell r="A81" t="str">
            <v>Materiais de manutenção e outros</v>
          </cell>
        </row>
        <row r="82">
          <cell r="A82" t="str">
            <v>1112020020 Estoque Almoxarif CP-Manutençao Eletrica (Realiz)</v>
          </cell>
        </row>
        <row r="83">
          <cell r="A83" t="str">
            <v>1112020030 Estoque Almoxarif CP-Manutençao Mecanica (Realiz)</v>
          </cell>
        </row>
        <row r="84">
          <cell r="A84" t="str">
            <v>1112020050 Estoq Alm CP-Manut Calderaria e Tubulaçao (Realiz)</v>
          </cell>
        </row>
        <row r="85">
          <cell r="A85" t="str">
            <v>1112020060 Estoque Alm CP-Manutençao Instrumentaçao (Realiz)</v>
          </cell>
        </row>
        <row r="86">
          <cell r="A86" t="str">
            <v>1112020070 Estoque Alm CP-Manutençao Celula HG (Realizado)</v>
          </cell>
        </row>
        <row r="87">
          <cell r="A87" t="str">
            <v>1112020080 Estoque Almo CP-Manut Celula Diafragma (Realizado)</v>
          </cell>
        </row>
        <row r="88">
          <cell r="A88" t="str">
            <v>1112020090 Estoque Alm CP-Manutençao Celula Membrana (Realiz)</v>
          </cell>
        </row>
        <row r="89">
          <cell r="A89" t="str">
            <v>1112020100 Estoque Alm CP-Manut.de Cilindros e Carretas R</v>
          </cell>
        </row>
        <row r="90">
          <cell r="A90" t="str">
            <v>1112020490 Estoque Almo CP-Manutençao em Geral (Realizado)</v>
          </cell>
        </row>
        <row r="91">
          <cell r="A91" t="str">
            <v>1112020500 Estoque Alm CP-Almoxarifado de Uso Geral (Realiz)</v>
          </cell>
        </row>
        <row r="92">
          <cell r="A92" t="str">
            <v>1112020991 Estoque Almoxarifado Transf. Parcela Realizada L.P</v>
          </cell>
        </row>
        <row r="93">
          <cell r="A93" t="str">
            <v>1112080200 Etq de Outros Mats-Almox em Poder de Ters (Realiz)</v>
          </cell>
        </row>
        <row r="94">
          <cell r="A94" t="str">
            <v>DESPESAS DE EXERCICIO SEGUINTE</v>
          </cell>
        </row>
        <row r="95">
          <cell r="A95" t="str">
            <v>Pagamentos Antecipados</v>
          </cell>
        </row>
        <row r="96">
          <cell r="A96" t="str">
            <v>1119001010 Pagamentos Antecipados-Seguros (Realizado)</v>
          </cell>
        </row>
        <row r="97">
          <cell r="A97" t="str">
            <v>1119001030 Pagamentos Antecip-Serv Tecnicos Prof (Realizado)</v>
          </cell>
        </row>
        <row r="98">
          <cell r="A98" t="str">
            <v>1119001040 Pagamentos Antecipados-Impostos (Realizado)</v>
          </cell>
        </row>
        <row r="99">
          <cell r="A99" t="str">
            <v>1119001050 Pagtos Antecip-Contribuiçoes Associativas (Realiz)</v>
          </cell>
        </row>
        <row r="100">
          <cell r="A100" t="str">
            <v>1119001900 Pagtos Antecip-Outras Desps/Custos(Realizado)</v>
          </cell>
        </row>
        <row r="101">
          <cell r="A101" t="str">
            <v>OUTROS ATIVOS CIRCULANTE</v>
          </cell>
        </row>
        <row r="102">
          <cell r="A102" t="str">
            <v>Adiantamento a Fornecedores</v>
          </cell>
        </row>
        <row r="103">
          <cell r="A103" t="str">
            <v>1118001010 Adiantamentos a Fornec de Serviços (Realizado)</v>
          </cell>
        </row>
        <row r="104">
          <cell r="A104" t="str">
            <v>1118001020 Adiantamentos a Fornecedores de MP (Realizado)</v>
          </cell>
        </row>
        <row r="105">
          <cell r="A105" t="str">
            <v>1118001030 Adiantamentos a Fornecedores de Energ (Realizado)</v>
          </cell>
        </row>
        <row r="106">
          <cell r="A106" t="str">
            <v>1118001040 Adiant  Fornecs de Materias de Consumo (Realizado)</v>
          </cell>
        </row>
        <row r="107">
          <cell r="A107" t="str">
            <v>1118001050 Adiant Fornecs de Funcionarios (Realizado)</v>
          </cell>
        </row>
        <row r="108">
          <cell r="A108" t="str">
            <v>1118001060 Adiantamentos a Fornecedores de Fretes</v>
          </cell>
        </row>
        <row r="109">
          <cell r="A109" t="str">
            <v>1118001070 Adiantamentos a Fornecedores do Exterior</v>
          </cell>
        </row>
        <row r="110">
          <cell r="A110" t="str">
            <v>Créditos a receber na venda de ativos</v>
          </cell>
        </row>
        <row r="111">
          <cell r="A111" t="str">
            <v>1118099060 Outros Créditos- Contratos a Receber (Realizado)</v>
          </cell>
        </row>
        <row r="112">
          <cell r="A112" t="str">
            <v>Outros Créditos</v>
          </cell>
        </row>
        <row r="113">
          <cell r="A113" t="str">
            <v>1118002010 Adiantamentos a Empregados Salarios (Realizado)</v>
          </cell>
        </row>
        <row r="114">
          <cell r="A114" t="str">
            <v>1118002020 Adiantamentos a Empregados 13º Salario (Realizado)</v>
          </cell>
        </row>
        <row r="115">
          <cell r="A115" t="str">
            <v>1118002030 Adiantamentos a Empregados Ferias (Realizado)</v>
          </cell>
        </row>
        <row r="116">
          <cell r="A116" t="str">
            <v>1118002050 Adiant a Empregados Plano Auxilio Doen (Realizado)</v>
          </cell>
        </row>
        <row r="117">
          <cell r="A117" t="str">
            <v>1118002060 Adto a Empregados Cobertura de Sdo Devedor (R)</v>
          </cell>
        </row>
        <row r="118">
          <cell r="A118" t="str">
            <v>1118002090 Adto a Empregados Desp de Resp de Funcionario (R)</v>
          </cell>
        </row>
        <row r="119">
          <cell r="A119" t="str">
            <v>1118099020 Outros Creditos-Depositos e Cauçoes (Realizado)</v>
          </cell>
        </row>
        <row r="120">
          <cell r="A120" t="str">
            <v>NÃO CIRCULANTE</v>
          </cell>
        </row>
        <row r="121">
          <cell r="A121" t="str">
            <v>DUPLICATAS A RECEBER DE CLIENTES</v>
          </cell>
        </row>
        <row r="122">
          <cell r="A122" t="str">
            <v>Clientes nacionais</v>
          </cell>
        </row>
        <row r="123">
          <cell r="A123" t="str">
            <v>1710501011 Duplicatas a Receber no MI LP (Parcela de CP / LP)</v>
          </cell>
        </row>
        <row r="124">
          <cell r="A124" t="str">
            <v>1710501014 (-)Rec Fin a apr s/ Dups a Rec no MI LP (P CP/LP)</v>
          </cell>
        </row>
        <row r="125">
          <cell r="A125" t="str">
            <v>IMPOSTOS A RECUPERAR</v>
          </cell>
        </row>
        <row r="126">
          <cell r="A126" t="str">
            <v>ICMS a Recuperar</v>
          </cell>
        </row>
        <row r="127">
          <cell r="A127" t="str">
            <v>1711507010 ICMS a Recuperar s/e Ativo Permanet LP (Realizado)</v>
          </cell>
        </row>
        <row r="128">
          <cell r="A128" t="str">
            <v>1711507014 (-)AVP s/ ICMS a Recuperar s/ Ativo Permanente LP</v>
          </cell>
        </row>
        <row r="129">
          <cell r="A129" t="str">
            <v>Outros</v>
          </cell>
        </row>
        <row r="130">
          <cell r="A130" t="str">
            <v>1711599040 FINSOCIAL 1982/83 (Realizado)</v>
          </cell>
        </row>
        <row r="131">
          <cell r="A131" t="str">
            <v>ESTOQUES</v>
          </cell>
        </row>
        <row r="132">
          <cell r="A132" t="str">
            <v>Materiais de Almoxarifado de Giro Baixo</v>
          </cell>
        </row>
        <row r="133">
          <cell r="A133" t="str">
            <v>1712020991 Estoque Almoxarifado Parcela Realizada LP</v>
          </cell>
        </row>
        <row r="134">
          <cell r="A134" t="str">
            <v>DEPÓSITOS JUDICIAIS</v>
          </cell>
        </row>
        <row r="135">
          <cell r="A135" t="str">
            <v>Tributários</v>
          </cell>
        </row>
        <row r="136">
          <cell r="A136" t="str">
            <v>1719001010 Dep Jud s/Res Trib Fed R</v>
          </cell>
        </row>
        <row r="137">
          <cell r="A137" t="str">
            <v>1719001011 ATM Dep Jud s/Res Trib Fed R</v>
          </cell>
        </row>
        <row r="138">
          <cell r="A138" t="str">
            <v>1719001030 Depos Jud s/Reserva-Imp, Taxas e Contrib Munic (R)</v>
          </cell>
        </row>
        <row r="139">
          <cell r="A139" t="str">
            <v>Trabalhistas</v>
          </cell>
        </row>
        <row r="140">
          <cell r="A140" t="str">
            <v>1719002010 Depos Jud s/Reserva-Reclamaçoes Trab (Realizado)</v>
          </cell>
        </row>
        <row r="141">
          <cell r="A141" t="str">
            <v>1719002030 Dep Judiciais s/Res -Previdenciarios (Realizado)</v>
          </cell>
        </row>
        <row r="142">
          <cell r="A142" t="str">
            <v>Outros depósitos judiciais</v>
          </cell>
        </row>
        <row r="143">
          <cell r="A143" t="str">
            <v>1719003990 Outros Dep Judic s/Reserva de Nat Oper (Realizado)</v>
          </cell>
        </row>
        <row r="144">
          <cell r="A144" t="str">
            <v>1719003991 ATM Outros Dep Judic s/Reserva Nat Oper (Realiz)</v>
          </cell>
        </row>
        <row r="145">
          <cell r="A145" t="str">
            <v>OUTROS ATIVOS NÃO CIRCULANTES</v>
          </cell>
        </row>
        <row r="146">
          <cell r="A146" t="str">
            <v>Créditos a receber na venda de ativos</v>
          </cell>
        </row>
        <row r="147">
          <cell r="A147" t="str">
            <v>1718099060 Outros Créditos- Contratos a Receber (Realizado)</v>
          </cell>
        </row>
        <row r="148">
          <cell r="A148" t="str">
            <v>INVESTIMENTOS</v>
          </cell>
        </row>
        <row r="149">
          <cell r="A149" t="str">
            <v>PARTICIPAÇÃO EM COLIGADA</v>
          </cell>
        </row>
        <row r="150">
          <cell r="A150" t="str">
            <v>Tecsis tecnologia e sistemas avançados</v>
          </cell>
        </row>
        <row r="151">
          <cell r="A151" t="str">
            <v>1720201010 Cto Part Per em Coligada ou ControladaTecsis</v>
          </cell>
        </row>
        <row r="152">
          <cell r="A152" t="str">
            <v>1720201012 Agios em Partic Per Colig ou Control - Tecsis</v>
          </cell>
        </row>
        <row r="153">
          <cell r="A153" t="str">
            <v>1720201014 Vlr Justo Ativos em Part Per Col Cont Tecsis</v>
          </cell>
        </row>
        <row r="154">
          <cell r="A154" t="str">
            <v>1720201015 Realização Vlr Justo em Part Per Col Cont -Tecsis</v>
          </cell>
        </row>
        <row r="155">
          <cell r="A155" t="str">
            <v>1720201018 Ajust Aval Patrimonial em Part Per Col Cont Tecsis</v>
          </cell>
        </row>
        <row r="156">
          <cell r="A156" t="str">
            <v>IMOBILIZADO</v>
          </cell>
        </row>
        <row r="157">
          <cell r="A157" t="str">
            <v>CUSTO</v>
          </cell>
        </row>
        <row r="158">
          <cell r="A158" t="str">
            <v>Terrenos</v>
          </cell>
        </row>
        <row r="159">
          <cell r="A159" t="str">
            <v>1740101010 Imobilizado-Custo dos Terrenos</v>
          </cell>
        </row>
        <row r="160">
          <cell r="A160" t="str">
            <v>1740101011 Imobilizado-Mais Valia dos Terrenos</v>
          </cell>
        </row>
        <row r="161">
          <cell r="A161" t="str">
            <v>1740101012 Imobilizado-Mais Valia Comb Neg dos Terrenos</v>
          </cell>
        </row>
        <row r="162">
          <cell r="A162" t="str">
            <v>Edificações e construções</v>
          </cell>
        </row>
        <row r="163">
          <cell r="A163" t="str">
            <v>1740102010 Imobilizado-Custo dos Edificios</v>
          </cell>
        </row>
        <row r="164">
          <cell r="A164" t="str">
            <v>1740102011 Imobilizado-Mais Valia dos Edificios</v>
          </cell>
        </row>
        <row r="165">
          <cell r="A165" t="str">
            <v>1740102012 Imobilizado-Mais Valia Comb Negocios dos Edificios</v>
          </cell>
        </row>
        <row r="166">
          <cell r="A166" t="str">
            <v>1740102014 Imobilizado-Contrapartida do AVP de Edificios</v>
          </cell>
        </row>
        <row r="167">
          <cell r="A167" t="str">
            <v>1740102020 Imobilizado-Custo das Benfeitorias</v>
          </cell>
        </row>
        <row r="168">
          <cell r="A168" t="str">
            <v>1740102021 Imobilizado-Mais Valia Benfeitorias</v>
          </cell>
        </row>
        <row r="169">
          <cell r="A169" t="str">
            <v>1740102022 Imobilizado-Mais Valia Comb Neg Benfeitorias</v>
          </cell>
        </row>
        <row r="170">
          <cell r="A170" t="str">
            <v>1740102024 Imobilizado-Contrapartida do AVP de Beneficios</v>
          </cell>
        </row>
        <row r="171">
          <cell r="A171" t="str">
            <v>Equipamentos e Instalações</v>
          </cell>
        </row>
        <row r="172">
          <cell r="A172" t="str">
            <v>1740103010 Imobilizado-Custo de Equipamentos</v>
          </cell>
        </row>
        <row r="173">
          <cell r="A173" t="str">
            <v>1740103011 Imobilizado-Mais Valia Equipamentos</v>
          </cell>
        </row>
        <row r="174">
          <cell r="A174" t="str">
            <v>1740103012 Imobilizado-Mais Valia Comb Neg Equipamentos</v>
          </cell>
        </row>
        <row r="175">
          <cell r="A175" t="str">
            <v>1740103014 Imobilizado-AVP Equipamentos</v>
          </cell>
        </row>
        <row r="176">
          <cell r="A176" t="str">
            <v>1740103020 Imobilizado-Custo dos Sobressalentes</v>
          </cell>
        </row>
        <row r="177">
          <cell r="A177" t="str">
            <v>1740103021 Imobilizado-Mais Valia dos Sobressalentes</v>
          </cell>
        </row>
        <row r="178">
          <cell r="A178" t="str">
            <v>1740103022 Imobilizado-Custo dos Sobressalentes</v>
          </cell>
        </row>
        <row r="179">
          <cell r="A179" t="str">
            <v>1740105020 Imobilizado-Custo de Veiculos Fora de Estrada</v>
          </cell>
        </row>
        <row r="180">
          <cell r="A180" t="str">
            <v>Veículos</v>
          </cell>
        </row>
        <row r="181">
          <cell r="A181" t="str">
            <v>1740105010 Imob-Custo de Veiculos de Passageiros e Carga</v>
          </cell>
        </row>
        <row r="182">
          <cell r="A182" t="str">
            <v>1740105011 Imob-Mais Valia de Veiculos de Passageiros e Carga</v>
          </cell>
        </row>
        <row r="183">
          <cell r="A183" t="str">
            <v>1740105012 Imob-Mais Valia de Veiculos de Passageiros e Carga</v>
          </cell>
        </row>
        <row r="184">
          <cell r="A184" t="str">
            <v>1740105014 Imob-AVP de Veiculos de Passageiros e Carga</v>
          </cell>
        </row>
        <row r="185">
          <cell r="A185" t="str">
            <v>Móveis e utensílios</v>
          </cell>
        </row>
        <row r="186">
          <cell r="A186" t="str">
            <v>1740104010 Imob-Custo de Moveis, Utensilios e Inst Comerciais</v>
          </cell>
        </row>
        <row r="187">
          <cell r="A187" t="str">
            <v>1740104014 Imob-AVP de Moveis, Utensilios e Inst Comerciais</v>
          </cell>
        </row>
        <row r="188">
          <cell r="A188" t="str">
            <v>Demais bens</v>
          </cell>
        </row>
        <row r="189">
          <cell r="A189" t="str">
            <v>1740199010 Imobilizado-Custo de Material Auxiliar Permanente</v>
          </cell>
        </row>
        <row r="190">
          <cell r="A190" t="str">
            <v>1740199070 Imobilizado-Custo de Computadores e Perifericos</v>
          </cell>
        </row>
        <row r="191">
          <cell r="A191" t="str">
            <v>1740199074 Imobilizado- AVP de Computadores e Perifericos</v>
          </cell>
        </row>
        <row r="192">
          <cell r="A192" t="str">
            <v>imobilizado em andamento</v>
          </cell>
        </row>
        <row r="193">
          <cell r="A193" t="str">
            <v>1745001010 Imob Andament-Custo das Aquisiçoes p/Imob (Receb)</v>
          </cell>
        </row>
        <row r="194">
          <cell r="A194" t="str">
            <v>1745001014 Contrapartida dos Aj a Vr Presente de IeA</v>
          </cell>
        </row>
        <row r="195">
          <cell r="A195" t="str">
            <v>1745001020 Imob And-Cto das Aquisiç de Sobres de Imob (Receb)</v>
          </cell>
        </row>
        <row r="196">
          <cell r="A196" t="str">
            <v>1745002030 Imob And-Cto dos Adiants p/Aquis de Imobiliz (T)</v>
          </cell>
        </row>
        <row r="197">
          <cell r="A197" t="str">
            <v>1745002031 Imob And-Tran de Adto p/Aquis Imob Reconcil (T)</v>
          </cell>
        </row>
        <row r="198">
          <cell r="A198" t="str">
            <v>1745002032 Imob And-Tran de Adto p/Aquis de Imob Razao (T)</v>
          </cell>
        </row>
        <row r="199">
          <cell r="A199" t="str">
            <v>1745099010 Imob And-Encar Fin s/ Aquis de Imob-Juros (Realiz)</v>
          </cell>
        </row>
        <row r="200">
          <cell r="A200" t="str">
            <v>1745099030 Imob And-Encar Fin s/ Aquis de Imob-Var Cam (R)</v>
          </cell>
        </row>
        <row r="252">
          <cell r="A252" t="str">
            <v>PASSIVO E PATRIMÔNIO LÍQUIDO</v>
          </cell>
        </row>
        <row r="253">
          <cell r="A253" t="str">
            <v>CIRCULANTE</v>
          </cell>
        </row>
        <row r="254">
          <cell r="A254" t="str">
            <v>FORNECEDORES</v>
          </cell>
        </row>
        <row r="255">
          <cell r="A255" t="str">
            <v>Serviços</v>
          </cell>
        </row>
        <row r="256">
          <cell r="A256" t="str">
            <v>2110101010 Fornecedores Nacionais de Serviços (Realizado)</v>
          </cell>
        </row>
        <row r="257">
          <cell r="A257" t="str">
            <v>Matérias Primas</v>
          </cell>
        </row>
        <row r="258">
          <cell r="A258" t="str">
            <v>2110101020 Fornecedores Nacionais de MP (Realizado)</v>
          </cell>
        </row>
        <row r="259">
          <cell r="A259" t="str">
            <v>Fretes</v>
          </cell>
        </row>
        <row r="260">
          <cell r="A260" t="str">
            <v>2110101070 Fornecedores Nacionais de Fretes (Realizado)</v>
          </cell>
        </row>
        <row r="261">
          <cell r="A261" t="str">
            <v>Materiais de Consumo</v>
          </cell>
        </row>
        <row r="262">
          <cell r="A262" t="str">
            <v>2110101040 Fornecedores Nacionais de Mat de Cons(Realizado)</v>
          </cell>
        </row>
        <row r="263">
          <cell r="A263" t="str">
            <v>2110102040 Fornecedores do Ext de Mat de Cons (Realizado)</v>
          </cell>
        </row>
        <row r="264">
          <cell r="A264" t="str">
            <v>Demais tipos de fornecedores</v>
          </cell>
        </row>
        <row r="265">
          <cell r="A265" t="str">
            <v>2110101030 Fornecedores Nacionais de Energia (Realizado)</v>
          </cell>
        </row>
        <row r="266">
          <cell r="A266" t="str">
            <v>2110101050 Fornecedores Nacionais Funcionarios (Realizado)</v>
          </cell>
        </row>
        <row r="267">
          <cell r="A267" t="str">
            <v>2110101060 Fornecedores Nacionais Imps e Contrib (Realizado)</v>
          </cell>
        </row>
        <row r="268">
          <cell r="A268" t="str">
            <v>2110101990 Fornecedores Nacionais Outros (Realizado)</v>
          </cell>
        </row>
        <row r="269">
          <cell r="A269" t="str">
            <v>2110199011 Provisao de Entrada de Mercad e de Fatura (EM/EF)</v>
          </cell>
        </row>
        <row r="270">
          <cell r="A270" t="str">
            <v>EMPRÉSTIMOS</v>
          </cell>
        </row>
        <row r="271">
          <cell r="A271" t="str">
            <v>Moeda nacional</v>
          </cell>
        </row>
        <row r="272">
          <cell r="A272" t="str">
            <v>2110502010 Emprest e Financs em Moeda Nacional CP (Realizado)</v>
          </cell>
        </row>
        <row r="273">
          <cell r="A273" t="str">
            <v>2110502020 Juros s/Empr Fin em Moeda Nacional CP (Realizado)</v>
          </cell>
        </row>
        <row r="274">
          <cell r="A274" t="str">
            <v>2110502500 Custo de Emprest e Finan Amort em MN CP (Realiz)</v>
          </cell>
        </row>
        <row r="275">
          <cell r="A275" t="str">
            <v>Moeda estrangeira</v>
          </cell>
        </row>
        <row r="276">
          <cell r="A276" t="str">
            <v>2110502600 Emprestimos e Finan em Moeda Estrang CP (Realiz)</v>
          </cell>
        </row>
        <row r="277">
          <cell r="A277" t="str">
            <v>2110502610 Jur s/Emprest e Finan Moeda Estrang CP (Realizado)</v>
          </cell>
        </row>
        <row r="278">
          <cell r="A278" t="str">
            <v>SALÁRIOS E ENCARGOS SOCIAIS</v>
          </cell>
        </row>
        <row r="279">
          <cell r="A279" t="str">
            <v>Salários, Férias e Gratificações</v>
          </cell>
        </row>
        <row r="280">
          <cell r="A280" t="str">
            <v>2111001050 Provisao de 13º Salario (Realizado)</v>
          </cell>
        </row>
        <row r="281">
          <cell r="A281" t="str">
            <v>2111001060 Provisao de Ferias (Realizado)</v>
          </cell>
        </row>
        <row r="282">
          <cell r="A282" t="str">
            <v>2111001080 Provisao de Gratificaçoes Ferias (Realizado)</v>
          </cell>
        </row>
        <row r="283">
          <cell r="A283" t="str">
            <v>2111001090 Provisao de Gratificaçoes Diretores Estatutários</v>
          </cell>
        </row>
        <row r="284">
          <cell r="A284" t="str">
            <v>2111001100 Provisão de Gratificações  - CLT</v>
          </cell>
        </row>
        <row r="285">
          <cell r="A285" t="str">
            <v>2111001900 Provisoes Partic nos Lucros de Funcion (Realizado)</v>
          </cell>
        </row>
        <row r="286">
          <cell r="A286" t="str">
            <v>INSS</v>
          </cell>
        </row>
        <row r="287">
          <cell r="A287" t="str">
            <v>2111005010 Contrib Prev a Recolher-INSS s/Folha (Realizado)</v>
          </cell>
        </row>
        <row r="288">
          <cell r="A288" t="str">
            <v>2111005020 Contrib Prev a Recolher-INSS s/Autonomos (Realiz)</v>
          </cell>
        </row>
        <row r="289">
          <cell r="A289" t="str">
            <v>2111005030 Contrib Prev a Recolher-INSS s/Cooperativas (Real)</v>
          </cell>
        </row>
        <row r="290">
          <cell r="A290" t="str">
            <v>2111005050 Prov de Contrib Prev-INSS sobre 13º Salario (R)</v>
          </cell>
        </row>
        <row r="291">
          <cell r="A291" t="str">
            <v>2111005060 Prov de Contrib Prev-INSS sobre Ferias (Realizado)</v>
          </cell>
        </row>
        <row r="292">
          <cell r="A292" t="str">
            <v>FGTS</v>
          </cell>
        </row>
        <row r="293">
          <cell r="A293" t="str">
            <v>2111006010 Contrib Prev a Recolher-FGTS s/Folha (Realizado)</v>
          </cell>
        </row>
        <row r="294">
          <cell r="A294" t="str">
            <v>2111006050 Prov Contrib Prev-FGTS s/ 13º Salario (Realizado)</v>
          </cell>
        </row>
        <row r="295">
          <cell r="A295" t="str">
            <v>2111006060 Prov Contrib Prev-FGTS sobre Ferias (Realizado)</v>
          </cell>
        </row>
        <row r="296">
          <cell r="A296" t="str">
            <v>OUTROS IMPOSTOS E CONTRIBUIÇÕES A PAGAR</v>
          </cell>
        </row>
        <row r="297">
          <cell r="A297" t="str">
            <v>ICMS a recolher</v>
          </cell>
        </row>
        <row r="298">
          <cell r="A298" t="str">
            <v>2113005300 ICMS a Recolher (Realizado)</v>
          </cell>
        </row>
        <row r="299">
          <cell r="A299" t="str">
            <v>PIS a recolher</v>
          </cell>
        </row>
        <row r="300">
          <cell r="A300" t="str">
            <v>2113005010 PIS a Recolher (Realizado)</v>
          </cell>
        </row>
        <row r="301">
          <cell r="A301" t="str">
            <v>Cofins a recolher</v>
          </cell>
        </row>
        <row r="302">
          <cell r="A302" t="str">
            <v>2113005020 COFINS a Recolher (Realizado)</v>
          </cell>
        </row>
        <row r="303">
          <cell r="A303" t="str">
            <v>Obrigações tributárias s/ servs.de terceiros</v>
          </cell>
        </row>
        <row r="304">
          <cell r="A304" t="str">
            <v>2113001010 IR de Funcionarios (Realizado)</v>
          </cell>
        </row>
        <row r="305">
          <cell r="A305" t="str">
            <v>2113001200 Imposto Sindical de Funcionarios (Realizado)</v>
          </cell>
        </row>
        <row r="306">
          <cell r="A306" t="str">
            <v>2113001300 Imposto de Renda s/Servs de Terceiros (Realizado)</v>
          </cell>
        </row>
        <row r="307">
          <cell r="A307" t="str">
            <v>2113001310 INSS s/Serviços de Terceiros PF</v>
          </cell>
        </row>
        <row r="308">
          <cell r="A308" t="str">
            <v>2113001320 INSS s/Serviços de Terceiros PJ</v>
          </cell>
        </row>
        <row r="309">
          <cell r="A309" t="str">
            <v>2113001350 CSLL s/Serviços de Terceiros (Realizado)</v>
          </cell>
        </row>
        <row r="310">
          <cell r="A310" t="str">
            <v>2113001360 PIS s/Serviços de Terceiros (Realizado)</v>
          </cell>
        </row>
        <row r="311">
          <cell r="A311" t="str">
            <v>2113001370 COFINS s/Serviços de Terceiros (Realizado)</v>
          </cell>
        </row>
        <row r="312">
          <cell r="A312" t="str">
            <v>2113001400 ISS s/Serviços de Terceiros (Realizado)</v>
          </cell>
        </row>
        <row r="313">
          <cell r="A313" t="str">
            <v>Outros</v>
          </cell>
        </row>
        <row r="314">
          <cell r="A314" t="str">
            <v>2113099010 CIDE s/Remessas ao Exterior a Recolher (Realizado)</v>
          </cell>
        </row>
        <row r="315">
          <cell r="A315" t="str">
            <v>DIVIDENDOS E JUROS S/ CAPITAL PROPRIO A PAGAR</v>
          </cell>
        </row>
        <row r="316">
          <cell r="A316" t="str">
            <v>Dividendos a pagar</v>
          </cell>
        </row>
        <row r="317">
          <cell r="A317" t="str">
            <v>2114001010 Dividendos a Pagar (Realizado)</v>
          </cell>
        </row>
        <row r="318">
          <cell r="A318" t="str">
            <v>Dividendos propostos</v>
          </cell>
        </row>
        <row r="319">
          <cell r="A319" t="str">
            <v>2114001020 Dividendos Propostos (Realizado)</v>
          </cell>
        </row>
        <row r="320">
          <cell r="A320" t="str">
            <v>DEMANDAS JUDICIAIS</v>
          </cell>
        </row>
        <row r="321">
          <cell r="A321" t="str">
            <v>Fiscais</v>
          </cell>
        </row>
        <row r="322">
          <cell r="A322" t="str">
            <v>2119001010 Prov Nat Trib s/Dep Gar CP-Imp,Taxas Contr Fed (R)</v>
          </cell>
        </row>
        <row r="323">
          <cell r="A323" t="str">
            <v>ENERGIA ELÉTRICA</v>
          </cell>
        </row>
        <row r="324">
          <cell r="A324" t="str">
            <v>Energia elétrica provisionada</v>
          </cell>
        </row>
        <row r="325">
          <cell r="A325" t="str">
            <v>2118005010 Fornec e nao Faturado-Energia Eletrica (Realizado)</v>
          </cell>
        </row>
        <row r="326">
          <cell r="A326" t="str">
            <v>OUTROS PASSIVOS CIRCULANTES</v>
          </cell>
        </row>
        <row r="327">
          <cell r="A327" t="str">
            <v>Serviços Técnicos profissionais</v>
          </cell>
        </row>
        <row r="328">
          <cell r="A328" t="str">
            <v>2119003020 Prov Nat Op Desp c/ Servs Tecn e Prof CP (Realiz)</v>
          </cell>
        </row>
        <row r="329">
          <cell r="A329" t="str">
            <v>Fretes sobre vendas</v>
          </cell>
        </row>
        <row r="330">
          <cell r="A330" t="str">
            <v>2119003010 Prov Nat Op Desp c/ Fretes s/Vendas CP (Realizado)</v>
          </cell>
        </row>
        <row r="331">
          <cell r="A331" t="str">
            <v>Desembaraço alfandegário</v>
          </cell>
        </row>
        <row r="332">
          <cell r="A332" t="str">
            <v>2118005040 Fornec e nao Faturado-Materiais de Cons (Realiz)</v>
          </cell>
        </row>
        <row r="333">
          <cell r="A333" t="str">
            <v>Obrigações de natureza fiscais</v>
          </cell>
        </row>
        <row r="334">
          <cell r="A334" t="str">
            <v>2119001030 Prov Nat Trib s/Dep Gar CP-Imp,Taxas Cont Mun (R)</v>
          </cell>
        </row>
        <row r="335">
          <cell r="A335" t="str">
            <v>Trabalhistas e previdênciárias</v>
          </cell>
        </row>
        <row r="336">
          <cell r="A336" t="str">
            <v>2119002020 Prov Ind Trab p/Desligamen Compulsório CP (Realiz)</v>
          </cell>
        </row>
        <row r="337">
          <cell r="A337" t="str">
            <v>2119002030 Prov Nat Trab s/Dep Gar CP-Previdenciaria (Realiz)</v>
          </cell>
        </row>
        <row r="338">
          <cell r="A338" t="str">
            <v>Outras obrigações e compromissos</v>
          </cell>
        </row>
        <row r="339">
          <cell r="A339" t="str">
            <v>2118005020 Fornec e nao Faturado-Agua (Realizado)</v>
          </cell>
        </row>
        <row r="340">
          <cell r="A340" t="str">
            <v>2118005090 Fornec e nao Faturado-Servs Prestados (Realizado)</v>
          </cell>
        </row>
        <row r="341">
          <cell r="A341" t="str">
            <v>2118010010 Retençoes s/Contratos de Compras (Realizado)</v>
          </cell>
        </row>
        <row r="342">
          <cell r="A342" t="str">
            <v>2118050010 Adiantamentos de Clientes (Realizado)</v>
          </cell>
        </row>
        <row r="343">
          <cell r="A343" t="str">
            <v>2119003030 Prov Nat Op Desp c/Servs de Auditoria CP (Realiz)</v>
          </cell>
        </row>
        <row r="344">
          <cell r="A344" t="str">
            <v>2119003040 Prov Nat Op Desp c/Seguros Gerais CP (Realizado)</v>
          </cell>
        </row>
        <row r="345">
          <cell r="A345" t="str">
            <v>NÃO CIRCULANTE</v>
          </cell>
        </row>
        <row r="346">
          <cell r="A346" t="str">
            <v>EMPRÉSTIMOS</v>
          </cell>
        </row>
        <row r="347">
          <cell r="A347" t="str">
            <v>Moeda nacional</v>
          </cell>
        </row>
        <row r="348">
          <cell r="A348" t="str">
            <v>2310502010 Emprest Finan Bancarios Moeda Nacional LP (R)</v>
          </cell>
        </row>
        <row r="349">
          <cell r="A349" t="str">
            <v>Moeda estrangeira</v>
          </cell>
        </row>
        <row r="350">
          <cell r="A350" t="str">
            <v>2310502600 Empr Financiamentos Moeda Estrangeira LP (Realiz)</v>
          </cell>
        </row>
        <row r="351">
          <cell r="A351" t="str">
            <v>IR E CONTRIBUIÇÃO SOCIAL DIFERIDOS</v>
          </cell>
        </row>
        <row r="352">
          <cell r="A352" t="str">
            <v>Ativo de imposto diferido</v>
          </cell>
        </row>
        <row r="353">
          <cell r="A353" t="str">
            <v>1711505000 Cred Fisc CSLL-Bas de Cal Negativa LP (Real)</v>
          </cell>
        </row>
        <row r="354">
          <cell r="A354" t="str">
            <v>1711505010 Cred Fisc CSLL-Dif Temp e Bas de Cal Negtiv (Real)</v>
          </cell>
        </row>
        <row r="355">
          <cell r="A355" t="str">
            <v>1711506000 Cred Fisc IRPJL-Prejuizo Fiscal LP (Real)</v>
          </cell>
        </row>
        <row r="356">
          <cell r="A356" t="str">
            <v>1711506010 Cred Fisc IRPJ-Dif Temp e Prej Fiscais (Realizado)</v>
          </cell>
        </row>
        <row r="357">
          <cell r="A357" t="str">
            <v>Passivo de imposto diferido</v>
          </cell>
        </row>
        <row r="358">
          <cell r="A358" t="str">
            <v>2312001030 Prov p/CSLL Diferida s/Depr Fiscal LP (Realiz)</v>
          </cell>
        </row>
        <row r="359">
          <cell r="A359" t="str">
            <v>2312001040 Prov p/CSLL Diferida s/Dif Temp (Realiz)</v>
          </cell>
        </row>
        <row r="360">
          <cell r="A360" t="str">
            <v>2312002030 Prov p/IR Diferida s/Depr Fiscal LP (Realiz)</v>
          </cell>
        </row>
        <row r="361">
          <cell r="A361" t="str">
            <v>2312002040 Prov p/IR Diferida s/Dif Temp (Realiz)</v>
          </cell>
        </row>
        <row r="362">
          <cell r="A362" t="str">
            <v>OBRIGAÇÕES COM BENEFICIOS AOS EMPREGADOS</v>
          </cell>
        </row>
        <row r="363">
          <cell r="A363" t="str">
            <v>Provisão para previdência privada</v>
          </cell>
        </row>
        <row r="364">
          <cell r="A364" t="str">
            <v>2318001010 Previdencia Privada-CVM 371 LP (Realizado)</v>
          </cell>
        </row>
        <row r="365">
          <cell r="A365" t="str">
            <v>Provisão para assistência médica</v>
          </cell>
        </row>
        <row r="366">
          <cell r="A366" t="str">
            <v>2319002150 Prov Nat Trab Assist Medica Aposent LP (Realizado)</v>
          </cell>
        </row>
        <row r="367">
          <cell r="A367" t="str">
            <v>Provisão para aposentadoria compulsória</v>
          </cell>
        </row>
        <row r="368">
          <cell r="A368" t="str">
            <v>2319002100 Prov Nat Trab FGTS Aviso Prev s/Aposen Comp LP (R)</v>
          </cell>
        </row>
        <row r="369">
          <cell r="A369" t="str">
            <v>Provisão para gratificação tempo de casa</v>
          </cell>
        </row>
        <row r="370">
          <cell r="A370" t="str">
            <v>2319002200 Prov Nat Trab Gratif Tempo Serv LP-Quinq (Realiz)</v>
          </cell>
        </row>
        <row r="371">
          <cell r="A371" t="str">
            <v>DEMANDAS JUDICIAIS</v>
          </cell>
        </row>
        <row r="372">
          <cell r="A372" t="str">
            <v>Fiscais</v>
          </cell>
        </row>
        <row r="373">
          <cell r="A373" t="str">
            <v>2319001010 Prov Nat Trib s/Dep Gar LP-Imp,Taxs Cont Fed (R)</v>
          </cell>
        </row>
        <row r="374">
          <cell r="A374" t="str">
            <v>2319001020 Prov Nat Trib s/Dep Gar LP-Imp,Taxs Cont Est (R)</v>
          </cell>
        </row>
        <row r="375">
          <cell r="A375" t="str">
            <v>2319101010 Prov Nat Trib c/Dep Gar LP-Imp,Taxas Cont Fed (R)</v>
          </cell>
        </row>
        <row r="376">
          <cell r="A376" t="str">
            <v>2319101030 Prov Nat Trib c/Dep em Gar LP-Imps Taxs Ctrb M (R)</v>
          </cell>
        </row>
        <row r="377">
          <cell r="A377" t="str">
            <v>Trabalhistas</v>
          </cell>
        </row>
        <row r="378">
          <cell r="A378" t="str">
            <v>2319002010 Prov Nat Trab s/Dep em Gar LP-Recl Trabalh (Real)</v>
          </cell>
        </row>
        <row r="379">
          <cell r="A379" t="str">
            <v>2319102030 Prov Nat Trab c/Dep em Gar LP - Previd (Realizado)</v>
          </cell>
        </row>
        <row r="380">
          <cell r="A380" t="str">
            <v>Cíveis</v>
          </cell>
        </row>
        <row r="381">
          <cell r="A381" t="str">
            <v>2319000010 Prov Nat Cível s/Dep Gar LP (R)</v>
          </cell>
        </row>
        <row r="382">
          <cell r="A382" t="str">
            <v>Depósitos judiciais</v>
          </cell>
        </row>
        <row r="383">
          <cell r="A383" t="str">
            <v>1719101010 Dep Jud c/ Reserv-Imp,Taxas e Contrib Fed (Realiz)</v>
          </cell>
        </row>
        <row r="384">
          <cell r="A384" t="str">
            <v>1719101030 Dep Jud c/Res-Imp, Taxas e Contrib Munic (Realiz)</v>
          </cell>
        </row>
        <row r="385">
          <cell r="A385" t="str">
            <v>1719102030 Dep Judiciais c/Res -Previdenciarios (Realizado)</v>
          </cell>
        </row>
        <row r="386">
          <cell r="A386" t="str">
            <v>PATRIMÔNIO LÍQUIDO</v>
          </cell>
        </row>
        <row r="387">
          <cell r="A387" t="str">
            <v>CAPITAL SOCIAL</v>
          </cell>
        </row>
        <row r="388">
          <cell r="A388" t="str">
            <v>Capital Subscrito</v>
          </cell>
        </row>
        <row r="389">
          <cell r="A389" t="str">
            <v>2710101010 Capital  Subs Domic e Resids no Pais (Realizado)</v>
          </cell>
        </row>
        <row r="390">
          <cell r="A390" t="str">
            <v>AÇÕES EM TESOURARIA</v>
          </cell>
        </row>
        <row r="391">
          <cell r="A391" t="str">
            <v>Preferenciais</v>
          </cell>
        </row>
        <row r="392">
          <cell r="A392" t="str">
            <v>2760101010 Acoes Preferenciais em Tesouraria</v>
          </cell>
        </row>
        <row r="393">
          <cell r="A393" t="str">
            <v>Ordinárias</v>
          </cell>
        </row>
        <row r="394">
          <cell r="A394" t="str">
            <v>2760101020 Acoes Ordinarias em Tesouraria</v>
          </cell>
        </row>
        <row r="395">
          <cell r="A395" t="str">
            <v>RESERVA DE CAPITAL</v>
          </cell>
        </row>
        <row r="396">
          <cell r="A396" t="str">
            <v>Reserva de capital</v>
          </cell>
        </row>
        <row r="397">
          <cell r="A397" t="str">
            <v>2740101010 Reservas de Capital (Realizado)</v>
          </cell>
        </row>
        <row r="398">
          <cell r="A398" t="str">
            <v>RESERVAS DE LUCROS</v>
          </cell>
        </row>
        <row r="399">
          <cell r="A399" t="str">
            <v>Reserva legal</v>
          </cell>
        </row>
        <row r="400">
          <cell r="A400" t="str">
            <v>2740201010 Reserva Legal (Realizado)</v>
          </cell>
        </row>
        <row r="401">
          <cell r="A401" t="str">
            <v>Reserva especial para dividendos</v>
          </cell>
        </row>
        <row r="402">
          <cell r="A402" t="str">
            <v>2740203010 Reserva Especial p/Dividendos (Realizado)</v>
          </cell>
        </row>
        <row r="403">
          <cell r="A403" t="str">
            <v>Reserva de retenção de lucros</v>
          </cell>
        </row>
        <row r="404">
          <cell r="A404" t="str">
            <v>2740202000 Reserva Est-Ret de Lucros An Anteriores (Realiz)</v>
          </cell>
        </row>
        <row r="405">
          <cell r="A405" t="str">
            <v>2740202100 Reserva Est-Ret de Lucros Exer de 2.014 (Realiz)</v>
          </cell>
        </row>
        <row r="406">
          <cell r="A406" t="str">
            <v>Reserva de lucros a realizar</v>
          </cell>
        </row>
        <row r="407">
          <cell r="A407" t="str">
            <v>2740204010 Reserva de Lucros a Realizar (Realizado)</v>
          </cell>
        </row>
        <row r="408">
          <cell r="A408" t="str">
            <v>OUTROS RESULTADOS ABRANGENTES DO PERIODO</v>
          </cell>
        </row>
        <row r="409">
          <cell r="A409" t="str">
            <v>Ajuste às normas internacionais de contab.</v>
          </cell>
        </row>
        <row r="410">
          <cell r="A410" t="str">
            <v>2750101010 Ajs as Normas Internac de Contab (Realizado)</v>
          </cell>
        </row>
        <row r="411">
          <cell r="A411" t="str">
            <v>2750102010 (-)Ajs as Normas Internac de Contab (Realizado)</v>
          </cell>
        </row>
        <row r="412">
          <cell r="A412" t="str">
            <v>LUCROS ACUMULADOS</v>
          </cell>
        </row>
        <row r="413">
          <cell r="A413" t="str">
            <v>Resultado líquido do periodo</v>
          </cell>
        </row>
        <row r="414">
          <cell r="A414" t="str">
            <v>Resultado antes dos tributos sobre o lucro</v>
          </cell>
        </row>
        <row r="415">
          <cell r="A415" t="str">
            <v>Resultado antes do resultado financeiro</v>
          </cell>
        </row>
        <row r="416">
          <cell r="A416" t="str">
            <v>Lucro bruto</v>
          </cell>
        </row>
        <row r="417">
          <cell r="A417" t="str">
            <v>Receita líquida de vendas</v>
          </cell>
        </row>
        <row r="418">
          <cell r="A418" t="str">
            <v>Receita bruta de vendas</v>
          </cell>
        </row>
        <row r="419">
          <cell r="A419" t="str">
            <v>Mercado interno</v>
          </cell>
        </row>
        <row r="420">
          <cell r="A420" t="str">
            <v>3110101030 Rec Brt-Vendas de Produtos no MI (Realizado)</v>
          </cell>
        </row>
        <row r="421">
          <cell r="A421" t="str">
            <v>3110105030 Rec Brt-Rev de Mercs Nacionais no MI (Realizado)</v>
          </cell>
        </row>
        <row r="422">
          <cell r="A422" t="str">
            <v>3110106030 Rec Brt-Rev de Mercs Importadas MI ( Realizado)</v>
          </cell>
        </row>
        <row r="423">
          <cell r="A423" t="str">
            <v>3110108030 Rec Brt-Rev de Mercs Diversas no MI (Realizado)</v>
          </cell>
        </row>
        <row r="424">
          <cell r="A424" t="str">
            <v>3110301030 (-)Vendas Canc e Dev de Prod no MI (Realizado)</v>
          </cell>
        </row>
        <row r="425">
          <cell r="A425" t="str">
            <v>3110305030 (-)Rev Canc e Dev de Merc Nac no MI (Realizado)</v>
          </cell>
        </row>
        <row r="426">
          <cell r="A426" t="str">
            <v>Mercado externo</v>
          </cell>
        </row>
        <row r="427">
          <cell r="A427" t="str">
            <v>3110101010 Rec Brt-Export Direta de Produtos FP (Realizado)</v>
          </cell>
        </row>
        <row r="428">
          <cell r="A428" t="str">
            <v>3110305010 (-)Rev Canc e Dev de Merc Nac no ME (Realizado)</v>
          </cell>
        </row>
        <row r="429">
          <cell r="A429" t="str">
            <v>Impostos incidentes s/ vendas e abatimentos</v>
          </cell>
        </row>
        <row r="430">
          <cell r="A430" t="str">
            <v>3110401010 (-)Desc Incond s/Vendas de Prod FP no ME (Realiz)</v>
          </cell>
        </row>
        <row r="431">
          <cell r="A431" t="str">
            <v>3110401030 (-)Desc Incond s/Vend de Prod FP no MI (Realizado)</v>
          </cell>
        </row>
        <row r="432">
          <cell r="A432" t="str">
            <v>3110405030 (-)Desc Incond s/Rev Merc Nacional no MI (Realiz)</v>
          </cell>
        </row>
        <row r="433">
          <cell r="A433" t="str">
            <v>3110408030 (-)Desc Incond s/Rev Merc Diversas no MI (Realiz)</v>
          </cell>
        </row>
        <row r="434">
          <cell r="A434" t="str">
            <v>3110501030 (-)ICMS s/Vendas de Produtos FP no MI (Realiz)</v>
          </cell>
        </row>
        <row r="435">
          <cell r="A435" t="str">
            <v>3110505030 (-)ICMS s/Rev de Mercs Nacionais no MI (Realiz)</v>
          </cell>
        </row>
        <row r="436">
          <cell r="A436" t="str">
            <v>3110506030 (-)ICMS s/Rev de Merc Imports no MI (Realiz)</v>
          </cell>
        </row>
        <row r="437">
          <cell r="A437" t="str">
            <v>3110508030 (-)ICMS s/Rev Mercadorias Divs no MI (Realizado)</v>
          </cell>
        </row>
        <row r="438">
          <cell r="A438" t="str">
            <v>3110590900 (-)ICMS s/Remessas Mercadorias Div no MI (Realiz)</v>
          </cell>
        </row>
        <row r="439">
          <cell r="A439" t="str">
            <v>3110601030 (-)Cofins s/Venda Produtos FP no MI (R)</v>
          </cell>
        </row>
        <row r="440">
          <cell r="A440" t="str">
            <v>3110605030 (-)Cofins s/Revenda Merc Nacionais no MI (Realiz)</v>
          </cell>
        </row>
        <row r="441">
          <cell r="A441" t="str">
            <v>3110606030 (-)Cofins s/Revenda Merc Importadas no MI (Realiz)</v>
          </cell>
        </row>
        <row r="442">
          <cell r="A442" t="str">
            <v>3110608030 (-)Cofins s/Revenda Mercad Divs no MI (Realiz)</v>
          </cell>
        </row>
        <row r="443">
          <cell r="A443" t="str">
            <v>3110701030 (-)PIS/Pasep s/Vendas Produtos FP no MI (Realiz)</v>
          </cell>
        </row>
        <row r="444">
          <cell r="A444" t="str">
            <v>3110705030 (-)PIS/Pasep s/Rev Merc Nacionais no MI (Realiz)</v>
          </cell>
        </row>
        <row r="445">
          <cell r="A445" t="str">
            <v>3110706030 (-)PIS/Pasep s/Rev Merc Importadas no MI (Realiz)</v>
          </cell>
        </row>
        <row r="446">
          <cell r="A446" t="str">
            <v>3110708030 (-)PIS/Pasep s/Revenda Merc Divs no MI (Realiz)</v>
          </cell>
        </row>
        <row r="447">
          <cell r="A447" t="str">
            <v>Custo dos bens e serviços vendidos</v>
          </cell>
        </row>
        <row r="448">
          <cell r="A448" t="str">
            <v>Variações nos estoques de Materiais</v>
          </cell>
        </row>
        <row r="449">
          <cell r="A449" t="str">
            <v>3130101010 Custo de Exportaçao Direta de Produtos (Realiz)</v>
          </cell>
        </row>
        <row r="450">
          <cell r="A450" t="str">
            <v>3130101012 Rev Prov p/ Desv de Exportaçao Direta de Produtos</v>
          </cell>
        </row>
        <row r="451">
          <cell r="A451" t="str">
            <v>3130101015 Prov p/Desv de Exportaçao Direta de Produtos</v>
          </cell>
        </row>
        <row r="452">
          <cell r="A452" t="str">
            <v>3130101030 Custo das Vendas de Produtos MI (Realizado)</v>
          </cell>
        </row>
        <row r="453">
          <cell r="A453" t="str">
            <v>3130101031 Custo Vendas de Produtos MI - AJ</v>
          </cell>
        </row>
        <row r="454">
          <cell r="A454" t="str">
            <v>3130101039 Custo das Vendas de Produtos MI Serv (Realizado)</v>
          </cell>
        </row>
        <row r="455">
          <cell r="A455" t="str">
            <v>3130105030 Custo das Revendas de Mercadorias no MI (Realiz)</v>
          </cell>
        </row>
        <row r="456">
          <cell r="A456" t="str">
            <v>3130105031 Custo Revendas de Produtos MI - AJ</v>
          </cell>
        </row>
        <row r="457">
          <cell r="A457" t="str">
            <v>3130106030 Custo da Revenda de Merc Importadas no MI (Realiz)</v>
          </cell>
        </row>
        <row r="458">
          <cell r="A458" t="str">
            <v>3130130030 Custo das Vendas de Serviços no MI (Realizado)</v>
          </cell>
        </row>
        <row r="459">
          <cell r="A459" t="str">
            <v>5110101010 Estoq Consumido Prod-Materia Prima SAL (Realizado)</v>
          </cell>
        </row>
        <row r="460">
          <cell r="A460" t="str">
            <v>5110101011 Estoq Consumido Prod-Materia Prima SAL (Aj Real)</v>
          </cell>
        </row>
        <row r="461">
          <cell r="A461" t="str">
            <v>5110101020 Estoq Consumido Prod-MP-Etileno (Realizado)</v>
          </cell>
        </row>
        <row r="462">
          <cell r="A462" t="str">
            <v>5110101021 Estoq Consumido Prod-MP-Etileno (Aj Real)</v>
          </cell>
        </row>
        <row r="463">
          <cell r="A463" t="str">
            <v>5110101300 Estoq Consumido Prod-Mat Aux Gas Natural (Realiz)</v>
          </cell>
        </row>
        <row r="464">
          <cell r="A464" t="str">
            <v>5110101301 Estoq Consumido Prod-Mat Aux Gas Natural (Aj Real)</v>
          </cell>
        </row>
        <row r="465">
          <cell r="A465" t="str">
            <v>5110101310 Estoq Consumido Prod-M Aux Vapor Petroc (Realiz)</v>
          </cell>
        </row>
        <row r="466">
          <cell r="A466" t="str">
            <v>5110101311 Estoq Consumido Prod-M Aux Vapor Petroc (Aj Real)</v>
          </cell>
        </row>
        <row r="467">
          <cell r="A467" t="str">
            <v>5110101490 Estoq Consumido Prod-M Aux Demais (Realizado)</v>
          </cell>
        </row>
        <row r="468">
          <cell r="A468" t="str">
            <v>5110101491 Estoq Consumido Prod-M Aux Demais (Aj Real)</v>
          </cell>
        </row>
        <row r="469">
          <cell r="A469" t="str">
            <v>5110101500 Estoq Consumido Prod-Embalagens (Realizado)</v>
          </cell>
        </row>
        <row r="470">
          <cell r="A470" t="str">
            <v>5110101501 Estoq Consumido Prod-Embalagens (Aj Real)</v>
          </cell>
        </row>
        <row r="471">
          <cell r="A471" t="str">
            <v>5110102010 Cons.Insumo-Revestimentos de Anodos (Realizado)</v>
          </cell>
        </row>
        <row r="472">
          <cell r="A472" t="str">
            <v>5110503100 Aj Preço-Var Preço Dif Cambio Ent Mat-Rev Imp(KDM)</v>
          </cell>
        </row>
        <row r="473">
          <cell r="A473" t="str">
            <v>5110504070 Aj Preço-Var Preço Dif C Mud Nivel-Semi Acab (KDV)</v>
          </cell>
        </row>
        <row r="474">
          <cell r="A474" t="str">
            <v>5110504080 Aj Preço-Var Preço Dif C Mud Nivel-Acabados (KDV)</v>
          </cell>
        </row>
        <row r="475">
          <cell r="A475" t="str">
            <v>5110505010 Aj Preço-Dif Preço Nivel Único-Sal (PRD)</v>
          </cell>
        </row>
        <row r="476">
          <cell r="A476" t="str">
            <v>5110505020 Aj Preço-Dif Preço Nivel Único-Etileno (PRD)</v>
          </cell>
        </row>
        <row r="477">
          <cell r="A477" t="str">
            <v>5110505030 Aj Preço-Dif Preço Nivel Único-Gás Natural (PRD)</v>
          </cell>
        </row>
        <row r="478">
          <cell r="A478" t="str">
            <v>5110505040 Aj Preço-Dif Preço Nivel Único-Vapor (PRD)</v>
          </cell>
        </row>
        <row r="479">
          <cell r="A479" t="str">
            <v>5110505050 Aj Preço-Dif Preço Nivel Único-Mat Auxiliares(PRD)</v>
          </cell>
        </row>
        <row r="480">
          <cell r="A480" t="str">
            <v>5110505060 Aj Preço-Dif Preço Nivel Único-Embalagens (PRD)</v>
          </cell>
        </row>
        <row r="481">
          <cell r="A481" t="str">
            <v>5110505070 Aj Preço-Dif Preço Nivel Único-Semi Acabados (PRD)</v>
          </cell>
        </row>
        <row r="482">
          <cell r="A482" t="str">
            <v>5110505080 Aj Preço-Dif Preço Nivel Único-Acabados (PRD)</v>
          </cell>
        </row>
        <row r="483">
          <cell r="A483" t="str">
            <v>5110505090 Aj Preço-Dif Preço Nivel Único-Revenda (PRD)</v>
          </cell>
        </row>
        <row r="484">
          <cell r="A484" t="str">
            <v>5110505100 Aj Preço-Dif Preço Nivel Único-Revenda Imp (PRD)</v>
          </cell>
        </row>
        <row r="485">
          <cell r="A485" t="str">
            <v>5110506070 Aj Preço-Dif Preço Multinivel-Semi Acabado (PRV)</v>
          </cell>
        </row>
        <row r="486">
          <cell r="A486" t="str">
            <v>5110506080 Aj Preço-Dif Preço Multinivel-Acabado (PRV)</v>
          </cell>
        </row>
        <row r="487">
          <cell r="A487" t="str">
            <v>5110507010 Aj Preço-Dif Preço Fechamento ML-Sal (PRY)</v>
          </cell>
        </row>
        <row r="488">
          <cell r="A488" t="str">
            <v>5110507020 Aj Preço-Dif Preço Fechamento ML-Etileno (PRY)</v>
          </cell>
        </row>
        <row r="489">
          <cell r="A489" t="str">
            <v>5110507030 Aj Preço-Dif Preço Fechamento ML-Gas Natural (PRY)</v>
          </cell>
        </row>
        <row r="490">
          <cell r="A490" t="str">
            <v>5110507040 Aj Preço-Dif Preço Fechamento ML-Vapor (PRY)</v>
          </cell>
        </row>
        <row r="491">
          <cell r="A491" t="str">
            <v>5110507050 Aj Preço-Dif Preço Fechamento ML-Mat Auxiliar(PRY)</v>
          </cell>
        </row>
        <row r="492">
          <cell r="A492" t="str">
            <v>5110507060 Aj Preço-Dif Preço Fechamento ML-Embalagens (PRY)</v>
          </cell>
        </row>
        <row r="493">
          <cell r="A493" t="str">
            <v>5110507070 Aj Preço-Dif Preço Fechamento ML-Semi Acabad (PRY)</v>
          </cell>
        </row>
        <row r="494">
          <cell r="A494" t="str">
            <v>5110507080 Aj Preço-Dif Preço Fechamento ML-Acabados (PRY)</v>
          </cell>
        </row>
        <row r="495">
          <cell r="A495" t="str">
            <v>5110507090 Aj Preço-Dif Preço Fechamento ML-Revenda (PRY)</v>
          </cell>
        </row>
        <row r="496">
          <cell r="A496" t="str">
            <v>5110599010 Ajustes do Grupo Material Ledger - Realizado</v>
          </cell>
        </row>
        <row r="497">
          <cell r="A497" t="str">
            <v>5110608010 Proj Inv.Est.Pesq-Mat Cons-Imobilizado (Realizado)</v>
          </cell>
        </row>
        <row r="498">
          <cell r="A498" t="str">
            <v>5110620010 Proj Inv.Est.Pesq-S.Prest Terc-Imobiliz PJ(Realiz)</v>
          </cell>
        </row>
        <row r="499">
          <cell r="A499" t="str">
            <v>5110620020 Proj Inv.Est.Pesq-S.Prest Terc-Estudo PJ (Realiz)</v>
          </cell>
        </row>
        <row r="500">
          <cell r="A500" t="str">
            <v>5110635010 Proj Inv.Est.Pesq-Encarg Financ-Imobiliz (Realiz)</v>
          </cell>
        </row>
        <row r="501">
          <cell r="A501" t="str">
            <v>5110690050 (-)Proj Inv.Est.Pesq-Imp Aq-ICMS s/Aquis Imob (R)</v>
          </cell>
        </row>
        <row r="502">
          <cell r="A502" t="str">
            <v>5110690060 (-)Proj Inv.Est.Pesq-Imp Aq-COFINS Aquis Imob (R)</v>
          </cell>
        </row>
        <row r="503">
          <cell r="A503" t="str">
            <v>5110690070 (-)Proj Inv.Est.Pesq-Imp Aquis-PIS Aquis Imob (R)</v>
          </cell>
        </row>
        <row r="504">
          <cell r="A504" t="str">
            <v>5110699010 Proj Inv.Est.Pesq-Transf p/Imob em Andamento (R)</v>
          </cell>
        </row>
        <row r="505">
          <cell r="A505" t="str">
            <v>5110699020 Proj Inv.Est.Pesq-Transf p/Estudos/Pesq (Realiz)</v>
          </cell>
        </row>
        <row r="506">
          <cell r="A506" t="str">
            <v>5120101010 Cst P.Fab Próp Transf p/S.Acabado(F.Fab)-(Aj.Real)</v>
          </cell>
        </row>
        <row r="507">
          <cell r="A507" t="str">
            <v>5120101011 Cst P.Fab Próp Transf p/S.Acab(AjOrdProd)-(Planej)</v>
          </cell>
        </row>
        <row r="508">
          <cell r="A508" t="str">
            <v>5120101012 Cst P.Fab Próp Transf p/S.Acab(Zerar Centro Cst)</v>
          </cell>
        </row>
        <row r="509">
          <cell r="A509" t="str">
            <v>5120101013 Cst P.Fab Próp Consumo S.Acab (Realizado)</v>
          </cell>
        </row>
        <row r="510">
          <cell r="A510" t="str">
            <v>5120101020 Cst P.Fab Próp Transf p/P.Acabado(F.Fab)-(Aj.Real)</v>
          </cell>
        </row>
        <row r="511">
          <cell r="A511" t="str">
            <v>5120101021 Cst P.Fab Próp Transf p/P.Acabado(F.Fab)-(Planej)</v>
          </cell>
        </row>
        <row r="512">
          <cell r="A512" t="str">
            <v>5120101022 Cst P.Fab Próp Transf p/P.Acabado(Zerar CentroCst)</v>
          </cell>
        </row>
        <row r="513">
          <cell r="A513" t="str">
            <v>5120101030 Cst P.Fab Próp Transf p/P.Acabado(Aj Cons Real)</v>
          </cell>
        </row>
        <row r="514">
          <cell r="A514" t="str">
            <v>Energia Elétrica</v>
          </cell>
        </row>
        <row r="515">
          <cell r="A515" t="str">
            <v>5110105010 Cons Insumo E Eletrica Cons Energia Eletrica (R)</v>
          </cell>
        </row>
        <row r="516">
          <cell r="A516" t="str">
            <v>Despesas com salários e benefícios a empregad</v>
          </cell>
        </row>
        <row r="517">
          <cell r="A517" t="str">
            <v>5111001030 FLPG-Ordena.Sal.Outras Remune Empreg(R)</v>
          </cell>
        </row>
        <row r="518">
          <cell r="A518" t="str">
            <v>5111001040 FLPG-13º Salario (Realizado)</v>
          </cell>
        </row>
        <row r="519">
          <cell r="A519" t="str">
            <v>5111001041 FLPG-Provisao de 13º Salario</v>
          </cell>
        </row>
        <row r="520">
          <cell r="A520" t="str">
            <v>5111001042 FLPG-Reversao da Provisao de 13º Salario</v>
          </cell>
        </row>
        <row r="521">
          <cell r="A521" t="str">
            <v>5111001050 FLPG-Ferias (Realizado)</v>
          </cell>
        </row>
        <row r="522">
          <cell r="A522" t="str">
            <v>5111001051 FLPG-Provisao de Ferias</v>
          </cell>
        </row>
        <row r="523">
          <cell r="A523" t="str">
            <v>5111001052 FLPG-Reversao da Provisao de Ferias</v>
          </cell>
        </row>
        <row r="524">
          <cell r="A524" t="str">
            <v>5111001080 FLPG-Gratificaçoes de Ferias(Realizado)</v>
          </cell>
        </row>
        <row r="525">
          <cell r="A525" t="str">
            <v>5111001081 FLPG-Provisao de Gratificaçoes de Ferias</v>
          </cell>
        </row>
        <row r="526">
          <cell r="A526" t="str">
            <v>5111001082 FLPG-Rever Provi Gratificaçoes de Ferias</v>
          </cell>
        </row>
        <row r="527">
          <cell r="A527" t="str">
            <v>5111001090 FLPG-Gratificaçoes (Realizado)</v>
          </cell>
        </row>
        <row r="528">
          <cell r="A528" t="str">
            <v>5111001091 FLPG-Provisao de Gratificaçoes</v>
          </cell>
        </row>
        <row r="529">
          <cell r="A529" t="str">
            <v>5111001092 FLPG-Rever da Provisao de Gratificaçoes</v>
          </cell>
        </row>
        <row r="530">
          <cell r="A530" t="str">
            <v>5111001100 FLPG-Gratificaçoes Quinquenios (Realizado)</v>
          </cell>
        </row>
        <row r="531">
          <cell r="A531" t="str">
            <v>5111001101 FLPG-Prov Gratificaçoes Quinquenios</v>
          </cell>
        </row>
        <row r="532">
          <cell r="A532" t="str">
            <v>5111001102 FLPG-Rever Prov Gratificaçoes Quinquenios</v>
          </cell>
        </row>
        <row r="533">
          <cell r="A533" t="str">
            <v>5111001120 FLPG-Aviso Previo (Realizado)</v>
          </cell>
        </row>
        <row r="534">
          <cell r="A534" t="str">
            <v>5111001122 FLPG-Reversao da Provisao de Aviso Previo</v>
          </cell>
        </row>
        <row r="535">
          <cell r="A535" t="str">
            <v>5111001130 FLPG-Indenizaçoes (Realizado)</v>
          </cell>
        </row>
        <row r="536">
          <cell r="A536" t="str">
            <v>5111001240 FLPG-Auxilio Doença (Realizado)</v>
          </cell>
        </row>
        <row r="537">
          <cell r="A537" t="str">
            <v>5111001250 FLPG-Auxilio Ensino (Realizado)</v>
          </cell>
        </row>
        <row r="538">
          <cell r="A538" t="str">
            <v>5111001300 FLPG-Bolsa Estudos de Estagiarios (Realizado)</v>
          </cell>
        </row>
        <row r="539">
          <cell r="A539" t="str">
            <v>5111001990 Rateio da Mão de Obra da Manutenção</v>
          </cell>
        </row>
        <row r="540">
          <cell r="A540" t="str">
            <v>5111002010 FGTS-Folha de Pagamento (Realizado)</v>
          </cell>
        </row>
        <row r="541">
          <cell r="A541" t="str">
            <v>5111002020 FGTS-Ferias (Realizado)</v>
          </cell>
        </row>
        <row r="542">
          <cell r="A542" t="str">
            <v>5111002021 FGTS-Provisao de FGTS s/Ferias</v>
          </cell>
        </row>
        <row r="543">
          <cell r="A543" t="str">
            <v>5111002022 FGTS-Reversao da Provisao de FGTS s/Ferias</v>
          </cell>
        </row>
        <row r="544">
          <cell r="A544" t="str">
            <v>5111002030 FGTS-13º Salario (Realizado)</v>
          </cell>
        </row>
        <row r="545">
          <cell r="A545" t="str">
            <v>5111002031 FGTS-Provisao de FGTS S/13º Salario</v>
          </cell>
        </row>
        <row r="546">
          <cell r="A546" t="str">
            <v>5111002032 FGTS-Reversao da Provisao FGTS S/13º Salario</v>
          </cell>
        </row>
        <row r="547">
          <cell r="A547" t="str">
            <v>5111002040 FGTS-Desligamento de Funcionarios (Realizado)</v>
          </cell>
        </row>
        <row r="548">
          <cell r="A548" t="str">
            <v>5111002041 FGTS-Provisao FGTS s/Desligamento Funcionario</v>
          </cell>
        </row>
        <row r="549">
          <cell r="A549" t="str">
            <v>5111002042 FGTS-Rever Prov FGTS s/Desligamento Funcionario</v>
          </cell>
        </row>
        <row r="550">
          <cell r="A550" t="str">
            <v>5111003010 INSS-Folha de Pagamento (Realizado)</v>
          </cell>
        </row>
        <row r="551">
          <cell r="A551" t="str">
            <v>5111003021 INSS-Provisao de INSS s/Ferias</v>
          </cell>
        </row>
        <row r="552">
          <cell r="A552" t="str">
            <v>5111003022 INSS-Reversao da Provisao de INSS s/Ferias</v>
          </cell>
        </row>
        <row r="553">
          <cell r="A553" t="str">
            <v>5111003031 INSS-Provisao de INSS s/13º Salario</v>
          </cell>
        </row>
        <row r="554">
          <cell r="A554" t="str">
            <v>5111003032 INSS-Reversao Provisao de INSS s/13º Salario</v>
          </cell>
        </row>
        <row r="555">
          <cell r="A555" t="str">
            <v>5111503040 Desp Medicas Hospitalares (Realizado)</v>
          </cell>
        </row>
        <row r="556">
          <cell r="A556" t="str">
            <v>5111504010 Desenv Prof-Cursos (Realizado)</v>
          </cell>
        </row>
        <row r="557">
          <cell r="A557" t="str">
            <v>5111504050 Desenv Prof-Transportes em Cursos (Realizado)</v>
          </cell>
        </row>
        <row r="558">
          <cell r="A558" t="str">
            <v>5111504060 Desenv Prof-Refeiçoes em Cursos (Realizado)</v>
          </cell>
        </row>
        <row r="559">
          <cell r="A559" t="str">
            <v>5111504070 Desenv Prof-Aprendiz de Menores em Cursos (Realiz)</v>
          </cell>
        </row>
        <row r="560">
          <cell r="A560" t="str">
            <v>5111505010 Desp Soc-Contrib Associaçao Desportiva (Realizado)</v>
          </cell>
        </row>
        <row r="561">
          <cell r="A561" t="str">
            <v>5111505020 Desp Soc-Comemoraçoes e Eventos (Realizado)</v>
          </cell>
        </row>
        <row r="562">
          <cell r="A562" t="str">
            <v>5111505030 Desp Soc-Assistencia Social Funcionarios (Realiz)</v>
          </cell>
        </row>
        <row r="563">
          <cell r="A563" t="str">
            <v>5111505040 Desp Soc-Vestuario (Realizado)</v>
          </cell>
        </row>
        <row r="564">
          <cell r="A564" t="str">
            <v>5111505050 Desp Soc-Comunicaçao Interna (Realizado)</v>
          </cell>
        </row>
        <row r="565">
          <cell r="A565" t="str">
            <v>5111506020 Despesa Vale Transporte (Realizado)</v>
          </cell>
        </row>
        <row r="566">
          <cell r="A566" t="str">
            <v>5111506030 Despesa Taxi e Conduçoes (Realizado)</v>
          </cell>
        </row>
        <row r="567">
          <cell r="A567" t="str">
            <v>5111506040 Despesa Aluguel de Veiculos (Realizado)</v>
          </cell>
        </row>
        <row r="568">
          <cell r="A568" t="str">
            <v>5111507010 Despesa Refeiçoes Prontas (Realizado)</v>
          </cell>
        </row>
        <row r="569">
          <cell r="A569" t="str">
            <v>5111507030 Despesa Refeiçoes-Visita e Outras (Realizado)</v>
          </cell>
        </row>
        <row r="570">
          <cell r="A570" t="str">
            <v>5111507040 Despesa Refeiçoes-Lanches Externos (Realizado)</v>
          </cell>
        </row>
        <row r="571">
          <cell r="A571" t="str">
            <v>Encargos de depreciação e amortização</v>
          </cell>
        </row>
        <row r="572">
          <cell r="A572" t="str">
            <v>5119001010 Encarg de Deprec e Amort-Depreciaçao (Realizado)</v>
          </cell>
        </row>
        <row r="573">
          <cell r="A573" t="str">
            <v>5119001011 Encarg de Depreciaçao Mais Valia (Realizado)</v>
          </cell>
        </row>
        <row r="574">
          <cell r="A574" t="str">
            <v>5119001012 Encarg de Depreciaçao Mais Valia CN (Realizado)</v>
          </cell>
        </row>
        <row r="575">
          <cell r="A575" t="str">
            <v>5119001014 Encarg de Depreciaçao AVP (Realizado)</v>
          </cell>
        </row>
        <row r="576">
          <cell r="A576" t="str">
            <v>5119001050 Encarg de Deprec e Amort-Amortizaçao (Realizado)</v>
          </cell>
        </row>
        <row r="577">
          <cell r="A577" t="str">
            <v>5119001054 Amortizaçao AVP (Realizado)</v>
          </cell>
        </row>
        <row r="578">
          <cell r="A578" t="str">
            <v>Serviços de terceiros</v>
          </cell>
        </row>
        <row r="579">
          <cell r="A579" t="str">
            <v>5112002010 Serviços Prestados Auditoria  p/PJ (Realizado)</v>
          </cell>
        </row>
        <row r="580">
          <cell r="A580" t="str">
            <v>5112003010 Serviços Prestados Consultoria p/PJ (Realizado)</v>
          </cell>
        </row>
        <row r="581">
          <cell r="A581" t="str">
            <v>5112003040 Serv Prest Consultoria p/PF s/Vinc Empr (Realiz)</v>
          </cell>
        </row>
        <row r="582">
          <cell r="A582" t="str">
            <v>5112008010 Serv Prest Propaganda e Publicidade p/PJ (Realiz)</v>
          </cell>
        </row>
        <row r="583">
          <cell r="A583" t="str">
            <v>5112009010 Serv Prest Atualiz/Suporte Tecnico p/PJ (Realiz)</v>
          </cell>
        </row>
        <row r="584">
          <cell r="A584" t="str">
            <v>5112010010 Serviços Prestados Temporario p/PJ (Realizado)</v>
          </cell>
        </row>
        <row r="585">
          <cell r="A585" t="str">
            <v>5112011010 Serviços Prestados Limpeza p/ PJ (Realizado)</v>
          </cell>
        </row>
        <row r="586">
          <cell r="A586" t="str">
            <v>5112012010 Serviços Prestados Vigilancia PJ (Realiz)</v>
          </cell>
        </row>
        <row r="587">
          <cell r="A587" t="str">
            <v>5112013010 Serviços Prestados Jardinagem p/PJ (Realizado)</v>
          </cell>
        </row>
        <row r="588">
          <cell r="A588" t="str">
            <v>5112014010 Serv Prest Estacionamento de Caminhoes PJ (Realiz)</v>
          </cell>
        </row>
        <row r="589">
          <cell r="A589" t="str">
            <v>5112015010 Serv Prest Fretes Carretos s/Compras p/PJ (Realiz)</v>
          </cell>
        </row>
        <row r="590">
          <cell r="A590" t="str">
            <v>5112016010 Serviços Prestados Construçao Civil p/PJ (Realiz)</v>
          </cell>
        </row>
        <row r="591">
          <cell r="A591" t="str">
            <v>5112017010 Serviços Prestados Engenharia p/PJ (Realiz)</v>
          </cell>
        </row>
        <row r="592">
          <cell r="A592" t="str">
            <v>5112018010 Serv Prest Reparos Assist Tecnica p/PJ (Realiz)</v>
          </cell>
        </row>
        <row r="593">
          <cell r="A593" t="str">
            <v>5112019010 Serv Prest Tratamento de Residuos p/PJ (Realiz)</v>
          </cell>
        </row>
        <row r="594">
          <cell r="A594" t="str">
            <v>5112099010 Prest Serv Tecnicos Profissionais p/PJ (Realiz)</v>
          </cell>
        </row>
        <row r="595">
          <cell r="A595" t="str">
            <v>5112099040 Serv Prest Tec Profissionais p/PF s/Vin Empr (R)</v>
          </cell>
        </row>
        <row r="596">
          <cell r="A596" t="str">
            <v>5112150010 Serv Prest Manutençao Civil p/PJ (Realizado)</v>
          </cell>
        </row>
        <row r="597">
          <cell r="A597" t="str">
            <v>5112151010 Serv Prest Manutençao Eletricos p/PJ (Realiz)</v>
          </cell>
        </row>
        <row r="598">
          <cell r="A598" t="str">
            <v>5112152010 Serv Prest Manutençao Mecânicos p/PJ (Realizado)</v>
          </cell>
        </row>
        <row r="599">
          <cell r="A599" t="str">
            <v>5112153010 Serv Prest Manutençao Inspeçao PJ (Realizado)</v>
          </cell>
        </row>
        <row r="600">
          <cell r="A600" t="str">
            <v>5112154010 Serv Prest Manutençao Cald/Tubul PJ (Realzado)</v>
          </cell>
        </row>
        <row r="601">
          <cell r="A601" t="str">
            <v>5112155010 Serv Prest Manut Instrumentaçao PJ (Realizado)</v>
          </cell>
        </row>
        <row r="602">
          <cell r="A602" t="str">
            <v>5112170010 Serv Prest Manutenaçao Cel HG-PJ (Realizado)</v>
          </cell>
        </row>
        <row r="603">
          <cell r="A603" t="str">
            <v>5112175010 Serv Prest Manutençao Cel Diafrag p/PJ (Realiz)</v>
          </cell>
        </row>
        <row r="604">
          <cell r="A604" t="str">
            <v>5112180010 Serv Prest Manutençao Cel Memb PJ (Realizado)</v>
          </cell>
        </row>
        <row r="605">
          <cell r="A605" t="str">
            <v>5112199010 Serv Prest Manutençao Apoio-PJ (Realizado)</v>
          </cell>
        </row>
        <row r="606">
          <cell r="A606" t="str">
            <v>5112199310 Serv Prest Manutençao Fretes Carret-PJ (Realizado)</v>
          </cell>
        </row>
        <row r="607">
          <cell r="A607" t="str">
            <v>5112199410 Serv Prest Manutençao Pintura-PJ (Realizado)</v>
          </cell>
        </row>
        <row r="608">
          <cell r="A608" t="str">
            <v>5112199510 Serv Prest Manutençao Revestimentos-PJ (Realizado)</v>
          </cell>
        </row>
        <row r="609">
          <cell r="A609" t="str">
            <v>5112199610 Serv Prest Manutençao Isolamentos-PJ (Realizado)</v>
          </cell>
        </row>
        <row r="610">
          <cell r="A610" t="str">
            <v>Outras</v>
          </cell>
        </row>
        <row r="611">
          <cell r="A611" t="str">
            <v>5110801010 Mat Cons Oper-Combustiveis e Lubrificantes(Realiz)</v>
          </cell>
        </row>
        <row r="612">
          <cell r="A612" t="str">
            <v>5110801020 Mat Cons-Oper-Mat Processo Produtivo (Realiz)</v>
          </cell>
        </row>
        <row r="613">
          <cell r="A613" t="str">
            <v>5110801030 Mat Cons-Oper-Mat Tratamento Residuos (Realiz)</v>
          </cell>
        </row>
        <row r="614">
          <cell r="A614" t="str">
            <v>5110801040 Mat Cons-Oper-Mat Análises Quimicas (Realizado)</v>
          </cell>
        </row>
        <row r="615">
          <cell r="A615" t="str">
            <v>5110801060 Mat Cons-Oper-Ferramentas (Realizado)</v>
          </cell>
        </row>
        <row r="616">
          <cell r="A616" t="str">
            <v>5110801070 Mat Cons-Oper-Mat Reparo e Manutençao (Realizado)</v>
          </cell>
        </row>
        <row r="617">
          <cell r="A617" t="str">
            <v>5110801080 Mat Cons-Oper-Mat Conserv Ecológica (Realizado)</v>
          </cell>
        </row>
        <row r="618">
          <cell r="A618" t="str">
            <v>5110801090 Mat Cons-Oper-Mat Limpeza (Realizado)</v>
          </cell>
        </row>
        <row r="619">
          <cell r="A619" t="str">
            <v>5110801100 Mat Cons-Oper-Mat Segurança (Realizado)</v>
          </cell>
        </row>
        <row r="620">
          <cell r="A620" t="str">
            <v>5110801110 Mat Cons-Oper-Consumo de Água (Realizado)</v>
          </cell>
        </row>
        <row r="621">
          <cell r="A621" t="str">
            <v>5110801130 Mat Cons-Oper-Mat Escritório (Realizado)</v>
          </cell>
        </row>
        <row r="622">
          <cell r="A622" t="str">
            <v>5110801140 Mat Cons-Oper-Mat Imobilizado (Realizado)</v>
          </cell>
        </row>
        <row r="623">
          <cell r="A623" t="str">
            <v>5110802010 Mat Cons-Manutençao-Manut Civil (Realizado)</v>
          </cell>
        </row>
        <row r="624">
          <cell r="A624" t="str">
            <v>5110802020 Mat Cons-Manutençao-Eletrica (Realizado)</v>
          </cell>
        </row>
        <row r="625">
          <cell r="A625" t="str">
            <v>5110802030 Mat Cons-Manutençao-Mecânica (Realizado)</v>
          </cell>
        </row>
        <row r="626">
          <cell r="A626" t="str">
            <v>5110802040 Mat Cons-Manutençao-Manut Inspeçao (Realizado)</v>
          </cell>
        </row>
        <row r="627">
          <cell r="A627" t="str">
            <v>5110802050 Mat Cons-Manutençao-Calderaria/Tubul (Realizado)</v>
          </cell>
        </row>
        <row r="628">
          <cell r="A628" t="str">
            <v>5110802060 Mat Cons-Manutençao-Instrumentaçao (Realizado)</v>
          </cell>
        </row>
        <row r="629">
          <cell r="A629" t="str">
            <v>5110802070 Mat Cons-Manutençao-Celula HG (Realizado)</v>
          </cell>
        </row>
        <row r="630">
          <cell r="A630" t="str">
            <v>5110802080 Mat Cons-Manutençao-Celula Diafragma (Realizado)</v>
          </cell>
        </row>
        <row r="631">
          <cell r="A631" t="str">
            <v>5110802090 Mat Cons-Manutençao-Celula Membrana (Realizado)</v>
          </cell>
        </row>
        <row r="632">
          <cell r="A632" t="str">
            <v>5110802990 Mat Cons-Manutençao-Geral (Realizado)</v>
          </cell>
        </row>
        <row r="633">
          <cell r="A633" t="str">
            <v>5111902010 Despesa Viagens Nacionais (Realizado)</v>
          </cell>
        </row>
        <row r="634">
          <cell r="A634" t="str">
            <v>5111902020 Despesas Viagens Internacionais (Realizado)</v>
          </cell>
        </row>
        <row r="635">
          <cell r="A635" t="str">
            <v>5113501020 Desp Correspondencia-Postais (Realizado)</v>
          </cell>
        </row>
        <row r="636">
          <cell r="A636" t="str">
            <v>5114001030 DLF-Desp Autenticidade Reconhecde Firmas (Realiz)</v>
          </cell>
        </row>
        <row r="637">
          <cell r="A637" t="str">
            <v>5114002030 DITC-Licença e Funcionamento (Realizado)</v>
          </cell>
        </row>
        <row r="638">
          <cell r="A638" t="str">
            <v>5114002060 DITC-Txs Municipais,Estaduais,Federais (Realizado)</v>
          </cell>
        </row>
        <row r="639">
          <cell r="A639" t="str">
            <v>5114003030 Multas Contratuais (Realizado)</v>
          </cell>
        </row>
        <row r="640">
          <cell r="A640" t="str">
            <v>5116001010 Desp Real Even-Semi Fora da Cia Gestao (Realizado)</v>
          </cell>
        </row>
        <row r="641">
          <cell r="A641" t="str">
            <v>5116001020 Desp Reali Eventos-Eventos Gestao (Realizado)</v>
          </cell>
        </row>
        <row r="642">
          <cell r="A642" t="str">
            <v>5116002020 Desp c/Marketing-Relaçoes Publicas (Realizado)</v>
          </cell>
        </row>
        <row r="643">
          <cell r="A643" t="str">
            <v>5116002030 Desp c/Marketing-Patrocinios (Realizado)</v>
          </cell>
        </row>
        <row r="644">
          <cell r="A644" t="str">
            <v>5116002040 Desp c/Marketing-Programa Fabrica Aberta (Realiz)</v>
          </cell>
        </row>
        <row r="645">
          <cell r="A645" t="str">
            <v>5118002050 DPC Ded-Contrib a Entidades de Classes (Realizado)</v>
          </cell>
        </row>
        <row r="646">
          <cell r="A646" t="str">
            <v>5119905010 Desp Alug/Loc.Oper-Locaçao Equip Operaçao (Realiz)</v>
          </cell>
        </row>
        <row r="647">
          <cell r="A647" t="str">
            <v>5119905030 Desp Alug/Loc.Oper-Loc Equiptos Escritorio(Realiz)</v>
          </cell>
        </row>
        <row r="648">
          <cell r="A648" t="str">
            <v>5119905050 Desp Alug/Loc.Oper-Loc de Equip Telefonia(Realiz)</v>
          </cell>
        </row>
        <row r="649">
          <cell r="A649" t="str">
            <v>5119906010 Desp Alug/Loc. Op-Equipamentos de Manut (Realiz)</v>
          </cell>
        </row>
        <row r="650">
          <cell r="A650" t="str">
            <v>5119910010 Assin L.IT.J.R-Ass de Jornais e Revistas (Realiz)</v>
          </cell>
        </row>
        <row r="651">
          <cell r="A651" t="str">
            <v>5119910030 Assin L.IT.J.R-Ass Livros/Inform Tecnicos (Realiz)</v>
          </cell>
        </row>
        <row r="652">
          <cell r="A652" t="str">
            <v>5119915010 Desp c/Impressao e Copias fora da Cia (Realizado)</v>
          </cell>
        </row>
        <row r="653">
          <cell r="A653" t="str">
            <v>5119920010 Desp c/Veiculos-Abastecimento (Realizado)</v>
          </cell>
        </row>
        <row r="654">
          <cell r="A654" t="str">
            <v>5119920020 Desp c/Veiculos-Reparos e Manutençoes (Realizado)</v>
          </cell>
        </row>
        <row r="655">
          <cell r="A655" t="str">
            <v>5119920030 Desp c/Veiculos-Peças e Acessorios (Realizado)</v>
          </cell>
        </row>
        <row r="656">
          <cell r="A656" t="str">
            <v>5119920050 Desp c/Veiculos-Pedagio e Estacionam (Realizado)</v>
          </cell>
        </row>
        <row r="657">
          <cell r="A657" t="str">
            <v>5119920060 Desp c/Veiculos-Licenciamento (Realizado)</v>
          </cell>
        </row>
        <row r="658">
          <cell r="A658" t="str">
            <v>Despesas / Receitas Operacionais</v>
          </cell>
        </row>
        <row r="659">
          <cell r="A659" t="str">
            <v>Despesas com vendas</v>
          </cell>
        </row>
        <row r="660">
          <cell r="A660" t="str">
            <v>Despesas com fretes sobre vendas</v>
          </cell>
        </row>
        <row r="661">
          <cell r="A661" t="str">
            <v>3140101010 Fretes s/Exportaçao Direta de Produtos (Realizado)</v>
          </cell>
        </row>
        <row r="662">
          <cell r="A662" t="str">
            <v>3140101020 Frete s/Venda Com Export c/Fim Esp Export (Realiz)</v>
          </cell>
        </row>
        <row r="663">
          <cell r="A663" t="str">
            <v>3140101030 Fretes s/Vendas de Produtos no MI (Realizado)</v>
          </cell>
        </row>
        <row r="664">
          <cell r="A664" t="str">
            <v>3140105010 Fretes s/Revendas de Mercs Nacinais no ME (Realiz)</v>
          </cell>
        </row>
        <row r="665">
          <cell r="A665" t="str">
            <v>3140105030 Fretes s/Revendas de Mercadorias no MI (Realiz)</v>
          </cell>
        </row>
        <row r="666">
          <cell r="A666" t="str">
            <v>Outras despesas com vendas</v>
          </cell>
        </row>
        <row r="667">
          <cell r="A667" t="str">
            <v>3140301010 Desp c/Desemb/Movim Export Prod FP ME (Realiz)</v>
          </cell>
        </row>
        <row r="668">
          <cell r="A668" t="str">
            <v>3140401030 Desp c/Armazenagem Produtos FP (Realizado)</v>
          </cell>
        </row>
        <row r="669">
          <cell r="A669" t="str">
            <v>3140406030 Desp c/Armazen Merc Imports p/Rev no MI (Realiz)</v>
          </cell>
        </row>
        <row r="670">
          <cell r="A670" t="str">
            <v>3140501030 Desp c/Fretes de Remessas p/Armaz Prod FP (Realiz)</v>
          </cell>
        </row>
        <row r="671">
          <cell r="A671" t="str">
            <v>3140601030 Desp Remessas p/Testes Ensaios e Prod FP (Realiz)</v>
          </cell>
        </row>
        <row r="672">
          <cell r="A672" t="str">
            <v>Despesas Gerais e Administrativas</v>
          </cell>
        </row>
        <row r="673">
          <cell r="A673" t="str">
            <v>Energia Elétrica consumo administrativo</v>
          </cell>
        </row>
        <row r="674">
          <cell r="A674" t="str">
            <v>3170801120 Mat Cons Oper-Luz (Realizado)</v>
          </cell>
        </row>
        <row r="675">
          <cell r="A675" t="str">
            <v>Despesas com salários e benefícios a empreg</v>
          </cell>
        </row>
        <row r="676">
          <cell r="A676" t="str">
            <v>3171001010 FLPG-Remuneraçao a Dirigentes Conselho Adm (Pgto)</v>
          </cell>
        </row>
        <row r="677">
          <cell r="A677" t="str">
            <v>3171001020 FLPG-Gratifiçao a Dirigentes Conselho Adm (Pgto)</v>
          </cell>
        </row>
        <row r="678">
          <cell r="A678" t="str">
            <v>3171001021 FLPG-Prov Gratificaçao a Dirigentes Conselho Adm</v>
          </cell>
        </row>
        <row r="679">
          <cell r="A679" t="str">
            <v>3171001022 FLPG-Rev Prov Gratif a Dirigentes Conselho Adm</v>
          </cell>
        </row>
        <row r="680">
          <cell r="A680" t="str">
            <v>3171001030 FLPG-Ordenados, Salars e Outras Remun a Empreg (R)</v>
          </cell>
        </row>
        <row r="681">
          <cell r="A681" t="str">
            <v>3171001040 FLPG-13º Salario (Realizado)</v>
          </cell>
        </row>
        <row r="682">
          <cell r="A682" t="str">
            <v>3171001041 FLPG-Provisao de 13º Salario</v>
          </cell>
        </row>
        <row r="683">
          <cell r="A683" t="str">
            <v>3171001042 FLPG-Reversao Provisao de 13º Salario</v>
          </cell>
        </row>
        <row r="684">
          <cell r="A684" t="str">
            <v>3171001050 FLPG-Ferias (Realizado)</v>
          </cell>
        </row>
        <row r="685">
          <cell r="A685" t="str">
            <v>3171001051 FLPG-Provisao de Ferias</v>
          </cell>
        </row>
        <row r="686">
          <cell r="A686" t="str">
            <v>3171001052 FLPG-Reversap da Provisao de Ferias</v>
          </cell>
        </row>
        <row r="687">
          <cell r="A687" t="str">
            <v>3171001080 FLPG-Gratificaçao de Ferias (Realiz)</v>
          </cell>
        </row>
        <row r="688">
          <cell r="A688" t="str">
            <v>3171001081 FLPG-Provisao de Gratificaçao de Ferias</v>
          </cell>
        </row>
        <row r="689">
          <cell r="A689" t="str">
            <v>3171001082 FLPG-Reversao da Prov de Gratificaçao de Ferias</v>
          </cell>
        </row>
        <row r="690">
          <cell r="A690" t="str">
            <v>3171001090 FLPG-Gratificaçoes (Realizado)</v>
          </cell>
        </row>
        <row r="691">
          <cell r="A691" t="str">
            <v>3171001091 FLPG-Provisao de Gratificaçoes</v>
          </cell>
        </row>
        <row r="692">
          <cell r="A692" t="str">
            <v>3171001092 FLPG-Reversao da Provisao de Gratificacoes</v>
          </cell>
        </row>
        <row r="693">
          <cell r="A693" t="str">
            <v>3171001100 FLPG-Gratificoes Quinquenios (Realizado)</v>
          </cell>
        </row>
        <row r="694">
          <cell r="A694" t="str">
            <v>3171001101 FLPG-Provisao de Gratificaçoes Quinquenios</v>
          </cell>
        </row>
        <row r="695">
          <cell r="A695" t="str">
            <v>3171001102 FLPG-Reversao Provisao Gratificacoes Quinquenios</v>
          </cell>
        </row>
        <row r="696">
          <cell r="A696" t="str">
            <v>3171001120 FLPG-Aviso Previo (Realizado)</v>
          </cell>
        </row>
        <row r="697">
          <cell r="A697" t="str">
            <v>3171001122 FLPG-Reversao da Provisao de Aviso Previo</v>
          </cell>
        </row>
        <row r="698">
          <cell r="A698" t="str">
            <v>3171001130 FLPG-Indenizacoes (Realizado)</v>
          </cell>
        </row>
        <row r="699">
          <cell r="A699" t="str">
            <v>3171001240 FLPG-Auxilio Doença (Realizado)</v>
          </cell>
        </row>
        <row r="700">
          <cell r="A700" t="str">
            <v>3171001250 FLPG-Auxilio Ensino (Realizado)</v>
          </cell>
        </row>
        <row r="701">
          <cell r="A701" t="str">
            <v>3171001300 FLPG-Bolsa Estudos de Estagiarios (Realizado)</v>
          </cell>
        </row>
        <row r="702">
          <cell r="A702" t="str">
            <v>3171001990 Rateio da Mão de Obra da Manutenção</v>
          </cell>
        </row>
        <row r="703">
          <cell r="A703" t="str">
            <v>3171002010 FGTS s/Folha de Pagamento (Realizado)</v>
          </cell>
        </row>
        <row r="704">
          <cell r="A704" t="str">
            <v>3171002020 FGTS s/Ferias (Realizado)</v>
          </cell>
        </row>
        <row r="705">
          <cell r="A705" t="str">
            <v>3171002021 Provisao de FGTS s/Ferias</v>
          </cell>
        </row>
        <row r="706">
          <cell r="A706" t="str">
            <v>3171002022 Reversao da Provisao de FGTS s/Ferias</v>
          </cell>
        </row>
        <row r="707">
          <cell r="A707" t="str">
            <v>3171002030 FGTS s/13º Salario (Realizado)</v>
          </cell>
        </row>
        <row r="708">
          <cell r="A708" t="str">
            <v>3171002031 Provisao de FGTS s/13º Salario</v>
          </cell>
        </row>
        <row r="709">
          <cell r="A709" t="str">
            <v>3171002032 Reversao da Provisao de FGTS s/13º Salario</v>
          </cell>
        </row>
        <row r="710">
          <cell r="A710" t="str">
            <v>3171002040 FGTS s/Desligamento de Funcionario (Realizado)</v>
          </cell>
        </row>
        <row r="711">
          <cell r="A711" t="str">
            <v>3171002041 Provisao de FGTS s/Desligamento de Funcionario</v>
          </cell>
        </row>
        <row r="712">
          <cell r="A712" t="str">
            <v>3171002042 Reversao Provisao de FGTS s/Desl Funcionario</v>
          </cell>
        </row>
        <row r="713">
          <cell r="A713" t="str">
            <v>3171003010 INSS s/Folha de Pagamento (Realizado)</v>
          </cell>
        </row>
        <row r="714">
          <cell r="A714" t="str">
            <v>3171003015 Recuperação de Desps c/INSS s/Folha</v>
          </cell>
        </row>
        <row r="715">
          <cell r="A715" t="str">
            <v>3171003021 Provisao de INSS s/Ferias</v>
          </cell>
        </row>
        <row r="716">
          <cell r="A716" t="str">
            <v>3171003022 Reversao da Provisao de INSS s/Ferias</v>
          </cell>
        </row>
        <row r="717">
          <cell r="A717" t="str">
            <v>3171003025 Recuperação de Desps c/INSS s/Ferias</v>
          </cell>
        </row>
        <row r="718">
          <cell r="A718" t="str">
            <v>3171003031 Provisao de INSS s/13º Salario</v>
          </cell>
        </row>
        <row r="719">
          <cell r="A719" t="str">
            <v>3171003032 Reversao da Provisao de INSS s/13º Salario</v>
          </cell>
        </row>
        <row r="720">
          <cell r="A720" t="str">
            <v>3171003051 Provisao de INSS s/Gratificações</v>
          </cell>
        </row>
        <row r="721">
          <cell r="A721" t="str">
            <v>3171501010 Prev Priv CD-Contribuicoes da Empresa (Realizado)</v>
          </cell>
        </row>
        <row r="722">
          <cell r="A722" t="str">
            <v>3171501015 Prev Priv CD-Participaçao dos Empregados</v>
          </cell>
        </row>
        <row r="723">
          <cell r="A723" t="str">
            <v>3171502010 Seguro de Vida em Grupo (Realizado)</v>
          </cell>
        </row>
        <row r="724">
          <cell r="A724" t="str">
            <v>3171502011 Provisao Seguro de Vida em Grupo</v>
          </cell>
        </row>
        <row r="725">
          <cell r="A725" t="str">
            <v>3171503010 Assistencia Medica e Hospitalar (Realizado)</v>
          </cell>
        </row>
        <row r="726">
          <cell r="A726" t="str">
            <v>3171503015 Partic dos Empregados Assistenc Medica e Hospit</v>
          </cell>
        </row>
        <row r="727">
          <cell r="A727" t="str">
            <v>3171503020 Assistencia Medica e Hospitalar Aposent (Realiz)</v>
          </cell>
        </row>
        <row r="728">
          <cell r="A728" t="str">
            <v>3171503021 Provisao Assistencia Medica Hospitalar Aposentados</v>
          </cell>
        </row>
        <row r="729">
          <cell r="A729" t="str">
            <v>3171503022 Reversao Prov Assist Medica Hospitalar Aposentados</v>
          </cell>
        </row>
        <row r="730">
          <cell r="A730" t="str">
            <v>3171503030 Assistencia Odontologica (Realizado)</v>
          </cell>
        </row>
        <row r="731">
          <cell r="A731" t="str">
            <v>3171503035 Participacao dos Empregados Assist Odontologica</v>
          </cell>
        </row>
        <row r="732">
          <cell r="A732" t="str">
            <v>3171503040 Despesas Medicas e Hospitalares (Realizado)</v>
          </cell>
        </row>
        <row r="733">
          <cell r="A733" t="str">
            <v>3171504010 Desenv Prof-Cursos (Realizado)</v>
          </cell>
        </row>
        <row r="734">
          <cell r="A734" t="str">
            <v>3171504020 Desenv Prof-Material de Consumo em Cursos (Realiz)</v>
          </cell>
        </row>
        <row r="735">
          <cell r="A735" t="str">
            <v>3171504030 Desenv Prof-Serviços de Tercrs em Cursos (Realiz)</v>
          </cell>
        </row>
        <row r="736">
          <cell r="A736" t="str">
            <v>3171504040 Desenv Prof-Diarias em Cursos (Realizado)</v>
          </cell>
        </row>
        <row r="737">
          <cell r="A737" t="str">
            <v>3171504050 Desenv Prof-Transportes em Cursos (Realizado)</v>
          </cell>
        </row>
        <row r="738">
          <cell r="A738" t="str">
            <v>3171504060 Desenv Prof-Refeiçoes em Cursos (Realizado)</v>
          </cell>
        </row>
        <row r="739">
          <cell r="A739" t="str">
            <v>3171504070 Desenv Prof-Aprendiz de Menores em Cursos (Realiz)</v>
          </cell>
        </row>
        <row r="740">
          <cell r="A740" t="str">
            <v>3171505010 Desp Soc-Contrib Associaçao Desportiva (Realizado)</v>
          </cell>
        </row>
        <row r="741">
          <cell r="A741" t="str">
            <v>3171505020 Desp Soc-Comemoraçoes e Eventos (Realizado)</v>
          </cell>
        </row>
        <row r="742">
          <cell r="A742" t="str">
            <v>3171505030 Desp Soc-Assistencia Social Funcionarios (Realiz)</v>
          </cell>
        </row>
        <row r="743">
          <cell r="A743" t="str">
            <v>3171505040 Desp Soc-Vestuario (Realizado)</v>
          </cell>
        </row>
        <row r="744">
          <cell r="A744" t="str">
            <v>3171505050 Desp Soc-Comunicaçao Interna (Realizado)</v>
          </cell>
        </row>
        <row r="745">
          <cell r="A745" t="str">
            <v>3171506010 Desp Transp-Conduçao Contratada (Realizado)</v>
          </cell>
        </row>
        <row r="746">
          <cell r="A746" t="str">
            <v>3171506015 Participaçao dos Empregados-Conduçao Contratada</v>
          </cell>
        </row>
        <row r="747">
          <cell r="A747" t="str">
            <v>3171506020 Despesa Vale Transporte (Realizado)</v>
          </cell>
        </row>
        <row r="748">
          <cell r="A748" t="str">
            <v>3171506025 Participaçao dos Empregados-Vale Transporte</v>
          </cell>
        </row>
        <row r="749">
          <cell r="A749" t="str">
            <v>3171506030 Despesa Taxi e Conduçoes (Realizado)</v>
          </cell>
        </row>
        <row r="750">
          <cell r="A750" t="str">
            <v>3171506040 Despesa Aluguel de Veiculos (Realizado)</v>
          </cell>
        </row>
        <row r="751">
          <cell r="A751" t="str">
            <v>3171506050 Despesas com Aluguel de Outros Veiculos(Realizado)</v>
          </cell>
        </row>
        <row r="752">
          <cell r="A752" t="str">
            <v>3171507010 Despesa Refeiçoes Prontas (Realizado)</v>
          </cell>
        </row>
        <row r="753">
          <cell r="A753" t="str">
            <v>3171507015 Participaçao dos Empregados-Refeiçoes Prontas</v>
          </cell>
        </row>
        <row r="754">
          <cell r="A754" t="str">
            <v>3171507020 Despesa Material de Consumo Refeitorio (Realiz)</v>
          </cell>
        </row>
        <row r="755">
          <cell r="A755" t="str">
            <v>3171507025 Desp Material Consumo Refeitorio Descont Func-R</v>
          </cell>
        </row>
        <row r="756">
          <cell r="A756" t="str">
            <v>3171507030 Despesa Refeiçoes-Visita e Outras (Realizado)</v>
          </cell>
        </row>
        <row r="757">
          <cell r="A757" t="str">
            <v>3171507040 Despesa Refeiçoes-Lanches Externos (Realizado)</v>
          </cell>
        </row>
        <row r="758">
          <cell r="A758" t="str">
            <v>3710101010 (-)PL-Participaçoes de Empregados (Realizado)</v>
          </cell>
        </row>
        <row r="759">
          <cell r="A759" t="str">
            <v>Encargos de depreciação e amortização na DGA</v>
          </cell>
        </row>
        <row r="760">
          <cell r="A760" t="str">
            <v>3179001010 Encarg de Deprec e Amort-Depreciaçao (Realizado)</v>
          </cell>
        </row>
        <row r="761">
          <cell r="A761" t="str">
            <v>3179001011 Encarg de Depreciaçao Mais Valia (Realizado)</v>
          </cell>
        </row>
        <row r="762">
          <cell r="A762" t="str">
            <v>3179001012 Encs de Depreciaçao Mais Valia Comb Neg(Realizado)</v>
          </cell>
        </row>
        <row r="763">
          <cell r="A763" t="str">
            <v>3179001014 Encarg de Depreciaçao do AVP (Realizado)</v>
          </cell>
        </row>
        <row r="764">
          <cell r="A764" t="str">
            <v>3179001050 Encarg de Deprec e Amort-Amortizaçao (Realizado)</v>
          </cell>
        </row>
        <row r="765">
          <cell r="A765" t="str">
            <v>3179001054 Encargs de Amortizaçao AVP (Realizado)</v>
          </cell>
        </row>
        <row r="766">
          <cell r="A766" t="str">
            <v>3179001104 Encargs de Amortizaçao Investimentos (Realizado)</v>
          </cell>
        </row>
        <row r="767">
          <cell r="A767" t="str">
            <v>Serviços de terceiros nas DGAs</v>
          </cell>
        </row>
        <row r="768">
          <cell r="A768" t="str">
            <v>3172001010 Serviços Prestados Advocacia p/PJ (Realizado)</v>
          </cell>
        </row>
        <row r="769">
          <cell r="A769" t="str">
            <v>3172001015 Rec Desps c/Honorarios Advocaticios (Realizado)</v>
          </cell>
        </row>
        <row r="770">
          <cell r="A770" t="str">
            <v>3172001040 Serv Prest Advocacia p/PF s/ Vinculo Empr (Realiz)</v>
          </cell>
        </row>
        <row r="771">
          <cell r="A771" t="str">
            <v>3172002010 Serviços Prestados Auditoria  p/PJ (Realizado)</v>
          </cell>
        </row>
        <row r="772">
          <cell r="A772" t="str">
            <v>3172003010 Serviços Prestados Consultoria p/PJ (Realizado)</v>
          </cell>
        </row>
        <row r="773">
          <cell r="A773" t="str">
            <v>3172003040 Serv Prest Consultoria p/PF s/Vinc Empr (Realiz)</v>
          </cell>
        </row>
        <row r="774">
          <cell r="A774" t="str">
            <v>3172007010 Serv Prest Informaçoes Cadastrais p/PJ (Realiz)</v>
          </cell>
        </row>
        <row r="775">
          <cell r="A775" t="str">
            <v>3172008010 Serv Prest Propaganda e Publicidade p/PJ (Realiz)</v>
          </cell>
        </row>
        <row r="776">
          <cell r="A776" t="str">
            <v>3172009010 Serv Prest Atualiz/Suporte Tecnico p/PJ (Realiz)</v>
          </cell>
        </row>
        <row r="777">
          <cell r="A777" t="str">
            <v>3172010010 Serviços Prestados Temporario p/PJ (Realizado)</v>
          </cell>
        </row>
        <row r="778">
          <cell r="A778" t="str">
            <v>3172011010 Serviços Prestados Limpeza p/ PJ (Realizado)</v>
          </cell>
        </row>
        <row r="779">
          <cell r="A779" t="str">
            <v>3172012010 Serviços Prestados Vigilancia PJ (Realiz)</v>
          </cell>
        </row>
        <row r="780">
          <cell r="A780" t="str">
            <v>3172015010 Serv Prest Fretes Carretos s/Compras p/PJ (Realiz)</v>
          </cell>
        </row>
        <row r="781">
          <cell r="A781" t="str">
            <v>3172018010 Serv Prest Reparos Assist Tecnica p/PJ (Realiz)</v>
          </cell>
        </row>
        <row r="782">
          <cell r="A782" t="str">
            <v>3172099010 Prest Serv Tecnicos Profissionais p/PJ (Realiz)</v>
          </cell>
        </row>
        <row r="783">
          <cell r="A783" t="str">
            <v>3172099020 Prest Serv Tec Profissionais p/Coop Trab (Realiz)</v>
          </cell>
        </row>
        <row r="784">
          <cell r="A784" t="str">
            <v>3172099040 Serv Prest Tec Profissionais p/PF s/Vin Empr (R)</v>
          </cell>
        </row>
        <row r="785">
          <cell r="A785" t="str">
            <v>3172150010 Serv Prest Manutençao Civil p/PJ (Realizado)</v>
          </cell>
        </row>
        <row r="786">
          <cell r="A786" t="str">
            <v>3172199010 Serv Prest Manutençao Geral p/PJ (Realizado)</v>
          </cell>
        </row>
        <row r="787">
          <cell r="A787" t="str">
            <v>Outras despesas gerais administrativas</v>
          </cell>
        </row>
        <row r="788">
          <cell r="A788" t="str">
            <v>3170801070 Mat Cons Oper-Reparo e Manutençao (Realiz)</v>
          </cell>
        </row>
        <row r="789">
          <cell r="A789" t="str">
            <v>3170801090 Mat Cons Oper-Limpeza (Realizado)</v>
          </cell>
        </row>
        <row r="790">
          <cell r="A790" t="str">
            <v>3170801100 Mat Cons Oper-Segurança (Realizado)</v>
          </cell>
        </row>
        <row r="791">
          <cell r="A791" t="str">
            <v>3170801130 Mat Cons Oper-Escritorio (Realizado)</v>
          </cell>
        </row>
        <row r="792">
          <cell r="A792" t="str">
            <v>3170801140 Mat Cons Oper-Imobilizado (Realizado)</v>
          </cell>
        </row>
        <row r="793">
          <cell r="A793" t="str">
            <v>3170802990 Materias Consumo-Manutencao em Geral (Realiz)</v>
          </cell>
        </row>
        <row r="794">
          <cell r="A794" t="str">
            <v>3171901010 Sel Recrut-Servs de Tercrs p/Seleçao e Recrut (R)</v>
          </cell>
        </row>
        <row r="795">
          <cell r="A795" t="str">
            <v>3171902010 Despesa Viagens Nacionais (Realizado)</v>
          </cell>
        </row>
        <row r="796">
          <cell r="A796" t="str">
            <v>3171902020 Despesas Viagens Internacionais (Realizado)</v>
          </cell>
        </row>
        <row r="797">
          <cell r="A797" t="str">
            <v>3173501010 Desp Correspondencia-Malote (Realizado)</v>
          </cell>
        </row>
        <row r="798">
          <cell r="A798" t="str">
            <v>3173501020 Desp Correspondencia-Postais (Realizado)</v>
          </cell>
        </row>
        <row r="799">
          <cell r="A799" t="str">
            <v>3173505010 Desp Telec-Desp c/Telefonia Fixa (Realizado)</v>
          </cell>
        </row>
        <row r="800">
          <cell r="A800" t="str">
            <v>3173505020 Desp Telec-Desp c/Telefonia Movel (Realizado)</v>
          </cell>
        </row>
        <row r="801">
          <cell r="A801" t="str">
            <v>3173505030 Desp Telec-Desp Comun Dados EC/FC Internet(Realiz)</v>
          </cell>
        </row>
        <row r="802">
          <cell r="A802" t="str">
            <v>3173505040 Desp Telec-Desp Comum Dados Internet (Realizado)</v>
          </cell>
        </row>
        <row r="803">
          <cell r="A803" t="str">
            <v>3173505060 Desp Telec-Desp Comum Dados Banda Larga(Realizado)</v>
          </cell>
        </row>
        <row r="804">
          <cell r="A804" t="str">
            <v>3173505070 Desp Telec-Desp Comum Dados Video Conferen(Realiz)</v>
          </cell>
        </row>
        <row r="805">
          <cell r="A805" t="str">
            <v>3174001010 DLF-Desp c/Publicidade Atas e Balanços (Realizado)</v>
          </cell>
        </row>
        <row r="806">
          <cell r="A806" t="str">
            <v>3174001020 DLF-Desp Escritur Procuraçoes e Contratos (Realiz)</v>
          </cell>
        </row>
        <row r="807">
          <cell r="A807" t="str">
            <v>3174001030 DLF-Desp Autenticidade Reconhecde Firmas (Realiz)</v>
          </cell>
        </row>
        <row r="808">
          <cell r="A808" t="str">
            <v>3174001040 DLF-Desp c/ Custas Judiciais (Realizado)</v>
          </cell>
        </row>
        <row r="809">
          <cell r="A809" t="str">
            <v>3174001990 DLF-Outras Despesas Legais (Realizado)</v>
          </cell>
        </row>
        <row r="810">
          <cell r="A810" t="str">
            <v>3174002010 DITC-Contribuiçao Sindical Patronal (Realizado)</v>
          </cell>
        </row>
        <row r="811">
          <cell r="A811" t="str">
            <v>3174002020 DITC-Predial e Territorial (Realizado)</v>
          </cell>
        </row>
        <row r="812">
          <cell r="A812" t="str">
            <v>3174002021 DITC-Provisao Imposto Predial Territorial (Realiz)</v>
          </cell>
        </row>
        <row r="813">
          <cell r="A813" t="str">
            <v>3174002030 DITC-Licença e Funcionamento (Realizado)</v>
          </cell>
        </row>
        <row r="814">
          <cell r="A814" t="str">
            <v>3174002040 DITC-ICMS s/Aquisiçao de Imobilizado (Realizado)</v>
          </cell>
        </row>
        <row r="815">
          <cell r="A815" t="str">
            <v>3174002050 DITC-ICMS-Debitos Extemporaneos (Realizado)</v>
          </cell>
        </row>
        <row r="816">
          <cell r="A816" t="str">
            <v>3174002060 DITC-Txs Municipais,Estaduais,Federais (Realizado)</v>
          </cell>
        </row>
        <row r="817">
          <cell r="A817" t="str">
            <v>3174003010 Multas Fiscais Indedutiveis (Realizado)</v>
          </cell>
        </row>
        <row r="818">
          <cell r="A818" t="str">
            <v>3174003020 Multas Fiscais Dedutiveis (Realizado)</v>
          </cell>
        </row>
        <row r="819">
          <cell r="A819" t="str">
            <v>3174003030 Multas Contratuais (Realizado)</v>
          </cell>
        </row>
        <row r="820">
          <cell r="A820" t="str">
            <v>3175001010 Desp Seguro-Automoveis (Realizado)</v>
          </cell>
        </row>
        <row r="821">
          <cell r="A821" t="str">
            <v>3175001020 Desp Seguro-Responsabilidade Civil (Realizado)</v>
          </cell>
        </row>
        <row r="822">
          <cell r="A822" t="str">
            <v>3175001030 Desp Seguro-Risco Nomeado (Realizado)</v>
          </cell>
        </row>
        <row r="823">
          <cell r="A823" t="str">
            <v>3175001040 Desp Seguro-Riscos Diversos (Realizado)</v>
          </cell>
        </row>
        <row r="824">
          <cell r="A824" t="str">
            <v>3176001010 Desp Real Even-Semi Fora da Cia Gestao (Realizado)</v>
          </cell>
        </row>
        <row r="825">
          <cell r="A825" t="str">
            <v>3176001020 Desp Reali Eventos-Eventos Gestao (Realizado)</v>
          </cell>
        </row>
        <row r="826">
          <cell r="A826" t="str">
            <v>3176002010 Desp Eventos Marketing (Realizado)</v>
          </cell>
        </row>
        <row r="827">
          <cell r="A827" t="str">
            <v>3176002020 Desp c/Marketing-Relaçoes Publicas (Realizado)</v>
          </cell>
        </row>
        <row r="828">
          <cell r="A828" t="str">
            <v>3176002030 Desp c/Marketing-Patrocinios (Realizado)</v>
          </cell>
        </row>
        <row r="829">
          <cell r="A829" t="str">
            <v>3177002020 EPCT-Estudos de Engenharia(Realizado)</v>
          </cell>
        </row>
        <row r="830">
          <cell r="A830" t="str">
            <v>3178001010 DPC Ind-Carater Cultural, Artistico Lei 8313/91(R)</v>
          </cell>
        </row>
        <row r="831">
          <cell r="A831" t="str">
            <v>3178001990 DPC Ind-Outras Contrib/Doaçoes Indeduts (Realiz)</v>
          </cell>
        </row>
        <row r="832">
          <cell r="A832" t="str">
            <v>3178002050 DPC Ded-Contrib a Entidades de Classes (Realizado)</v>
          </cell>
        </row>
        <row r="833">
          <cell r="A833" t="str">
            <v>3178002990 DPC Ded-Outras Contrib e Doaçoes Dedutivs (Realiz)</v>
          </cell>
        </row>
        <row r="834">
          <cell r="A834" t="str">
            <v>3179905030 Desp Alug/Loc.Oper-Loc Equiptos Escritorio(Realiz)</v>
          </cell>
        </row>
        <row r="835">
          <cell r="A835" t="str">
            <v>3179905040 Desp Alug/Loc.Oper-Equip Impressao/Copias(Realiz)</v>
          </cell>
        </row>
        <row r="836">
          <cell r="A836" t="str">
            <v>3179905050 Desp Alug/Loc.Oper-Loc de Equip Telefonia(Realiz)</v>
          </cell>
        </row>
        <row r="837">
          <cell r="A837" t="str">
            <v>3179905100 Desp Alug/Loc.Oper-Aluguel de Imovel (Realizado)</v>
          </cell>
        </row>
        <row r="838">
          <cell r="A838" t="str">
            <v>3179910010 Assin L.IT.J.R-Ass de Jornais e Revistas (Realiz)</v>
          </cell>
        </row>
        <row r="839">
          <cell r="A839" t="str">
            <v>3179910030 Assin L.IT.J.R-Ass Livros/Inform Tecnicos (Realiz)</v>
          </cell>
        </row>
        <row r="840">
          <cell r="A840" t="str">
            <v>3179915010 Desp c/Impressao e Copias fora da Cia (Realizado)</v>
          </cell>
        </row>
        <row r="841">
          <cell r="A841" t="str">
            <v>3179920010 Desp c/Veiculos-Abastecimento (Realizado)</v>
          </cell>
        </row>
        <row r="842">
          <cell r="A842" t="str">
            <v>3179920020 Desp c/Veiculos-Reparos e Manutençoes (Realizado)</v>
          </cell>
        </row>
        <row r="843">
          <cell r="A843" t="str">
            <v>3179920030 Desp c/Veiculos-Peças e Acessorios (Realizado)</v>
          </cell>
        </row>
        <row r="844">
          <cell r="A844" t="str">
            <v>3179920040 Desp c/Veiculos-Lavagem e Lubrificaçao (Realizado)</v>
          </cell>
        </row>
        <row r="845">
          <cell r="A845" t="str">
            <v>3179920050 Desp c/Veiculos-Pedagio e Estacionam (Realizado)</v>
          </cell>
        </row>
        <row r="846">
          <cell r="A846" t="str">
            <v>3179920060 Desp c/Veiculos-Licenciamento (Realizado)</v>
          </cell>
        </row>
        <row r="847">
          <cell r="A847" t="str">
            <v>Outras despesas / receitas operacionais</v>
          </cell>
        </row>
        <row r="848">
          <cell r="A848" t="str">
            <v>Outras receitas operacionais</v>
          </cell>
        </row>
        <row r="849">
          <cell r="A849" t="str">
            <v>3310101010 Receita c/Dividendos Recebidos (Realizado)</v>
          </cell>
        </row>
        <row r="850">
          <cell r="A850" t="str">
            <v>3310105010 Res Liq Bx At Fixo-Rec Alienaç B/D At.Perman (R)</v>
          </cell>
        </row>
        <row r="851">
          <cell r="A851" t="str">
            <v>3310105020 (-)R Liq Bx At Fix-Vlr Contabil B/D Baixados (R)</v>
          </cell>
        </row>
        <row r="852">
          <cell r="A852" t="str">
            <v>3310105021 (-)R Liq Bx A Fix-Vr Contab B/D Baixados MV(R)</v>
          </cell>
        </row>
        <row r="853">
          <cell r="A853" t="str">
            <v>3310105022 (-)R Liq Bx A Fix-Vr Contab B/D Baixados MVCN(R)</v>
          </cell>
        </row>
        <row r="854">
          <cell r="A854" t="str">
            <v>3310105024 (-)R Liq Bx A Fix-Vr Contab B/D Baixados AVP(R)</v>
          </cell>
        </row>
        <row r="855">
          <cell r="A855" t="str">
            <v>3310105030 Outros Custos dos Bens e Direitos Alienados (R)</v>
          </cell>
        </row>
        <row r="856">
          <cell r="A856" t="str">
            <v>3310108990 Outros Imposto Recuperados (Realizado)</v>
          </cell>
        </row>
        <row r="857">
          <cell r="A857" t="str">
            <v>3310115010 Sinistros Indenizado (Realizado)</v>
          </cell>
        </row>
        <row r="858">
          <cell r="A858" t="str">
            <v>Outras despesas operacionais</v>
          </cell>
        </row>
        <row r="859">
          <cell r="A859" t="str">
            <v>3310110010 Desp c/Proc Jud-Tributarios (Realizado)</v>
          </cell>
        </row>
        <row r="860">
          <cell r="A860" t="str">
            <v>3310110011 Desp c/Proc Jud-Constit Contingencias Tributarias</v>
          </cell>
        </row>
        <row r="861">
          <cell r="A861" t="str">
            <v>3310110012 Desp c/Proc Jud-Reversao Contingencias Tributárias</v>
          </cell>
        </row>
        <row r="862">
          <cell r="A862" t="str">
            <v>3310110020 Desp c/Proc Trabalhista (Realizado)</v>
          </cell>
        </row>
        <row r="863">
          <cell r="A863" t="str">
            <v>3310110021 Desp c/Proc Trab-Constit Contingenc Trabalhistas</v>
          </cell>
        </row>
        <row r="864">
          <cell r="A864" t="str">
            <v>3310110031 Desp c/Proc Civeis-Constit Contingencias Civeis</v>
          </cell>
        </row>
        <row r="865">
          <cell r="A865" t="str">
            <v>3310110032 Desp c/Proc Civeis-Rev de Contingencias Civeis</v>
          </cell>
        </row>
        <row r="866">
          <cell r="A866" t="str">
            <v>3310140010 Desp n Cor Multas Indedutiveis (Realizado)</v>
          </cell>
        </row>
        <row r="867">
          <cell r="A867" t="str">
            <v>3310190010 Perdas Operacoes de Credito Incobraveis (Realiz)</v>
          </cell>
        </row>
        <row r="868">
          <cell r="A868" t="str">
            <v>3310190011 Provisao Perdas em Opercao Credito-PCLD</v>
          </cell>
        </row>
        <row r="869">
          <cell r="A869" t="str">
            <v>Resultado de equivalência patrimonial</v>
          </cell>
        </row>
        <row r="870">
          <cell r="A870" t="str">
            <v>3310201010 Result Positivo Participacoes Societarias (R)</v>
          </cell>
        </row>
        <row r="871">
          <cell r="A871" t="str">
            <v>3310201020 Result Negativo Paticipacoes Societarias (R)</v>
          </cell>
        </row>
        <row r="872">
          <cell r="A872" t="str">
            <v>Resultado financeiro</v>
          </cell>
        </row>
        <row r="873">
          <cell r="A873" t="str">
            <v>Receitas financeiras</v>
          </cell>
        </row>
        <row r="874">
          <cell r="A874" t="str">
            <v>Receita de equivalentes de caixa e TVM</v>
          </cell>
        </row>
        <row r="875">
          <cell r="A875" t="str">
            <v>3510101010 Rec Financ-Juros s/Aplic Financeiras (Realizado)</v>
          </cell>
        </row>
        <row r="876">
          <cell r="A876" t="str">
            <v>Outras receitas financeiras</v>
          </cell>
        </row>
        <row r="877">
          <cell r="A877" t="str">
            <v>3510101090 Rec Financ-Juros s/Capital Proprio (Realizado)</v>
          </cell>
        </row>
        <row r="878">
          <cell r="A878" t="str">
            <v>3510101990 Rec Financ-Juros s/Outros Ativos (Realizado)</v>
          </cell>
        </row>
        <row r="879">
          <cell r="A879" t="str">
            <v>3510102010 Rec Financ-Var Monet s/Deposit Judic (Realizado)</v>
          </cell>
        </row>
        <row r="880">
          <cell r="A880" t="str">
            <v>3510102011 Rec Financ-Prov Var Monet s/ Depositos Judiciais</v>
          </cell>
        </row>
        <row r="881">
          <cell r="A881" t="str">
            <v>3510102020 Rec Financ-Var Monet s/Impostos a Recup. (Realiza)</v>
          </cell>
        </row>
        <row r="882">
          <cell r="A882" t="str">
            <v>3510102990 Rec Finan-Var Monetaria s/Outros Ativos(Realizado)</v>
          </cell>
        </row>
        <row r="883">
          <cell r="A883" t="str">
            <v>3510103010 Rec Financ-Encargos s/Cobrança Duplic(Realizado)</v>
          </cell>
        </row>
        <row r="884">
          <cell r="A884" t="str">
            <v>3510103030 Rec Financ-Descontos Obtidos (Realizado)</v>
          </cell>
        </row>
        <row r="885">
          <cell r="A885" t="str">
            <v>3510103040 Encargos s/ Bonificação Refis</v>
          </cell>
        </row>
        <row r="886">
          <cell r="A886" t="str">
            <v>3510105010 Rec Financ-Bonificaçoes s/Adm Apolice (Realizado)</v>
          </cell>
        </row>
        <row r="887">
          <cell r="A887" t="str">
            <v>3510105020 Rec Financ-Bonificações s/ Pagamentos (Realizado)</v>
          </cell>
        </row>
        <row r="888">
          <cell r="A888" t="str">
            <v>3510106014 Rec Financ-Cont.AVP/ICMS Recup s/Aquis de At.Fixo</v>
          </cell>
        </row>
        <row r="889">
          <cell r="A889" t="str">
            <v>3510199990 Rec Financ-Demais Receitas Financeiras (Realizado)</v>
          </cell>
        </row>
        <row r="890">
          <cell r="A890" t="str">
            <v>Despesas financeiras</v>
          </cell>
        </row>
        <row r="891">
          <cell r="A891" t="str">
            <v>Juros de empréstimos e financiamentos</v>
          </cell>
        </row>
        <row r="892">
          <cell r="A892" t="str">
            <v>3510201010 (-)Desp Financ-Juros s/Emprestimos (Realizado)</v>
          </cell>
        </row>
        <row r="893">
          <cell r="A893" t="str">
            <v>Outras despesas financeiras</v>
          </cell>
        </row>
        <row r="894">
          <cell r="A894" t="str">
            <v>3510201020 (-)Desp Financ-Juros s/Pgtos em Atraso (Realizado)</v>
          </cell>
        </row>
        <row r="895">
          <cell r="A895" t="str">
            <v>3510201990 (-)Desp Financ-Juros s/Outros Passivos (Realizado)</v>
          </cell>
        </row>
        <row r="896">
          <cell r="A896" t="str">
            <v>3510202030 Desp Financ-Var Monet s/Pgto Imposto em Atraso(R)</v>
          </cell>
        </row>
        <row r="897">
          <cell r="A897" t="str">
            <v>3510202990 Desp Financ-Var Monet s/Outros Passivos(Realizado)</v>
          </cell>
        </row>
        <row r="898">
          <cell r="A898" t="str">
            <v>3510202991 Desp Financ-Prov Var Monetaria s/Contingencias</v>
          </cell>
        </row>
        <row r="899">
          <cell r="A899" t="str">
            <v>3510203020 Desp Financ-Encarg/Outros-Custas Judiciais(Realiz)</v>
          </cell>
        </row>
        <row r="900">
          <cell r="A900" t="str">
            <v>3510203500 Desp Financ-Encarg/Outros-I.O.C / I.O.F(Realizado)</v>
          </cell>
        </row>
        <row r="901">
          <cell r="A901" t="str">
            <v>3510203504 Ajuste a Valor Justo</v>
          </cell>
        </row>
        <row r="902">
          <cell r="A902" t="str">
            <v>3510204010 Desp Financ-EFE-Comissoes s/Aquis Empres Amort(R)</v>
          </cell>
        </row>
        <row r="903">
          <cell r="A903" t="str">
            <v>3510205010 Desp Financ-Bancarias-Comissoes (Ralizado)</v>
          </cell>
        </row>
        <row r="904">
          <cell r="A904" t="str">
            <v>3510205014 Ajuste a Valor Justo</v>
          </cell>
        </row>
        <row r="905">
          <cell r="A905" t="str">
            <v>3510205020 Desp Financ-Bancarias-Corretagens (Realiz)</v>
          </cell>
        </row>
        <row r="906">
          <cell r="A906" t="str">
            <v>3510205030 Desp Financ-Bancarias-Comissoes Fiança (Realiz)</v>
          </cell>
        </row>
        <row r="907">
          <cell r="A907" t="str">
            <v>3510205040 Desp Financ-Bancaria-Txa Expediente (Realiz)</v>
          </cell>
        </row>
        <row r="908">
          <cell r="A908" t="str">
            <v>3510299990 Demais Despesas Financeiras (Realizado)</v>
          </cell>
        </row>
        <row r="909">
          <cell r="A909" t="str">
            <v>Perdas cambiais financieras, líquidas</v>
          </cell>
        </row>
        <row r="910">
          <cell r="A910" t="str">
            <v>Variações cambiais passivas sobre empréstimos</v>
          </cell>
        </row>
        <row r="911">
          <cell r="A911" t="str">
            <v>3530102040 Var C Liq Pas-Perda Va rCamb s/Empres Exterior(R)</v>
          </cell>
        </row>
        <row r="912">
          <cell r="A912" t="str">
            <v>Outras variações cambiais</v>
          </cell>
        </row>
        <row r="913">
          <cell r="A913" t="str">
            <v>3530101010 Var C Liq At-Ganho Var Camb s/Receb Exterior (R)</v>
          </cell>
        </row>
        <row r="914">
          <cell r="A914" t="str">
            <v>3530101020 Var C Liq At-Perda Var Camb s/Receb Exterior (R)</v>
          </cell>
        </row>
        <row r="915">
          <cell r="A915" t="str">
            <v>3530102010 Var C Liq Pas-Ganho Var Camb s/Exigiv Exterior(R)</v>
          </cell>
        </row>
        <row r="916">
          <cell r="A916" t="str">
            <v>3530102020 Var C Liq Pas-Perda Var Camb s/Exigiv Exterior(R)</v>
          </cell>
        </row>
        <row r="917">
          <cell r="A917" t="str">
            <v>Imposto de renda e constribuição social</v>
          </cell>
        </row>
        <row r="918">
          <cell r="A918" t="str">
            <v>Corrente</v>
          </cell>
        </row>
        <row r="919">
          <cell r="A919" t="str">
            <v>3910101011 (-)Prov CSLL/Exerc.Corrente-CSLL Ajustado (Realiz)</v>
          </cell>
        </row>
        <row r="920">
          <cell r="A920" t="str">
            <v>3910101014 (-)Prov CSLL/Exerc.Corrente-CSLL Aj Aliq Efet (Rea</v>
          </cell>
        </row>
        <row r="921">
          <cell r="A921" t="str">
            <v>3920101011 (-)Prov IRPJ/Exerc.Correne-IRPJ s/Lucro Real</v>
          </cell>
        </row>
        <row r="922">
          <cell r="A922" t="str">
            <v>3920101014 (-)Prov IRPJ/Exerc.Corrente Aj Aliq Efetiva (Reali</v>
          </cell>
        </row>
        <row r="923">
          <cell r="A923" t="str">
            <v>Diferido</v>
          </cell>
        </row>
        <row r="924">
          <cell r="A924" t="str">
            <v>3910101021 (-)Prov CSLL/Exerc.Corrente-CSLL Diferido Ativos</v>
          </cell>
        </row>
        <row r="925">
          <cell r="A925" t="str">
            <v>3910101041 (-)Prov CSLL Diferida Base Negativa</v>
          </cell>
        </row>
        <row r="926">
          <cell r="A926" t="str">
            <v>3910102011 Prov CSLL/Exerc Ant-Prov CSLL Exerc Anterior</v>
          </cell>
        </row>
        <row r="927">
          <cell r="A927" t="str">
            <v>3920101021 (-)Prov IRPJ/Exerc.Corrente-IRPJ Diferido Ativos</v>
          </cell>
        </row>
        <row r="928">
          <cell r="A928" t="str">
            <v>3920101041 (-)Prov IRPJ Diferido Prej Fiscal</v>
          </cell>
        </row>
        <row r="929">
          <cell r="A929" t="str">
            <v>3920102011 Prov IRPJ/Exerc.Ant-Prov IRPJ Exerc Anterior</v>
          </cell>
        </row>
      </sheetData>
      <sheetData sheetId="11" refreshError="1">
        <row r="1">
          <cell r="A1" t="str">
            <v>DEZEMBRO - 2 0 1 4</v>
          </cell>
          <cell r="B1" t="str">
            <v xml:space="preserve">       TotPerRel.</v>
          </cell>
        </row>
        <row r="2">
          <cell r="A2" t="str">
            <v>ATIVO</v>
          </cell>
          <cell r="B2">
            <v>1625570987.4000001</v>
          </cell>
        </row>
        <row r="3">
          <cell r="A3" t="str">
            <v>CIRCULANTE</v>
          </cell>
          <cell r="B3">
            <v>294484415.41000003</v>
          </cell>
        </row>
        <row r="4">
          <cell r="A4" t="str">
            <v>CAIXA E EQUIVALENTE DE CAIXA</v>
          </cell>
          <cell r="B4">
            <v>37755167.219999999</v>
          </cell>
        </row>
        <row r="5">
          <cell r="A5" t="str">
            <v>Recursos em caixa e contas correntes bancária</v>
          </cell>
          <cell r="B5">
            <v>2101174.59</v>
          </cell>
        </row>
        <row r="6">
          <cell r="A6" t="str">
            <v>1110102030 Banco Itau (Realizado)</v>
          </cell>
          <cell r="B6">
            <v>1883162.85</v>
          </cell>
        </row>
        <row r="7">
          <cell r="A7" t="str">
            <v>1110102040 Banco Santander (Realizado)</v>
          </cell>
          <cell r="B7">
            <v>72095</v>
          </cell>
        </row>
        <row r="8">
          <cell r="A8" t="str">
            <v>1110102072 Banco Safra (Transitorias - Saidas)</v>
          </cell>
          <cell r="B8">
            <v>0</v>
          </cell>
        </row>
        <row r="9">
          <cell r="A9" t="str">
            <v>1110102080 Banco Votorantin (Realizado)</v>
          </cell>
          <cell r="B9">
            <v>732.89</v>
          </cell>
        </row>
        <row r="10">
          <cell r="A10" t="str">
            <v>1110102100 Banco Pactual S.A.(Realizado)</v>
          </cell>
          <cell r="B10">
            <v>1759.2</v>
          </cell>
        </row>
        <row r="11">
          <cell r="A11" t="str">
            <v>1110102120 Banco Alfa de Investimentos S.A. (Realizado)</v>
          </cell>
          <cell r="B11">
            <v>5772.25</v>
          </cell>
        </row>
        <row r="12">
          <cell r="A12" t="str">
            <v>1110102210 Banco do Brasil  (Realizado)</v>
          </cell>
          <cell r="B12">
            <v>127464.77</v>
          </cell>
        </row>
        <row r="13">
          <cell r="A13" t="str">
            <v>1110102220 Banco Bradesco (Realizado)</v>
          </cell>
          <cell r="B13">
            <v>1010.41</v>
          </cell>
        </row>
        <row r="14">
          <cell r="A14" t="str">
            <v>1110102240 Banco Santander (Realizado)</v>
          </cell>
          <cell r="B14">
            <v>1606.31</v>
          </cell>
        </row>
        <row r="15">
          <cell r="A15" t="str">
            <v>1110102250 Caixa Economica Federal (Realizado)</v>
          </cell>
          <cell r="B15">
            <v>763.13</v>
          </cell>
        </row>
        <row r="16">
          <cell r="A16" t="str">
            <v>1110102270 Banco Safra (Realizado)</v>
          </cell>
          <cell r="B16">
            <v>2698.52</v>
          </cell>
        </row>
        <row r="17">
          <cell r="A17" t="str">
            <v>1110102290 Banco Paulista (Realizado)</v>
          </cell>
          <cell r="B17">
            <v>1063.5</v>
          </cell>
        </row>
        <row r="18">
          <cell r="A18" t="str">
            <v>1110102320 Banco Bradesco (Realizado)</v>
          </cell>
          <cell r="B18">
            <v>1923.97</v>
          </cell>
        </row>
        <row r="19">
          <cell r="A19" t="str">
            <v>1110102350 Caixa Economica Federal (Realizado)</v>
          </cell>
          <cell r="B19">
            <v>1121.79</v>
          </cell>
        </row>
        <row r="20">
          <cell r="A20" t="str">
            <v>Aplicações Financeiras (CDBs)</v>
          </cell>
          <cell r="B20">
            <v>35653992.630000003</v>
          </cell>
        </row>
        <row r="21">
          <cell r="A21" t="str">
            <v>1110105010 Aplicaçoes Financeiras (Realizado)</v>
          </cell>
          <cell r="B21">
            <v>35653992.630000003</v>
          </cell>
        </row>
        <row r="22">
          <cell r="A22" t="str">
            <v>APLICAÇÕES FINANCEIRAS</v>
          </cell>
          <cell r="B22">
            <v>128444416.45999999</v>
          </cell>
        </row>
        <row r="23">
          <cell r="A23" t="str">
            <v>Mantidos para negociação</v>
          </cell>
          <cell r="B23">
            <v>84668188.459999993</v>
          </cell>
        </row>
        <row r="24">
          <cell r="A24" t="str">
            <v>1110201010 Tits do Merc de Cap Inter Mant p/ Neg (Realizado)</v>
          </cell>
          <cell r="B24">
            <v>84668188.459999993</v>
          </cell>
        </row>
        <row r="25">
          <cell r="A25" t="str">
            <v>Mantidos até o vencimento</v>
          </cell>
          <cell r="B25">
            <v>43776228</v>
          </cell>
        </row>
        <row r="26">
          <cell r="A26" t="str">
            <v>1110201020 Tits do Merc de Cap Inter Mant ate Ven (Realizado)</v>
          </cell>
          <cell r="B26">
            <v>43776228</v>
          </cell>
        </row>
        <row r="27">
          <cell r="A27" t="str">
            <v>DUPLICATAS A RECEBER DE CLIENTES</v>
          </cell>
          <cell r="B27">
            <v>77613602.769999996</v>
          </cell>
        </row>
        <row r="28">
          <cell r="A28" t="str">
            <v>Clientes nacionais</v>
          </cell>
          <cell r="B28">
            <v>91801311.340000004</v>
          </cell>
        </row>
        <row r="29">
          <cell r="A29" t="str">
            <v>1110501010 Duplicatas a Receber no MI  (Realizado)</v>
          </cell>
          <cell r="B29">
            <v>93668535.150000006</v>
          </cell>
        </row>
        <row r="30">
          <cell r="A30" t="str">
            <v>1110501011 Duplicatas a Receber no MI (Parcela de CP / LP)</v>
          </cell>
          <cell r="B30">
            <v>-1718133.33</v>
          </cell>
        </row>
        <row r="31">
          <cell r="A31" t="str">
            <v>1110501014 (-)Rec Financeira a apropriar s/Dups a Rec no MI</v>
          </cell>
          <cell r="B31">
            <v>-149090.48000000001</v>
          </cell>
        </row>
        <row r="32">
          <cell r="A32" t="str">
            <v>PCLD</v>
          </cell>
          <cell r="B32">
            <v>-14187708.57</v>
          </cell>
        </row>
        <row r="33">
          <cell r="A33" t="str">
            <v>1110501900 (-) Provisões para Créditos de Liquidação Duvidosa</v>
          </cell>
          <cell r="B33">
            <v>-14187708.57</v>
          </cell>
        </row>
        <row r="34">
          <cell r="A34" t="str">
            <v>IMPOSTOS A RECUPERAR</v>
          </cell>
          <cell r="B34">
            <v>14158441.51</v>
          </cell>
        </row>
        <row r="35">
          <cell r="A35" t="str">
            <v>Impostos de renda e CSLL</v>
          </cell>
          <cell r="B35">
            <v>1130453.19</v>
          </cell>
        </row>
        <row r="36">
          <cell r="A36" t="str">
            <v>1111001010 Antecipaçoes de CSLL (Realizado)</v>
          </cell>
          <cell r="B36">
            <v>3506163.7</v>
          </cell>
        </row>
        <row r="37">
          <cell r="A37" t="str">
            <v>1111001020 Antecipaçoes de IRPJ (Realizado)</v>
          </cell>
          <cell r="B37">
            <v>6696655.3600000003</v>
          </cell>
        </row>
        <row r="38">
          <cell r="A38" t="str">
            <v>1111505990 Cred Fisc CSLL- Sdo Negativo Per Anterior (Realiz)</v>
          </cell>
          <cell r="B38">
            <v>0</v>
          </cell>
        </row>
        <row r="39">
          <cell r="A39" t="str">
            <v>1111506020 IRRF sobre Aplicaçoes Financeiras (Realizado)</v>
          </cell>
          <cell r="B39">
            <v>4031740.49</v>
          </cell>
        </row>
        <row r="40">
          <cell r="A40" t="str">
            <v>1111506030 IRRF sobre Depositos Judiciais (Realizado)</v>
          </cell>
          <cell r="B40">
            <v>2011.63</v>
          </cell>
        </row>
        <row r="41">
          <cell r="A41" t="str">
            <v>1111506990 Cred Fisc IRPJ Sdo Negativo Per Anterior (Realiz)</v>
          </cell>
          <cell r="B41">
            <v>169847.56</v>
          </cell>
        </row>
        <row r="42">
          <cell r="A42" t="str">
            <v>2112001010 Prov p/ CSLL s/Resultado Operacional (Realizado)</v>
          </cell>
          <cell r="B42">
            <v>-6782921.1299999999</v>
          </cell>
        </row>
        <row r="43">
          <cell r="A43" t="str">
            <v>2112001014 Prov p/ CSLL s/Alíquota Efetiva</v>
          </cell>
          <cell r="B43">
            <v>0</v>
          </cell>
        </row>
        <row r="44">
          <cell r="A44" t="str">
            <v>2112001020 Provisao p/ CSLL Diferida (Realizado)</v>
          </cell>
          <cell r="B44">
            <v>-2527488</v>
          </cell>
        </row>
        <row r="45">
          <cell r="A45" t="str">
            <v>2112001030 Provisao p/ CSLL Diferida s/Depreciaçao Fiscal (R)</v>
          </cell>
          <cell r="B45">
            <v>4218552.8</v>
          </cell>
        </row>
        <row r="46">
          <cell r="A46" t="str">
            <v>2112001040 Contribuição Social s/Compensação Base Negativa (R</v>
          </cell>
          <cell r="B46">
            <v>1527557</v>
          </cell>
        </row>
        <row r="47">
          <cell r="A47" t="str">
            <v>2112002010 Prov p/  IR s/Resultando Operacional (Realizado)</v>
          </cell>
          <cell r="B47">
            <v>-19129444.109999999</v>
          </cell>
        </row>
        <row r="48">
          <cell r="A48" t="str">
            <v>2112002014 Prov p/  IR s/Alíquota Efetiva</v>
          </cell>
          <cell r="B48">
            <v>0</v>
          </cell>
        </row>
        <row r="49">
          <cell r="A49" t="str">
            <v>2112002020 Provisao para IR Diferida (Realizado)</v>
          </cell>
          <cell r="B49">
            <v>-6646967</v>
          </cell>
        </row>
        <row r="50">
          <cell r="A50" t="str">
            <v>2112002030 Provisao p/ IR Diferida s/Depreciaçao Fiscal (R)</v>
          </cell>
          <cell r="B50">
            <v>11718195.890000001</v>
          </cell>
        </row>
        <row r="51">
          <cell r="A51" t="str">
            <v>2112002040 Imposto de Renda s/ Compensação Prejuízo Fiscal (R</v>
          </cell>
          <cell r="B51">
            <v>4346549</v>
          </cell>
        </row>
        <row r="52">
          <cell r="A52" t="str">
            <v>ICMS a recuperar</v>
          </cell>
          <cell r="B52">
            <v>2151495.14</v>
          </cell>
        </row>
        <row r="53">
          <cell r="A53" t="str">
            <v>1111507010 ICMS a Recup sobre Ativo Permanente (Realizado)</v>
          </cell>
          <cell r="B53">
            <v>2520198.85</v>
          </cell>
        </row>
        <row r="54">
          <cell r="A54" t="str">
            <v>1111507014 (-)AVP sobre ICMS a Recup sobre Ativo Permanente</v>
          </cell>
          <cell r="B54">
            <v>-368703.71</v>
          </cell>
        </row>
        <row r="55">
          <cell r="A55" t="str">
            <v>INSS a compensar</v>
          </cell>
          <cell r="B55">
            <v>6122983.7699999996</v>
          </cell>
        </row>
        <row r="56">
          <cell r="A56" t="str">
            <v>1111599070 INSS a Compensar  - Decisão Judicial (Realizado)</v>
          </cell>
          <cell r="B56">
            <v>6122983.7699999996</v>
          </cell>
        </row>
        <row r="57">
          <cell r="A57" t="str">
            <v>PIS a compensar Lei nº 9.715</v>
          </cell>
          <cell r="B57">
            <v>3097909.51</v>
          </cell>
        </row>
        <row r="58">
          <cell r="A58" t="str">
            <v>1111599000 PIS a Compensar Lei 9715 (Realizado)</v>
          </cell>
          <cell r="B58">
            <v>3097909.51</v>
          </cell>
        </row>
        <row r="59">
          <cell r="A59" t="str">
            <v>Outros</v>
          </cell>
          <cell r="B59">
            <v>1655599.9</v>
          </cell>
        </row>
        <row r="60">
          <cell r="A60" t="str">
            <v>1111599010 Imp Import a Rec-Recolhimento em Dupl (Realiz)</v>
          </cell>
          <cell r="B60">
            <v>232231.19</v>
          </cell>
        </row>
        <row r="61">
          <cell r="A61" t="str">
            <v>1111599020 INSS a Rec-Recolhimento em Duplicidade (Realizado)</v>
          </cell>
          <cell r="B61">
            <v>66438.64</v>
          </cell>
        </row>
        <row r="62">
          <cell r="A62" t="str">
            <v>1111599030 Adic Estadual doImposto de Renda a Rec (Realizado)</v>
          </cell>
          <cell r="B62">
            <v>1251533.5</v>
          </cell>
        </row>
        <row r="63">
          <cell r="A63" t="str">
            <v>1111599040 FINSOCIAL 1982/83 (Realizado)</v>
          </cell>
          <cell r="B63">
            <v>67054.64</v>
          </cell>
        </row>
        <row r="64">
          <cell r="A64" t="str">
            <v>1111599050 IRRF Tercs Ret a Maior (Realizado)</v>
          </cell>
          <cell r="B64">
            <v>24650.6</v>
          </cell>
        </row>
        <row r="65">
          <cell r="A65" t="str">
            <v>1111599060 PIS/COF/COF Ret a maior (Realizado)</v>
          </cell>
          <cell r="B65">
            <v>7951.81</v>
          </cell>
        </row>
        <row r="66">
          <cell r="A66" t="str">
            <v>1111599080 ISS a restituir</v>
          </cell>
          <cell r="B66">
            <v>5739.52</v>
          </cell>
        </row>
        <row r="67">
          <cell r="A67" t="str">
            <v>ESTOQUES</v>
          </cell>
          <cell r="B67">
            <v>22880385.640000001</v>
          </cell>
        </row>
        <row r="68">
          <cell r="A68" t="str">
            <v>Matérias-primas</v>
          </cell>
          <cell r="B68">
            <v>48672.09</v>
          </cell>
        </row>
        <row r="69">
          <cell r="A69" t="str">
            <v>1112090010 Importaçoes em And de Materias Primas (Realizado)</v>
          </cell>
          <cell r="B69">
            <v>48672.09</v>
          </cell>
        </row>
        <row r="70">
          <cell r="A70" t="str">
            <v>Produtos em processo</v>
          </cell>
          <cell r="B70">
            <v>13202241.800000001</v>
          </cell>
        </row>
        <row r="71">
          <cell r="A71" t="str">
            <v>1112003010 Estoques de Produtos em Elaboraçao (Realizado)</v>
          </cell>
          <cell r="B71">
            <v>13202241.800000001</v>
          </cell>
        </row>
        <row r="72">
          <cell r="A72" t="str">
            <v>Produtos Acabados</v>
          </cell>
          <cell r="B72">
            <v>3419061.2</v>
          </cell>
        </row>
        <row r="73">
          <cell r="A73" t="str">
            <v>1112010010 Estoques de Produtos Acabados (Realizado)</v>
          </cell>
          <cell r="B73">
            <v>3400808.98</v>
          </cell>
        </row>
        <row r="74">
          <cell r="A74" t="str">
            <v>1112050010 Estoques de Mercadorias Rev Nacionais (Realizado)</v>
          </cell>
          <cell r="B74">
            <v>17882.39</v>
          </cell>
        </row>
        <row r="75">
          <cell r="A75" t="str">
            <v>1112050020 Estoques de Mercadorias Rev Importadas (Realizado)</v>
          </cell>
          <cell r="B75">
            <v>369.83</v>
          </cell>
        </row>
        <row r="76">
          <cell r="A76" t="str">
            <v>Provisão para desvalorização</v>
          </cell>
          <cell r="B76">
            <v>-868869.97</v>
          </cell>
        </row>
        <row r="77">
          <cell r="A77" t="str">
            <v>1112010014 (-)Prov p/ Aj. do Est ao Vlr de Merc - Prods Acab</v>
          </cell>
          <cell r="B77">
            <v>-868869.97</v>
          </cell>
        </row>
        <row r="78">
          <cell r="A78" t="str">
            <v>Materiais auxiliares e embalagens</v>
          </cell>
          <cell r="B78">
            <v>1981639.12</v>
          </cell>
        </row>
        <row r="79">
          <cell r="A79" t="str">
            <v>1112005010 Estoques de Insumos (Mat-Aux) (Realiz)</v>
          </cell>
          <cell r="B79">
            <v>1866922.44</v>
          </cell>
        </row>
        <row r="80">
          <cell r="A80" t="str">
            <v>1112008010 Estoques de Materiais de Embalagens (Realizado)</v>
          </cell>
          <cell r="B80">
            <v>114716.68</v>
          </cell>
        </row>
        <row r="81">
          <cell r="A81" t="str">
            <v>Materiais de manutenção e outros</v>
          </cell>
          <cell r="B81">
            <v>5097641.4000000004</v>
          </cell>
        </row>
        <row r="82">
          <cell r="A82" t="str">
            <v>1112020020 Estoque Almoxarif CP-Manutençao Eletrica (Realiz)</v>
          </cell>
          <cell r="B82">
            <v>1648583.71</v>
          </cell>
        </row>
        <row r="83">
          <cell r="A83" t="str">
            <v>1112020030 Estoque Almoxarif CP-Manutençao Mecanica (Realiz)</v>
          </cell>
          <cell r="B83">
            <v>5331958.04</v>
          </cell>
        </row>
        <row r="84">
          <cell r="A84" t="str">
            <v>1112020050 Estoq Alm CP-Manut Calderaria e Tubulaçao (Realiz)</v>
          </cell>
          <cell r="B84">
            <v>4405144.3600000003</v>
          </cell>
        </row>
        <row r="85">
          <cell r="A85" t="str">
            <v>1112020060 Estoque Alm CP-Manutençao Instrumentaçao (Realiz)</v>
          </cell>
          <cell r="B85">
            <v>4392311.67</v>
          </cell>
        </row>
        <row r="86">
          <cell r="A86" t="str">
            <v>1112020070 Estoque Alm CP-Manutençao Celula HG (Realizado)</v>
          </cell>
          <cell r="B86">
            <v>510180.11</v>
          </cell>
        </row>
        <row r="87">
          <cell r="A87" t="str">
            <v>1112020080 Estoque Almo CP-Manut Celula Diafragma (Realizado)</v>
          </cell>
          <cell r="B87">
            <v>983736.56</v>
          </cell>
        </row>
        <row r="88">
          <cell r="A88" t="str">
            <v>1112020090 Estoque Alm CP-Manutençao Celula Membrana (Realiz)</v>
          </cell>
          <cell r="B88">
            <v>12839.65</v>
          </cell>
        </row>
        <row r="89">
          <cell r="A89" t="str">
            <v>1112020100 Estoque Alm CP-Manut.de Cilindros e Carretas R</v>
          </cell>
          <cell r="B89">
            <v>154217.76</v>
          </cell>
        </row>
        <row r="90">
          <cell r="A90" t="str">
            <v>1112020490 Estoque Almo CP-Manutençao em Geral (Realizado)</v>
          </cell>
          <cell r="B90">
            <v>0</v>
          </cell>
        </row>
        <row r="91">
          <cell r="A91" t="str">
            <v>1112020500 Estoque Alm CP-Almoxarifado de Uso Geral (Realiz)</v>
          </cell>
          <cell r="B91">
            <v>311984.64000000001</v>
          </cell>
        </row>
        <row r="92">
          <cell r="A92" t="str">
            <v>1112020991 Estoque Almoxarifado Transf. Parcela Realizada L.P</v>
          </cell>
          <cell r="B92">
            <v>-12756655.439999999</v>
          </cell>
        </row>
        <row r="93">
          <cell r="A93" t="str">
            <v>1112080200 Etq de Outros Mats-Almox em Poder de Ters (Realiz)</v>
          </cell>
          <cell r="B93">
            <v>103340.34</v>
          </cell>
        </row>
        <row r="94">
          <cell r="A94" t="str">
            <v>DESPESAS DE EXERCICIO SEGUINTE</v>
          </cell>
          <cell r="B94">
            <v>1990019.35</v>
          </cell>
        </row>
        <row r="95">
          <cell r="A95" t="str">
            <v>Pagamentos Antecipados</v>
          </cell>
          <cell r="B95">
            <v>1990019.35</v>
          </cell>
        </row>
        <row r="96">
          <cell r="A96" t="str">
            <v>1119001010 Pagamentos Antecipados-Seguros (Realizado)</v>
          </cell>
          <cell r="B96">
            <v>1694350.57</v>
          </cell>
        </row>
        <row r="97">
          <cell r="A97" t="str">
            <v>1119001030 Pagamentos Antecip-Serv Tecnicos Prof (Realizado)</v>
          </cell>
          <cell r="B97">
            <v>185612.78</v>
          </cell>
        </row>
        <row r="98">
          <cell r="A98" t="str">
            <v>1119001040 Pagamentos Antecipados-Impostos (Realizado)</v>
          </cell>
          <cell r="B98">
            <v>0</v>
          </cell>
        </row>
        <row r="99">
          <cell r="A99" t="str">
            <v>1119001050 Pagtos Antecip-Contribuiçoes Associativas (Realiz)</v>
          </cell>
          <cell r="B99">
            <v>2400</v>
          </cell>
        </row>
        <row r="100">
          <cell r="A100" t="str">
            <v>1119001900 Pagtos Antecip-Outras Desps/Custos(Realizado)</v>
          </cell>
          <cell r="B100">
            <v>107656</v>
          </cell>
        </row>
        <row r="101">
          <cell r="A101" t="str">
            <v>OUTROS ATIVOS CIRCULANTE</v>
          </cell>
          <cell r="B101">
            <v>11642382.460000001</v>
          </cell>
        </row>
        <row r="102">
          <cell r="A102" t="str">
            <v>Adiantamento a Fornecedores</v>
          </cell>
          <cell r="B102">
            <v>4883247.67</v>
          </cell>
        </row>
        <row r="103">
          <cell r="A103" t="str">
            <v>1118001010 Adiantamentos a Fornec de Serviços (Realizado)</v>
          </cell>
          <cell r="B103">
            <v>142870.78</v>
          </cell>
        </row>
        <row r="104">
          <cell r="A104" t="str">
            <v>1118001020 Adiantamentos a Fornecedores de MP (Realizado)</v>
          </cell>
          <cell r="B104">
            <v>3879065.98</v>
          </cell>
        </row>
        <row r="105">
          <cell r="A105" t="str">
            <v>1118001030 Adiantamentos a Fornecedores de Energ (Realizado)</v>
          </cell>
          <cell r="B105">
            <v>0</v>
          </cell>
        </row>
        <row r="106">
          <cell r="A106" t="str">
            <v>1118001040 Adiant  Fornecs de Materias de Consumo (Realizado)</v>
          </cell>
          <cell r="B106">
            <v>46462.89</v>
          </cell>
        </row>
        <row r="107">
          <cell r="A107" t="str">
            <v>1118001050 Adiant Fornecs de Funcionarios (Realizado)</v>
          </cell>
          <cell r="B107">
            <v>800</v>
          </cell>
        </row>
        <row r="108">
          <cell r="A108" t="str">
            <v>1118001060 Adiantamentos a Fornecedores de Fretes</v>
          </cell>
          <cell r="B108">
            <v>582157.43999999994</v>
          </cell>
        </row>
        <row r="109">
          <cell r="A109" t="str">
            <v>1118001070 Adiantamentos a Fornecedores do Exterior</v>
          </cell>
          <cell r="B109">
            <v>231890.58</v>
          </cell>
        </row>
        <row r="110">
          <cell r="A110" t="str">
            <v>Créditos a receber na venda de ativos</v>
          </cell>
          <cell r="B110">
            <v>6552812.04</v>
          </cell>
        </row>
        <row r="111">
          <cell r="A111" t="str">
            <v>1118099060 Outros Créditos- Contratos a Receber (Realizado)</v>
          </cell>
          <cell r="B111">
            <v>6552812.04</v>
          </cell>
        </row>
        <row r="112">
          <cell r="A112" t="str">
            <v>Outros Créditos</v>
          </cell>
          <cell r="B112">
            <v>206322.75</v>
          </cell>
        </row>
        <row r="113">
          <cell r="A113" t="str">
            <v>1118002010 Adiantamentos a Empregados Salarios (Realizado)</v>
          </cell>
          <cell r="B113">
            <v>417.6</v>
          </cell>
        </row>
        <row r="114">
          <cell r="A114" t="str">
            <v>1118002020 Adiantamentos a Empregados 13º Salario (Realizado)</v>
          </cell>
          <cell r="B114">
            <v>0</v>
          </cell>
        </row>
        <row r="115">
          <cell r="A115" t="str">
            <v>1118002030 Adiantamentos a Empregados Ferias (Realizado)</v>
          </cell>
          <cell r="B115">
            <v>17249.95</v>
          </cell>
        </row>
        <row r="116">
          <cell r="A116" t="str">
            <v>1118002050 Adiant a Empregados Plano Auxilio Doen (Realizado)</v>
          </cell>
          <cell r="B116">
            <v>6950</v>
          </cell>
        </row>
        <row r="117">
          <cell r="A117" t="str">
            <v>1118002060 Adto a Empregados Cobertura de Sdo Devedor (R)</v>
          </cell>
          <cell r="B117">
            <v>9848.57</v>
          </cell>
        </row>
        <row r="118">
          <cell r="A118" t="str">
            <v>1118002090 Adto a Empregados Desp de Resp de Funcionario (R)</v>
          </cell>
          <cell r="B118">
            <v>6276.4</v>
          </cell>
        </row>
        <row r="119">
          <cell r="A119" t="str">
            <v>1118099020 Outros Creditos-Depositos e Cauçoes (Realizado)</v>
          </cell>
          <cell r="B119">
            <v>165580.23000000001</v>
          </cell>
        </row>
        <row r="120">
          <cell r="A120" t="str">
            <v>NÃO CIRCULANTE</v>
          </cell>
          <cell r="B120">
            <v>67510273.5</v>
          </cell>
        </row>
        <row r="121">
          <cell r="A121" t="str">
            <v>DUPLICATAS A RECEBER DE CLIENTES</v>
          </cell>
          <cell r="B121">
            <v>1699402.5</v>
          </cell>
        </row>
        <row r="122">
          <cell r="A122" t="str">
            <v>Clientes nacionais</v>
          </cell>
          <cell r="B122">
            <v>1699402.5</v>
          </cell>
        </row>
        <row r="123">
          <cell r="A123" t="str">
            <v>1710501011 Duplicatas a Receber no MI LP (Parcela de CP / LP)</v>
          </cell>
          <cell r="B123">
            <v>1718133.33</v>
          </cell>
        </row>
        <row r="124">
          <cell r="A124" t="str">
            <v>1710501014 (-)Rec Fin a apr s/ Dups a Rec no MI LP (P CP/LP)</v>
          </cell>
          <cell r="B124">
            <v>-18730.830000000002</v>
          </cell>
        </row>
        <row r="125">
          <cell r="A125" t="str">
            <v>IMPOSTOS A RECUPERAR</v>
          </cell>
          <cell r="B125">
            <v>3420208.93</v>
          </cell>
        </row>
        <row r="126">
          <cell r="A126" t="str">
            <v>ICMS a Recuperar</v>
          </cell>
          <cell r="B126">
            <v>3151990.37</v>
          </cell>
        </row>
        <row r="127">
          <cell r="A127" t="str">
            <v>1711507010 ICMS a Recuperar s/e Ativo Permanet LP (Realizado)</v>
          </cell>
          <cell r="B127">
            <v>3337513.59</v>
          </cell>
        </row>
        <row r="128">
          <cell r="A128" t="str">
            <v>1711507014 (-)AVP s/ ICMS a Recuperar s/ Ativo Permanente LP</v>
          </cell>
          <cell r="B128">
            <v>-185523.22</v>
          </cell>
        </row>
        <row r="129">
          <cell r="A129" t="str">
            <v>Outros</v>
          </cell>
          <cell r="B129">
            <v>268218.56</v>
          </cell>
        </row>
        <row r="130">
          <cell r="A130" t="str">
            <v>1711599040 FINSOCIAL 1982/83 (Realizado)</v>
          </cell>
          <cell r="B130">
            <v>268218.56</v>
          </cell>
        </row>
        <row r="131">
          <cell r="A131" t="str">
            <v>ESTOQUES</v>
          </cell>
          <cell r="B131">
            <v>12756655.439999999</v>
          </cell>
        </row>
        <row r="132">
          <cell r="A132" t="str">
            <v>Materiais de Almoxarifado de Giro Baixo</v>
          </cell>
          <cell r="B132">
            <v>12756655.439999999</v>
          </cell>
        </row>
        <row r="133">
          <cell r="A133" t="str">
            <v>1712020991 Estoque Almoxarifado Parcela Realizada LP</v>
          </cell>
          <cell r="B133">
            <v>12756655.439999999</v>
          </cell>
        </row>
        <row r="134">
          <cell r="A134" t="str">
            <v>DEPÓSITOS JUDICIAIS</v>
          </cell>
          <cell r="B134">
            <v>49634006.630000003</v>
          </cell>
        </row>
        <row r="135">
          <cell r="A135" t="str">
            <v>Tributários</v>
          </cell>
          <cell r="B135">
            <v>8877534.5500000007</v>
          </cell>
        </row>
        <row r="136">
          <cell r="A136" t="str">
            <v>1719001010 Dep Jud s/Res Trib Fed R</v>
          </cell>
          <cell r="B136">
            <v>7884493.1200000001</v>
          </cell>
        </row>
        <row r="137">
          <cell r="A137" t="str">
            <v>1719001011 ATM Dep Jud s/Res Trib Fed R</v>
          </cell>
          <cell r="B137">
            <v>644190.43999999994</v>
          </cell>
        </row>
        <row r="138">
          <cell r="A138" t="str">
            <v>1719001030 Depos Jud s/Reserva-Imp, Taxas e Contrib Munic (R)</v>
          </cell>
          <cell r="B138">
            <v>348850.99</v>
          </cell>
        </row>
        <row r="139">
          <cell r="A139" t="str">
            <v>Trabalhistas</v>
          </cell>
          <cell r="B139">
            <v>6044613.75</v>
          </cell>
        </row>
        <row r="140">
          <cell r="A140" t="str">
            <v>1719002010 Depos Jud s/Reserva-Reclamaçoes Trab (Realizado)</v>
          </cell>
          <cell r="B140">
            <v>4329386.37</v>
          </cell>
        </row>
        <row r="141">
          <cell r="A141" t="str">
            <v>1719002030 Dep Judiciais s/Res -Previdenciarios (Realizado)</v>
          </cell>
          <cell r="B141">
            <v>1715227.38</v>
          </cell>
        </row>
        <row r="142">
          <cell r="A142" t="str">
            <v>Outros depósitos judiciais</v>
          </cell>
          <cell r="B142">
            <v>34711858.329999998</v>
          </cell>
        </row>
        <row r="143">
          <cell r="A143" t="str">
            <v>1719003990 Outros Dep Judic s/Reserva de Nat Oper (Realizado)</v>
          </cell>
          <cell r="B143">
            <v>30560940.02</v>
          </cell>
        </row>
        <row r="144">
          <cell r="A144" t="str">
            <v>1719003991 ATM Outros Dep Judic s/Reserva Nat Oper (Realiz)</v>
          </cell>
          <cell r="B144">
            <v>4150918.31</v>
          </cell>
        </row>
        <row r="145">
          <cell r="A145" t="str">
            <v>OUTROS ATIVOS NÃO CIRCULANTES</v>
          </cell>
          <cell r="B145">
            <v>0</v>
          </cell>
        </row>
        <row r="146">
          <cell r="A146" t="str">
            <v>Créditos a receber na venda de ativos</v>
          </cell>
          <cell r="B146">
            <v>0</v>
          </cell>
        </row>
        <row r="147">
          <cell r="A147" t="str">
            <v>1718099060 Outros Créditos- Contratos a Receber (Realizado)</v>
          </cell>
          <cell r="B147">
            <v>0</v>
          </cell>
        </row>
        <row r="148">
          <cell r="A148" t="str">
            <v>INVESTIMENTOS</v>
          </cell>
          <cell r="B148">
            <v>66554200.659999996</v>
          </cell>
        </row>
        <row r="149">
          <cell r="A149" t="str">
            <v>PARTICIPAÇÃO EM COLIGADA</v>
          </cell>
          <cell r="B149">
            <v>66554200.659999996</v>
          </cell>
        </row>
        <row r="150">
          <cell r="A150" t="str">
            <v>Tecsis tecnologia e sistemas avançados</v>
          </cell>
          <cell r="B150">
            <v>66554200.659999996</v>
          </cell>
        </row>
        <row r="151">
          <cell r="A151" t="str">
            <v>1720201010 Cto Part Per em Coligada ou ControladaTecsis</v>
          </cell>
          <cell r="B151">
            <v>1970994.7</v>
          </cell>
        </row>
        <row r="152">
          <cell r="A152" t="str">
            <v>1720201012 Agios em Partic Per Colig ou Control - Tecsis</v>
          </cell>
          <cell r="B152">
            <v>26896601.149999999</v>
          </cell>
        </row>
        <row r="153">
          <cell r="A153" t="str">
            <v>1720201014 Vlr Justo Ativos em Part Per Col Cont Tecsis</v>
          </cell>
          <cell r="B153">
            <v>58505815.5</v>
          </cell>
        </row>
        <row r="154">
          <cell r="A154" t="str">
            <v>1720201015 Realização Vlr Justo em Part Per Col Cont -Tecsis</v>
          </cell>
          <cell r="B154">
            <v>-11867312.43</v>
          </cell>
        </row>
        <row r="155">
          <cell r="A155" t="str">
            <v>1720201018 Ajust Aval Patrimonial em Part Per Col Cont Tecsis</v>
          </cell>
          <cell r="B155">
            <v>-8951898.2599999998</v>
          </cell>
        </row>
        <row r="156">
          <cell r="A156" t="str">
            <v>IMOBILIZADO</v>
          </cell>
          <cell r="B156">
            <v>908890913.66999996</v>
          </cell>
        </row>
        <row r="157">
          <cell r="A157" t="str">
            <v>CUSTO</v>
          </cell>
          <cell r="B157">
            <v>1490776611.77</v>
          </cell>
        </row>
        <row r="158">
          <cell r="A158" t="str">
            <v>Terrenos</v>
          </cell>
          <cell r="B158">
            <v>247550000.00999999</v>
          </cell>
        </row>
        <row r="159">
          <cell r="A159" t="str">
            <v>1740101010 Imobilizado-Custo dos Terrenos</v>
          </cell>
          <cell r="B159">
            <v>2292264.9900000002</v>
          </cell>
        </row>
        <row r="160">
          <cell r="A160" t="str">
            <v>1740101011 Imobilizado-Mais Valia dos Terrenos</v>
          </cell>
          <cell r="B160">
            <v>122628867.51000001</v>
          </cell>
        </row>
        <row r="161">
          <cell r="A161" t="str">
            <v>1740101012 Imobilizado-Mais Valia Comb Neg dos Terrenos</v>
          </cell>
          <cell r="B161">
            <v>122628867.51000001</v>
          </cell>
        </row>
        <row r="162">
          <cell r="A162" t="str">
            <v>Edificações e construções</v>
          </cell>
          <cell r="B162">
            <v>145980061.33000001</v>
          </cell>
        </row>
        <row r="163">
          <cell r="A163" t="str">
            <v>1740102010 Imobilizado-Custo dos Edificios</v>
          </cell>
          <cell r="B163">
            <v>125904815.04000001</v>
          </cell>
        </row>
        <row r="164">
          <cell r="A164" t="str">
            <v>1740102011 Imobilizado-Mais Valia dos Edificios</v>
          </cell>
          <cell r="B164">
            <v>2867318.76</v>
          </cell>
        </row>
        <row r="165">
          <cell r="A165" t="str">
            <v>1740102012 Imobilizado-Mais Valia Comb Negocios dos Edificios</v>
          </cell>
          <cell r="B165">
            <v>2867318.76</v>
          </cell>
        </row>
        <row r="166">
          <cell r="A166" t="str">
            <v>1740102014 Imobilizado-Contrapartida do AVP de Edificios</v>
          </cell>
          <cell r="B166">
            <v>246130.39</v>
          </cell>
        </row>
        <row r="167">
          <cell r="A167" t="str">
            <v>1740102020 Imobilizado-Custo das Benfeitorias</v>
          </cell>
          <cell r="B167">
            <v>9745640.0999999996</v>
          </cell>
        </row>
        <row r="168">
          <cell r="A168" t="str">
            <v>1740102021 Imobilizado-Mais Valia Benfeitorias</v>
          </cell>
          <cell r="B168">
            <v>2173636.4</v>
          </cell>
        </row>
        <row r="169">
          <cell r="A169" t="str">
            <v>1740102022 Imobilizado-Mais Valia Comb Neg Benfeitorias</v>
          </cell>
          <cell r="B169">
            <v>2173636.4</v>
          </cell>
        </row>
        <row r="170">
          <cell r="A170" t="str">
            <v>1740102024 Imobilizado-Contrapartida do AVP de Beneficios</v>
          </cell>
          <cell r="B170">
            <v>1565.48</v>
          </cell>
        </row>
        <row r="171">
          <cell r="A171" t="str">
            <v>Equipamentos e Instalações</v>
          </cell>
          <cell r="B171">
            <v>1035343443.65</v>
          </cell>
        </row>
        <row r="172">
          <cell r="A172" t="str">
            <v>1740103010 Imobilizado-Custo de Equipamentos</v>
          </cell>
          <cell r="B172">
            <v>810366140.25</v>
          </cell>
        </row>
        <row r="173">
          <cell r="A173" t="str">
            <v>1740103011 Imobilizado-Mais Valia Equipamentos</v>
          </cell>
          <cell r="B173">
            <v>97213800.430000007</v>
          </cell>
        </row>
        <row r="174">
          <cell r="A174" t="str">
            <v>1740103012 Imobilizado-Mais Valia Comb Neg Equipamentos</v>
          </cell>
          <cell r="B174">
            <v>97213800.430000007</v>
          </cell>
        </row>
        <row r="175">
          <cell r="A175" t="str">
            <v>1740103014 Imobilizado-AVP Equipamentos</v>
          </cell>
          <cell r="B175">
            <v>8860139.2200000007</v>
          </cell>
        </row>
        <row r="176">
          <cell r="A176" t="str">
            <v>1740103020 Imobilizado-Custo dos Sobressalentes</v>
          </cell>
          <cell r="B176">
            <v>17144456.969999999</v>
          </cell>
        </row>
        <row r="177">
          <cell r="A177" t="str">
            <v>1740103021 Imobilizado-Mais Valia dos Sobressalentes</v>
          </cell>
          <cell r="B177">
            <v>2255648.7999999998</v>
          </cell>
        </row>
        <row r="178">
          <cell r="A178" t="str">
            <v>1740103022 Imobilizado-Custo dos Sobressalentes</v>
          </cell>
          <cell r="B178">
            <v>2255648.7999999998</v>
          </cell>
        </row>
        <row r="179">
          <cell r="A179" t="str">
            <v>1740105020 Imobilizado-Custo de Veiculos Fora de Estrada</v>
          </cell>
          <cell r="B179">
            <v>33808.75</v>
          </cell>
        </row>
        <row r="180">
          <cell r="A180" t="str">
            <v>Veículos</v>
          </cell>
          <cell r="B180">
            <v>1397156.4</v>
          </cell>
        </row>
        <row r="181">
          <cell r="A181" t="str">
            <v>1740105010 Imob-Custo de Veiculos de Passageiros e Carga</v>
          </cell>
          <cell r="B181">
            <v>1392567.28</v>
          </cell>
        </row>
        <row r="182">
          <cell r="A182" t="str">
            <v>1740105011 Imob-Mais Valia de Veiculos de Passageiros e Carga</v>
          </cell>
          <cell r="B182">
            <v>2153.92</v>
          </cell>
        </row>
        <row r="183">
          <cell r="A183" t="str">
            <v>1740105012 Imob-Mais Valia de Veiculos de Passageiros e Carga</v>
          </cell>
          <cell r="B183">
            <v>2153.92</v>
          </cell>
        </row>
        <row r="184">
          <cell r="A184" t="str">
            <v>1740105014 Imob-AVP de Veiculos de Passageiros e Carga</v>
          </cell>
          <cell r="B184">
            <v>281.27999999999997</v>
          </cell>
        </row>
        <row r="185">
          <cell r="A185" t="str">
            <v>Móveis e utensílios</v>
          </cell>
          <cell r="B185">
            <v>12120520.35</v>
          </cell>
        </row>
        <row r="186">
          <cell r="A186" t="str">
            <v>1740104010 Imob-Custo de Moveis, Utensilios e Inst Comerciais</v>
          </cell>
          <cell r="B186">
            <v>12075697.51</v>
          </cell>
        </row>
        <row r="187">
          <cell r="A187" t="str">
            <v>1740104014 Imob-AVP de Moveis, Utensilios e Inst Comerciais</v>
          </cell>
          <cell r="B187">
            <v>44822.84</v>
          </cell>
        </row>
        <row r="188">
          <cell r="A188" t="str">
            <v>Demais bens</v>
          </cell>
          <cell r="B188">
            <v>11112668.92</v>
          </cell>
        </row>
        <row r="189">
          <cell r="A189" t="str">
            <v>1740199010 Imobilizado-Custo de Material Auxiliar Permanente</v>
          </cell>
          <cell r="B189">
            <v>2511016.21</v>
          </cell>
        </row>
        <row r="190">
          <cell r="A190" t="str">
            <v>1740199070 Imobilizado-Custo de Computadores e Perifericos</v>
          </cell>
          <cell r="B190">
            <v>8565331.0899999999</v>
          </cell>
        </row>
        <row r="191">
          <cell r="A191" t="str">
            <v>1740199074 Imobilizado- AVP de Computadores e Perifericos</v>
          </cell>
          <cell r="B191">
            <v>36321.620000000003</v>
          </cell>
        </row>
        <row r="192">
          <cell r="A192" t="str">
            <v>imobilizado em andamento</v>
          </cell>
          <cell r="B192">
            <v>37272761.109999999</v>
          </cell>
        </row>
        <row r="193">
          <cell r="A193" t="str">
            <v>1745001010 Imob Andament-Custo das Aquisiçoes p/Imob (Receb)</v>
          </cell>
          <cell r="B193">
            <v>29992405.32</v>
          </cell>
        </row>
        <row r="194">
          <cell r="A194" t="str">
            <v>1745001014 Contrapartida dos Aj a Vr Presente de IeA</v>
          </cell>
          <cell r="B194">
            <v>138628.96</v>
          </cell>
        </row>
        <row r="195">
          <cell r="A195" t="str">
            <v>1745001020 Imob And-Cto das Aquisiç de Sobres de Imob (Receb)</v>
          </cell>
          <cell r="B195">
            <v>341991.17</v>
          </cell>
        </row>
        <row r="196">
          <cell r="A196" t="str">
            <v>1745002030 Imob And-Cto dos Adiants p/Aquis de Imobiliz (T)</v>
          </cell>
          <cell r="B196">
            <v>1094460.26</v>
          </cell>
        </row>
        <row r="197">
          <cell r="A197" t="str">
            <v>1745002031 Imob And-Tran de Adto p/Aquis Imob Reconcil (T)</v>
          </cell>
          <cell r="B197">
            <v>94616.71</v>
          </cell>
        </row>
        <row r="198">
          <cell r="A198" t="str">
            <v>1745002032 Imob And-Tran de Adto p/Aquis de Imob Razao (T)</v>
          </cell>
          <cell r="B198">
            <v>-94616.71</v>
          </cell>
        </row>
        <row r="199">
          <cell r="A199" t="str">
            <v>1745099010 Imob And-Encar Fin s/ Aquis de Imob-Juros (Realiz)</v>
          </cell>
          <cell r="B199">
            <v>3511167.37</v>
          </cell>
        </row>
        <row r="200">
          <cell r="A200" t="str">
            <v>1745099030 Imob And-Encar Fin s/ Aquis de Imob-Var Cam (R)</v>
          </cell>
          <cell r="B200">
            <v>2194108.0299999998</v>
          </cell>
        </row>
        <row r="201">
          <cell r="A201" t="str">
            <v>DEPRECIAÇÃO</v>
          </cell>
          <cell r="B201">
            <v>-581885698.10000002</v>
          </cell>
        </row>
        <row r="202">
          <cell r="A202" t="str">
            <v>Edificações e construções</v>
          </cell>
          <cell r="B202">
            <v>-44999630.539999999</v>
          </cell>
        </row>
        <row r="203">
          <cell r="A203" t="str">
            <v>1740502010 (-)Depreciaçao-Custo dos Edificios</v>
          </cell>
          <cell r="B203">
            <v>-38282403.079999998</v>
          </cell>
        </row>
        <row r="204">
          <cell r="A204" t="str">
            <v>1740502011 (-)Depreciaçao-Mais Valia Edificios</v>
          </cell>
          <cell r="B204">
            <v>-123442.78</v>
          </cell>
        </row>
        <row r="205">
          <cell r="A205" t="str">
            <v>1740502012 (-)Depreciaçao-Mais Valia Combin Neg Edificios</v>
          </cell>
          <cell r="B205">
            <v>-123442.78</v>
          </cell>
        </row>
        <row r="206">
          <cell r="A206" t="str">
            <v>1740502014 (-)Depr-Contrapartida do AVP de Edificios</v>
          </cell>
          <cell r="B206">
            <v>-29389.48</v>
          </cell>
        </row>
        <row r="207">
          <cell r="A207" t="str">
            <v>1740502020 (-)Depreciaçao-Custo das Benfeitorias</v>
          </cell>
          <cell r="B207">
            <v>-6080105.1699999999</v>
          </cell>
        </row>
        <row r="208">
          <cell r="A208" t="str">
            <v>1740502021 (-)Depreciaçao-Mais Valia Benfeitorias</v>
          </cell>
          <cell r="B208">
            <v>-180271.49</v>
          </cell>
        </row>
        <row r="209">
          <cell r="A209" t="str">
            <v>1740502022 (-)Depreciaçao-Mais Valia Combin Neg Benfeitorias</v>
          </cell>
          <cell r="B209">
            <v>-180271.49</v>
          </cell>
        </row>
        <row r="210">
          <cell r="A210" t="str">
            <v>1740502024 (-)Depr-Contrapartida do AVP de Benfeitorias</v>
          </cell>
          <cell r="B210">
            <v>-304.27</v>
          </cell>
        </row>
        <row r="211">
          <cell r="A211" t="str">
            <v>Equipamentos e Instalações</v>
          </cell>
          <cell r="B211">
            <v>-520847016.31</v>
          </cell>
        </row>
        <row r="212">
          <cell r="A212" t="str">
            <v>1740503010 (-)Depreciaçao-Custo de Equipamentos</v>
          </cell>
          <cell r="B212">
            <v>-493475618.30000001</v>
          </cell>
        </row>
        <row r="213">
          <cell r="A213" t="str">
            <v>1740503011 (-)Depreciaçao-Mais Valia Equipamentos</v>
          </cell>
          <cell r="B213">
            <v>-7584941.3399999999</v>
          </cell>
        </row>
        <row r="214">
          <cell r="A214" t="str">
            <v>1740503012 (-)Depreciaçao-Mais Valia Combin Neg Equipamentos</v>
          </cell>
          <cell r="B214">
            <v>-7584941.3399999999</v>
          </cell>
        </row>
        <row r="215">
          <cell r="A215" t="str">
            <v>1740503014 (-)Depr-Contrapartida do AVP de Equipamentos</v>
          </cell>
          <cell r="B215">
            <v>-2601095.17</v>
          </cell>
        </row>
        <row r="216">
          <cell r="A216" t="str">
            <v>1740503020 (-)Depreciaçao-Custo dos Sobressalentes</v>
          </cell>
          <cell r="B216">
            <v>-9230867.6300000008</v>
          </cell>
        </row>
        <row r="217">
          <cell r="A217" t="str">
            <v>1740503021 (-)Depreciaçao-Mais Valia Sobressalentes</v>
          </cell>
          <cell r="B217">
            <v>-176198.36</v>
          </cell>
        </row>
        <row r="218">
          <cell r="A218" t="str">
            <v>1740503022 (-)Depreciaçao-Mais Valia Combin Neg Sobressalente</v>
          </cell>
          <cell r="B218">
            <v>-176198.36</v>
          </cell>
        </row>
        <row r="219">
          <cell r="A219" t="str">
            <v>1740505020 (-)Depreciaçao-Custo de Veiculos Fora da Estrada</v>
          </cell>
          <cell r="B219">
            <v>-17155.810000000001</v>
          </cell>
        </row>
        <row r="220">
          <cell r="A220" t="str">
            <v>Veículos</v>
          </cell>
          <cell r="B220">
            <v>-795938.05</v>
          </cell>
        </row>
        <row r="221">
          <cell r="A221" t="str">
            <v>1740505010 (-)Depr-Custo de Veiculos de Passageiros e Carga</v>
          </cell>
          <cell r="B221">
            <v>-793907.92</v>
          </cell>
        </row>
        <row r="222">
          <cell r="A222" t="str">
            <v>1740505011 (-)Depreciaçao-Mais Valia Veiculos</v>
          </cell>
          <cell r="B222">
            <v>-897.48</v>
          </cell>
        </row>
        <row r="223">
          <cell r="A223" t="str">
            <v>1740505012 (-)Depreciaçao-Mais Valia Combin Neg Veiculos</v>
          </cell>
          <cell r="B223">
            <v>-897.48</v>
          </cell>
        </row>
        <row r="224">
          <cell r="A224" t="str">
            <v>1740505014 (-)Depr-Contrapartida do AVP de Veículos</v>
          </cell>
          <cell r="B224">
            <v>-235.17</v>
          </cell>
        </row>
        <row r="225">
          <cell r="A225" t="str">
            <v>Móveis e utensílios</v>
          </cell>
          <cell r="B225">
            <v>-8339626.5</v>
          </cell>
        </row>
        <row r="226">
          <cell r="A226" t="str">
            <v>1740504010 (-)Depreciaçao-Custo dos Móveis, Utens e Inst Com</v>
          </cell>
          <cell r="B226">
            <v>-8327358.9800000004</v>
          </cell>
        </row>
        <row r="227">
          <cell r="A227" t="str">
            <v>1740504014 (-)Depr-Contrapartida do AVP de Móveis, Utens</v>
          </cell>
          <cell r="B227">
            <v>-12267.52</v>
          </cell>
        </row>
        <row r="228">
          <cell r="A228" t="str">
            <v>Demais bens</v>
          </cell>
          <cell r="B228">
            <v>-6903486.7000000002</v>
          </cell>
        </row>
        <row r="229">
          <cell r="A229" t="str">
            <v>1740599070 (-)Depreciaçao-Custo de Computadores e Perifericos</v>
          </cell>
          <cell r="B229">
            <v>-6883310.5499999998</v>
          </cell>
        </row>
        <row r="230">
          <cell r="A230" t="str">
            <v>1740599074 (-)Depr-Contrap do AVP dos Computad Perifericos</v>
          </cell>
          <cell r="B230">
            <v>-20176.150000000001</v>
          </cell>
        </row>
        <row r="231">
          <cell r="A231" t="str">
            <v>INTANGÍVEL</v>
          </cell>
          <cell r="B231">
            <v>288131184.16000003</v>
          </cell>
        </row>
        <row r="232">
          <cell r="A232" t="str">
            <v>INTANGÍVEL EM OPERAÇÃO</v>
          </cell>
          <cell r="B232">
            <v>288131184.16000003</v>
          </cell>
        </row>
        <row r="233">
          <cell r="A233" t="str">
            <v>Ágio - combinação de negócio em estágios</v>
          </cell>
          <cell r="B233">
            <v>195808784.34999999</v>
          </cell>
        </row>
        <row r="234">
          <cell r="A234" t="str">
            <v>1750190012 Intangivel Op-Mais Valia C N Ativ n Alocados</v>
          </cell>
          <cell r="B234">
            <v>195808784.34999999</v>
          </cell>
        </row>
        <row r="235">
          <cell r="A235" t="str">
            <v>Carteira de clientes</v>
          </cell>
          <cell r="B235">
            <v>178874.98</v>
          </cell>
        </row>
        <row r="236">
          <cell r="A236" t="str">
            <v>1750103011 Intangivel Op-Mais Valia de Carteira de Clientes</v>
          </cell>
          <cell r="B236">
            <v>106000</v>
          </cell>
        </row>
        <row r="237">
          <cell r="A237" t="str">
            <v>1750103012 Intangivel Op-Mais Valia de Carteira Clientes C N</v>
          </cell>
          <cell r="B237">
            <v>106000</v>
          </cell>
        </row>
        <row r="238">
          <cell r="A238" t="str">
            <v>1750603011 (-)Amort-Mais Valia Carteira de Clientes</v>
          </cell>
          <cell r="B238">
            <v>-16562.509999999998</v>
          </cell>
        </row>
        <row r="239">
          <cell r="A239" t="str">
            <v>1750603012 (-)Amort-Mais Valia C N Carteira de Clientes</v>
          </cell>
          <cell r="B239">
            <v>-16562.509999999998</v>
          </cell>
        </row>
        <row r="240">
          <cell r="A240" t="str">
            <v>Direito de uso de software e pesquisa e desen</v>
          </cell>
          <cell r="B240">
            <v>14969551.57</v>
          </cell>
        </row>
        <row r="241">
          <cell r="A241" t="str">
            <v>1750101010 Intangivel Op-Custo das Marcas e Patentes</v>
          </cell>
          <cell r="B241">
            <v>1385.16</v>
          </cell>
        </row>
        <row r="242">
          <cell r="A242" t="str">
            <v>1750102010 Intangivel Op-Cto das Software ou Prog de Comput</v>
          </cell>
          <cell r="B242">
            <v>19392499.699999999</v>
          </cell>
        </row>
        <row r="243">
          <cell r="A243" t="str">
            <v>1750102014 Intangivel Op-AV de Software ou Prog de Comput</v>
          </cell>
          <cell r="B243">
            <v>61858.13</v>
          </cell>
        </row>
        <row r="244">
          <cell r="A244" t="str">
            <v>1750602010 (-)Amort-Cto dos Software ou Programas de Comput</v>
          </cell>
          <cell r="B244">
            <v>-4480462.54</v>
          </cell>
        </row>
        <row r="245">
          <cell r="A245" t="str">
            <v>1750602014 (-)Amort-Contrapartida do AVP de Softwares</v>
          </cell>
          <cell r="B245">
            <v>-5728.88</v>
          </cell>
        </row>
        <row r="246">
          <cell r="A246" t="str">
            <v>Ágio Goodwill</v>
          </cell>
          <cell r="B246">
            <v>116930262.52</v>
          </cell>
        </row>
        <row r="247">
          <cell r="A247" t="str">
            <v>1750190011 Intangivel Op-Mais Valia Ativ n Alocados</v>
          </cell>
          <cell r="B247">
            <v>116930262.52</v>
          </cell>
        </row>
        <row r="248">
          <cell r="A248" t="str">
            <v>Tributos diferidos s/ágio não alocado</v>
          </cell>
          <cell r="B248">
            <v>-39756289.259999998</v>
          </cell>
        </row>
        <row r="249">
          <cell r="A249" t="str">
            <v>1750190021 Intangivel Op-Tribs Dif S/Mais Valia de Ativos (R)</v>
          </cell>
          <cell r="B249">
            <v>-39756289.259999998</v>
          </cell>
        </row>
        <row r="250">
          <cell r="A250" t="str">
            <v>1754901020 Trib Diferidos s/Mais Valia CN Ativos Imob (Realiz</v>
          </cell>
          <cell r="B250">
            <v>-74516140.799999997</v>
          </cell>
        </row>
        <row r="251">
          <cell r="A251" t="str">
            <v>1754901021 Trib Diferidos s/Mais Valia CN At Imob (Tr Passivo</v>
          </cell>
          <cell r="B251">
            <v>74516140.799999997</v>
          </cell>
        </row>
        <row r="252">
          <cell r="A252" t="str">
            <v>PASSIVO E PATRIMÔNIO LÍQUIDO</v>
          </cell>
          <cell r="B252">
            <v>-1691162034.8299999</v>
          </cell>
        </row>
        <row r="253">
          <cell r="A253" t="str">
            <v>CIRCULANTE</v>
          </cell>
          <cell r="B253">
            <v>-286025819.33999997</v>
          </cell>
        </row>
        <row r="254">
          <cell r="A254" t="str">
            <v>FORNECEDORES</v>
          </cell>
          <cell r="B254">
            <v>-18710562.649999999</v>
          </cell>
        </row>
        <row r="255">
          <cell r="A255" t="str">
            <v>Serviços</v>
          </cell>
          <cell r="B255">
            <v>-5435849.0899999999</v>
          </cell>
        </row>
        <row r="256">
          <cell r="A256" t="str">
            <v>2110101010 Fornecedores Nacionais de Serviços (Realizado)</v>
          </cell>
          <cell r="B256">
            <v>-5435849.0899999999</v>
          </cell>
        </row>
        <row r="257">
          <cell r="A257" t="str">
            <v>Matérias Primas</v>
          </cell>
          <cell r="B257">
            <v>-4447726.8499999996</v>
          </cell>
        </row>
        <row r="258">
          <cell r="A258" t="str">
            <v>2110101020 Fornecedores Nacionais de MP (Realizado)</v>
          </cell>
          <cell r="B258">
            <v>-4447726.8499999996</v>
          </cell>
        </row>
        <row r="259">
          <cell r="A259" t="str">
            <v>Fretes</v>
          </cell>
          <cell r="B259">
            <v>-6025483.5099999998</v>
          </cell>
        </row>
        <row r="260">
          <cell r="A260" t="str">
            <v>2110101070 Fornecedores Nacionais de Fretes (Realizado)</v>
          </cell>
          <cell r="B260">
            <v>-6025483.5099999998</v>
          </cell>
        </row>
        <row r="261">
          <cell r="A261" t="str">
            <v>Materiais de Consumo</v>
          </cell>
          <cell r="B261">
            <v>-1788455.55</v>
          </cell>
        </row>
        <row r="262">
          <cell r="A262" t="str">
            <v>2110101040 Fornecedores Nacionais de Mat de Cons(Realizado)</v>
          </cell>
          <cell r="B262">
            <v>-1734650.43</v>
          </cell>
        </row>
        <row r="263">
          <cell r="A263" t="str">
            <v>2110102040 Fornecedores do Ext de Mat de Cons (Realizado)</v>
          </cell>
          <cell r="B263">
            <v>-53805.120000000003</v>
          </cell>
        </row>
        <row r="264">
          <cell r="A264" t="str">
            <v>Demais tipos de fornecedores</v>
          </cell>
          <cell r="B264">
            <v>-1013047.65</v>
          </cell>
        </row>
        <row r="265">
          <cell r="A265" t="str">
            <v>2110101030 Fornecedores Nacionais de Energia (Realizado)</v>
          </cell>
          <cell r="B265">
            <v>-28410.52</v>
          </cell>
        </row>
        <row r="266">
          <cell r="A266" t="str">
            <v>2110101050 Fornecedores Nacionais Funcionarios (Realizado)</v>
          </cell>
          <cell r="B266">
            <v>-25168.78</v>
          </cell>
        </row>
        <row r="267">
          <cell r="A267" t="str">
            <v>2110101060 Fornecedores Nacionais Imps e Contrib (Realizado)</v>
          </cell>
          <cell r="B267">
            <v>-42283.99</v>
          </cell>
        </row>
        <row r="268">
          <cell r="A268" t="str">
            <v>2110101990 Fornecedores Nacionais Outros (Realizado)</v>
          </cell>
          <cell r="B268">
            <v>0</v>
          </cell>
        </row>
        <row r="269">
          <cell r="A269" t="str">
            <v>2110199011 Provisao de Entrada de Mercad e de Fatura (EM/EF)</v>
          </cell>
          <cell r="B269">
            <v>-917184.36</v>
          </cell>
        </row>
        <row r="270">
          <cell r="A270" t="str">
            <v>EMPRÉSTIMOS</v>
          </cell>
          <cell r="B270">
            <v>-182504664.44</v>
          </cell>
        </row>
        <row r="271">
          <cell r="A271" t="str">
            <v>Moeda nacional</v>
          </cell>
          <cell r="B271">
            <v>-180542126.40000001</v>
          </cell>
        </row>
        <row r="272">
          <cell r="A272" t="str">
            <v>2110502010 Emprest e Financs em Moeda Nacional CP (Realizado)</v>
          </cell>
          <cell r="B272">
            <v>-162572841.97</v>
          </cell>
        </row>
        <row r="273">
          <cell r="A273" t="str">
            <v>2110502020 Juros s/Empr Fin em Moeda Nacional CP (Realizado)</v>
          </cell>
          <cell r="B273">
            <v>-12951049.9</v>
          </cell>
        </row>
        <row r="274">
          <cell r="A274" t="str">
            <v>2110502500 Custo de Emprest e Finan Amort em MN CP (Realiz)</v>
          </cell>
          <cell r="B274">
            <v>-5018234.53</v>
          </cell>
        </row>
        <row r="275">
          <cell r="A275" t="str">
            <v>Moeda estrangeira</v>
          </cell>
          <cell r="B275">
            <v>-1962538.04</v>
          </cell>
        </row>
        <row r="276">
          <cell r="A276" t="str">
            <v>2110502600 Emprestimos e Finan em Moeda Estrang CP (Realiz)</v>
          </cell>
          <cell r="B276">
            <v>-1940523.73</v>
          </cell>
        </row>
        <row r="277">
          <cell r="A277" t="str">
            <v>2110502610 Jur s/Emprest e Finan Moeda Estrang CP (Realizado)</v>
          </cell>
          <cell r="B277">
            <v>-22014.31</v>
          </cell>
        </row>
        <row r="278">
          <cell r="A278" t="str">
            <v>SALÁRIOS E ENCARGOS SOCIAIS</v>
          </cell>
          <cell r="B278">
            <v>-24592995.23</v>
          </cell>
        </row>
        <row r="279">
          <cell r="A279" t="str">
            <v>Salários, Férias e Gratificações</v>
          </cell>
          <cell r="B279">
            <v>-18373531.34</v>
          </cell>
        </row>
        <row r="280">
          <cell r="A280" t="str">
            <v>2111001050 Provisao de 13º Salario (Realizado)</v>
          </cell>
          <cell r="B280">
            <v>-73766.679999999993</v>
          </cell>
        </row>
        <row r="281">
          <cell r="A281" t="str">
            <v>2111001060 Provisao de Ferias (Realizado)</v>
          </cell>
          <cell r="B281">
            <v>-5426143.96</v>
          </cell>
        </row>
        <row r="282">
          <cell r="A282" t="str">
            <v>2111001080 Provisao de Gratificaçoes Ferias (Realizado)</v>
          </cell>
          <cell r="B282">
            <v>-3320976.7</v>
          </cell>
        </row>
        <row r="283">
          <cell r="A283" t="str">
            <v>2111001090 Provisao de Gratificaçoes Diretores Estatutários</v>
          </cell>
          <cell r="B283">
            <v>-3780235</v>
          </cell>
        </row>
        <row r="284">
          <cell r="A284" t="str">
            <v>2111001100 Provisão de Gratificações  - CLT</v>
          </cell>
          <cell r="B284">
            <v>-1474481</v>
          </cell>
        </row>
        <row r="285">
          <cell r="A285" t="str">
            <v>2111001900 Provisoes Partic nos Lucros de Funcion (Realizado)</v>
          </cell>
          <cell r="B285">
            <v>-4297928</v>
          </cell>
        </row>
        <row r="286">
          <cell r="A286" t="str">
            <v>INSS</v>
          </cell>
          <cell r="B286">
            <v>-5379453.7300000004</v>
          </cell>
        </row>
        <row r="287">
          <cell r="A287" t="str">
            <v>2111005010 Contrib Prev a Recolher-INSS s/Folha (Realizado)</v>
          </cell>
          <cell r="B287">
            <v>-3814479.77</v>
          </cell>
        </row>
        <row r="288">
          <cell r="A288" t="str">
            <v>2111005020 Contrib Prev a Recolher-INSS s/Autonomos (Realiz)</v>
          </cell>
          <cell r="B288">
            <v>-19073.669999999998</v>
          </cell>
        </row>
        <row r="289">
          <cell r="A289" t="str">
            <v>2111005030 Contrib Prev a Recolher-INSS s/Cooperativas (Real)</v>
          </cell>
          <cell r="B289">
            <v>-1800.46</v>
          </cell>
        </row>
        <row r="290">
          <cell r="A290" t="str">
            <v>2111005050 Prov de Contrib Prev-INSS sobre 13º Salario (R)</v>
          </cell>
          <cell r="B290">
            <v>-20709.96</v>
          </cell>
        </row>
        <row r="291">
          <cell r="A291" t="str">
            <v>2111005060 Prov de Contrib Prev-INSS sobre Ferias (Realizado)</v>
          </cell>
          <cell r="B291">
            <v>-1523389.87</v>
          </cell>
        </row>
        <row r="292">
          <cell r="A292" t="str">
            <v>FGTS</v>
          </cell>
          <cell r="B292">
            <v>-840010.16</v>
          </cell>
        </row>
        <row r="293">
          <cell r="A293" t="str">
            <v>2111006010 Contrib Prev a Recolher-FGTS s/Folha (Realizado)</v>
          </cell>
          <cell r="B293">
            <v>-400781.27</v>
          </cell>
        </row>
        <row r="294">
          <cell r="A294" t="str">
            <v>2111006050 Prov Contrib Prev-FGTS s/ 13º Salario (Realizado)</v>
          </cell>
          <cell r="B294">
            <v>-5901.18</v>
          </cell>
        </row>
        <row r="295">
          <cell r="A295" t="str">
            <v>2111006060 Prov Contrib Prev-FGTS sobre Ferias (Realizado)</v>
          </cell>
          <cell r="B295">
            <v>-433327.71</v>
          </cell>
        </row>
        <row r="296">
          <cell r="A296" t="str">
            <v>OUTROS IMPOSTOS E CONTRIBUIÇÕES A PAGAR</v>
          </cell>
          <cell r="B296">
            <v>-12476897.98</v>
          </cell>
        </row>
        <row r="297">
          <cell r="A297" t="str">
            <v>ICMS a recolher</v>
          </cell>
          <cell r="B297">
            <v>-7547903.2599999998</v>
          </cell>
        </row>
        <row r="298">
          <cell r="A298" t="str">
            <v>2113005300 ICMS a Recolher (Realizado)</v>
          </cell>
          <cell r="B298">
            <v>-7547903.2599999998</v>
          </cell>
        </row>
        <row r="299">
          <cell r="A299" t="str">
            <v>PIS a recolher</v>
          </cell>
          <cell r="B299">
            <v>-474683.97</v>
          </cell>
        </row>
        <row r="300">
          <cell r="A300" t="str">
            <v>2113005010 PIS a Recolher (Realizado)</v>
          </cell>
          <cell r="B300">
            <v>-474683.97</v>
          </cell>
        </row>
        <row r="301">
          <cell r="A301" t="str">
            <v>Cofins a recolher</v>
          </cell>
          <cell r="B301">
            <v>-2186839.27</v>
          </cell>
        </row>
        <row r="302">
          <cell r="A302" t="str">
            <v>2113005020 COFINS a Recolher (Realizado)</v>
          </cell>
          <cell r="B302">
            <v>-2186839.27</v>
          </cell>
        </row>
        <row r="303">
          <cell r="A303" t="str">
            <v>Obrigações tributárias s/ servs.de terceiros</v>
          </cell>
          <cell r="B303">
            <v>-2267471.48</v>
          </cell>
        </row>
        <row r="304">
          <cell r="A304" t="str">
            <v>2113001010 IR de Funcionarios (Realizado)</v>
          </cell>
          <cell r="B304">
            <v>-1596593.81</v>
          </cell>
        </row>
        <row r="305">
          <cell r="A305" t="str">
            <v>2113001200 Imposto Sindical de Funcionarios (Realizado)</v>
          </cell>
          <cell r="B305">
            <v>-356.66</v>
          </cell>
        </row>
        <row r="306">
          <cell r="A306" t="str">
            <v>2113001300 Imposto de Renda s/Servs de Terceiros (Realizado)</v>
          </cell>
          <cell r="B306">
            <v>-66387.69</v>
          </cell>
        </row>
        <row r="307">
          <cell r="A307" t="str">
            <v>2113001310 INSS s/Serviços de Terceiros PF</v>
          </cell>
          <cell r="B307">
            <v>-3861.92</v>
          </cell>
        </row>
        <row r="308">
          <cell r="A308" t="str">
            <v>2113001320 INSS s/Serviços de Terceiros PJ</v>
          </cell>
          <cell r="B308">
            <v>-236884.26</v>
          </cell>
        </row>
        <row r="309">
          <cell r="A309" t="str">
            <v>2113001350 CSLL s/Serviços de Terceiros (Realizado)</v>
          </cell>
          <cell r="B309">
            <v>-31841.75</v>
          </cell>
        </row>
        <row r="310">
          <cell r="A310" t="str">
            <v>2113001360 PIS s/Serviços de Terceiros (Realizado)</v>
          </cell>
          <cell r="B310">
            <v>-20697.150000000001</v>
          </cell>
        </row>
        <row r="311">
          <cell r="A311" t="str">
            <v>2113001370 COFINS s/Serviços de Terceiros (Realizado)</v>
          </cell>
          <cell r="B311">
            <v>-95525.24</v>
          </cell>
        </row>
        <row r="312">
          <cell r="A312" t="str">
            <v>2113001400 ISS s/Serviços de Terceiros (Realizado)</v>
          </cell>
          <cell r="B312">
            <v>-215323</v>
          </cell>
        </row>
        <row r="313">
          <cell r="A313" t="str">
            <v>Outros</v>
          </cell>
          <cell r="B313">
            <v>0</v>
          </cell>
        </row>
        <row r="314">
          <cell r="A314" t="str">
            <v>2113099010 CIDE s/Remessas ao Exterior a Recolher (Realizado)</v>
          </cell>
          <cell r="B314">
            <v>0</v>
          </cell>
        </row>
        <row r="315">
          <cell r="A315" t="str">
            <v>DIVIDENDOS E JUROS S/ CAPITAL PROPRIO A PAGAR</v>
          </cell>
          <cell r="B315">
            <v>-20483772.399999999</v>
          </cell>
        </row>
        <row r="316">
          <cell r="A316" t="str">
            <v>Dividendos a pagar</v>
          </cell>
          <cell r="B316">
            <v>-611588.84</v>
          </cell>
        </row>
        <row r="317">
          <cell r="A317" t="str">
            <v>2114001010 Dividendos a Pagar (Realizado)</v>
          </cell>
          <cell r="B317">
            <v>-611588.84</v>
          </cell>
        </row>
        <row r="318">
          <cell r="A318" t="str">
            <v>Dividendos propostos</v>
          </cell>
          <cell r="B318">
            <v>-19872183.559999999</v>
          </cell>
        </row>
        <row r="319">
          <cell r="A319" t="str">
            <v>2114001020 Dividendos Propostos (Realizado)</v>
          </cell>
          <cell r="B319">
            <v>-19872183.559999999</v>
          </cell>
        </row>
        <row r="320">
          <cell r="A320" t="str">
            <v>DEMANDAS JUDICIAIS</v>
          </cell>
          <cell r="B320">
            <v>-3226460.63</v>
          </cell>
        </row>
        <row r="321">
          <cell r="A321" t="str">
            <v>Fiscais</v>
          </cell>
          <cell r="B321">
            <v>-3226460.63</v>
          </cell>
        </row>
        <row r="322">
          <cell r="A322" t="str">
            <v>2119001010 Prov Nat Trib s/Dep Gar CP-Imp,Taxas Contr Fed (R)</v>
          </cell>
          <cell r="B322">
            <v>-3226460.63</v>
          </cell>
        </row>
        <row r="323">
          <cell r="A323" t="str">
            <v>ENERGIA ELÉTRICA</v>
          </cell>
          <cell r="B323">
            <v>-12641513.07</v>
          </cell>
        </row>
        <row r="324">
          <cell r="A324" t="str">
            <v>Energia elétrica provisionada</v>
          </cell>
          <cell r="B324">
            <v>-12641513.07</v>
          </cell>
        </row>
        <row r="325">
          <cell r="A325" t="str">
            <v>2118005010 Fornec e nao Faturado-Energia Eletrica (Realizado)</v>
          </cell>
          <cell r="B325">
            <v>-12641513.07</v>
          </cell>
        </row>
        <row r="326">
          <cell r="A326" t="str">
            <v>OUTROS PASSIVOS CIRCULANTES</v>
          </cell>
          <cell r="B326">
            <v>-11388952.939999999</v>
          </cell>
        </row>
        <row r="327">
          <cell r="A327" t="str">
            <v>Serviços Técnicos profissionais</v>
          </cell>
          <cell r="B327">
            <v>-280000</v>
          </cell>
        </row>
        <row r="328">
          <cell r="A328" t="str">
            <v>2119003020 Prov Nat Op Desp c/ Servs Tecn e Prof CP (Realiz)</v>
          </cell>
          <cell r="B328">
            <v>-280000</v>
          </cell>
        </row>
        <row r="329">
          <cell r="A329" t="str">
            <v>Fretes sobre vendas</v>
          </cell>
          <cell r="B329">
            <v>-3651294.72</v>
          </cell>
        </row>
        <row r="330">
          <cell r="A330" t="str">
            <v>2119003010 Prov Nat Op Desp c/ Fretes s/Vendas CP (Realizado)</v>
          </cell>
          <cell r="B330">
            <v>-3651294.72</v>
          </cell>
        </row>
        <row r="331">
          <cell r="A331" t="str">
            <v>Desembaraço alfandegário</v>
          </cell>
          <cell r="B331">
            <v>-3922539.1</v>
          </cell>
        </row>
        <row r="332">
          <cell r="A332" t="str">
            <v>2118005040 Fornec e nao Faturado-Materiais de Cons (Realiz)</v>
          </cell>
          <cell r="B332">
            <v>-3922539.1</v>
          </cell>
        </row>
        <row r="333">
          <cell r="A333" t="str">
            <v>Obrigações de natureza fiscais</v>
          </cell>
          <cell r="B333">
            <v>-1884103</v>
          </cell>
        </row>
        <row r="334">
          <cell r="A334" t="str">
            <v>2119001030 Prov Nat Trib s/Dep Gar CP-Imp,Taxas Cont Mun (R)</v>
          </cell>
          <cell r="B334">
            <v>-1884103</v>
          </cell>
        </row>
        <row r="335">
          <cell r="A335" t="str">
            <v>Trabalhistas e previdênciárias</v>
          </cell>
          <cell r="B335">
            <v>-30371.439999999999</v>
          </cell>
        </row>
        <row r="336">
          <cell r="A336" t="str">
            <v>2119002020 Prov Ind Trab p/Desligamen Compulsório CP (Realiz)</v>
          </cell>
          <cell r="B336">
            <v>-30371.439999999999</v>
          </cell>
        </row>
        <row r="337">
          <cell r="A337" t="str">
            <v>2119002030 Prov Nat Trab s/Dep Gar CP-Previdenciaria (Realiz)</v>
          </cell>
          <cell r="B337">
            <v>0</v>
          </cell>
        </row>
        <row r="338">
          <cell r="A338" t="str">
            <v>Outras obrigações e compromissos</v>
          </cell>
          <cell r="B338">
            <v>-1620644.68</v>
          </cell>
        </row>
        <row r="339">
          <cell r="A339" t="str">
            <v>2118005020 Fornec e nao Faturado-Agua (Realizado)</v>
          </cell>
          <cell r="B339">
            <v>-41000</v>
          </cell>
        </row>
        <row r="340">
          <cell r="A340" t="str">
            <v>2118005090 Fornec e nao Faturado-Servs Prestados (Realizado)</v>
          </cell>
          <cell r="B340">
            <v>-283991.7</v>
          </cell>
        </row>
        <row r="341">
          <cell r="A341" t="str">
            <v>2118010010 Retençoes s/Contratos de Compras (Realizado)</v>
          </cell>
          <cell r="B341">
            <v>-16416.61</v>
          </cell>
        </row>
        <row r="342">
          <cell r="A342" t="str">
            <v>2118050010 Adiantamentos de Clientes (Realizado)</v>
          </cell>
          <cell r="B342">
            <v>-1001152.94</v>
          </cell>
        </row>
        <row r="343">
          <cell r="A343" t="str">
            <v>2119003030 Prov Nat Op Desp c/Servs de Auditoria CP (Realiz)</v>
          </cell>
          <cell r="B343">
            <v>-221083.43</v>
          </cell>
        </row>
        <row r="344">
          <cell r="A344" t="str">
            <v>2119003040 Prov Nat Op Desp c/Seguros Gerais CP (Realizado)</v>
          </cell>
          <cell r="B344">
            <v>-57000</v>
          </cell>
        </row>
        <row r="345">
          <cell r="A345" t="str">
            <v>NÃO CIRCULANTE</v>
          </cell>
          <cell r="B345">
            <v>-562675427.75</v>
          </cell>
        </row>
        <row r="346">
          <cell r="A346" t="str">
            <v>EMPRÉSTIMOS</v>
          </cell>
          <cell r="B346">
            <v>-467698466.22000003</v>
          </cell>
        </row>
        <row r="347">
          <cell r="A347" t="str">
            <v>Moeda nacional</v>
          </cell>
          <cell r="B347">
            <v>-462200315.45999998</v>
          </cell>
        </row>
        <row r="348">
          <cell r="A348" t="str">
            <v>2310502010 Emprest Finan Bancarios Moeda Nacional LP (R)</v>
          </cell>
          <cell r="B348">
            <v>-462200315.45999998</v>
          </cell>
        </row>
        <row r="349">
          <cell r="A349" t="str">
            <v>Moeda estrangeira</v>
          </cell>
          <cell r="B349">
            <v>-5498150.7599999998</v>
          </cell>
        </row>
        <row r="350">
          <cell r="A350" t="str">
            <v>2310502600 Empr Financiamentos Moeda Estrangeira LP (Realiz)</v>
          </cell>
          <cell r="B350">
            <v>-5498150.7599999998</v>
          </cell>
        </row>
        <row r="351">
          <cell r="A351" t="str">
            <v>IR E CONTRIBUIÇÃO SOCIAL DIFERIDOS</v>
          </cell>
          <cell r="B351">
            <v>-39980075.289999999</v>
          </cell>
        </row>
        <row r="352">
          <cell r="A352" t="str">
            <v>Ativo de imposto diferido</v>
          </cell>
          <cell r="B352">
            <v>94079888.219999999</v>
          </cell>
        </row>
        <row r="353">
          <cell r="A353" t="str">
            <v>1711505000 Cred Fisc CSLL-Bas de Cal Negativa LP (Real)</v>
          </cell>
          <cell r="B353">
            <v>8137085.9000000004</v>
          </cell>
        </row>
        <row r="354">
          <cell r="A354" t="str">
            <v>1711505010 Cred Fisc CSLL-Dif Temp (Real)</v>
          </cell>
          <cell r="B354">
            <v>17179629</v>
          </cell>
        </row>
        <row r="355">
          <cell r="A355" t="str">
            <v>1711506000 Cred Fisc IRPJL-Prejuizo Fiscal LP (Real)</v>
          </cell>
          <cell r="B355">
            <v>21987039.32</v>
          </cell>
        </row>
        <row r="356">
          <cell r="A356" t="str">
            <v>1711506010 Cred Fisc IRPJ-Dif Temp (Realizado)</v>
          </cell>
          <cell r="B356">
            <v>46776134</v>
          </cell>
        </row>
        <row r="357">
          <cell r="A357" t="str">
            <v>Passivo de imposto diferido</v>
          </cell>
          <cell r="B357">
            <v>-134059963.51000001</v>
          </cell>
        </row>
        <row r="358">
          <cell r="A358" t="str">
            <v>2312001030 Prov p/CSLL Diferida s/Depr Fiscal LP (Realiz)</v>
          </cell>
          <cell r="B358">
            <v>-35486461.390000001</v>
          </cell>
        </row>
        <row r="359">
          <cell r="A359" t="str">
            <v>2312001040 Prov p/CSLL Diferida s/Dif Temp (Realiz)</v>
          </cell>
          <cell r="B359">
            <v>0</v>
          </cell>
        </row>
        <row r="360">
          <cell r="A360" t="str">
            <v>2312002030 Prov p/IR Diferida s/Depr Fiscal LP (Realiz)</v>
          </cell>
          <cell r="B360">
            <v>-98573502.120000005</v>
          </cell>
        </row>
        <row r="361">
          <cell r="A361" t="str">
            <v>2312002040 Prov p/IR Diferida s/Dif Temp (Realiz)</v>
          </cell>
          <cell r="B361">
            <v>0</v>
          </cell>
        </row>
        <row r="362">
          <cell r="A362" t="str">
            <v>OBRIGAÇÕES COM BENEFICIOS AOS EMPREGADOS</v>
          </cell>
          <cell r="B362">
            <v>-24243484.969999999</v>
          </cell>
        </row>
        <row r="363">
          <cell r="A363" t="str">
            <v>Provisão para previdência privada</v>
          </cell>
          <cell r="B363">
            <v>0</v>
          </cell>
        </row>
        <row r="364">
          <cell r="A364" t="str">
            <v>2318001010 Previdencia Privada-CVM 371 LP (Realizado)</v>
          </cell>
          <cell r="B364">
            <v>0</v>
          </cell>
        </row>
        <row r="365">
          <cell r="A365" t="str">
            <v>Provisão para assistência médica</v>
          </cell>
          <cell r="B365">
            <v>-2308383</v>
          </cell>
        </row>
        <row r="366">
          <cell r="A366" t="str">
            <v>2319002150 Prov Nat Trab Assist Medica Aposent LP (Realizado)</v>
          </cell>
          <cell r="B366">
            <v>-2308383</v>
          </cell>
        </row>
        <row r="367">
          <cell r="A367" t="str">
            <v>Provisão para aposentadoria compulsória</v>
          </cell>
          <cell r="B367">
            <v>-19026443</v>
          </cell>
        </row>
        <row r="368">
          <cell r="A368" t="str">
            <v>2319002100 Prov Nat Trab FGTS Aviso Prev s/Aposen Comp LP (R)</v>
          </cell>
          <cell r="B368">
            <v>-19026443</v>
          </cell>
        </row>
        <row r="369">
          <cell r="A369" t="str">
            <v>Provisão para gratificação tempo de casa</v>
          </cell>
          <cell r="B369">
            <v>-2908658.97</v>
          </cell>
        </row>
        <row r="370">
          <cell r="A370" t="str">
            <v>2319002200 Prov Nat Trab Gratif Tempo Serv LP-Quinq (Realiz)</v>
          </cell>
          <cell r="B370">
            <v>-2908658.97</v>
          </cell>
        </row>
        <row r="371">
          <cell r="A371" t="str">
            <v>DEMANDAS JUDICIAIS</v>
          </cell>
          <cell r="B371">
            <v>-30753401.27</v>
          </cell>
        </row>
        <row r="372">
          <cell r="A372" t="str">
            <v>Fiscais</v>
          </cell>
          <cell r="B372">
            <v>-14368700.92</v>
          </cell>
        </row>
        <row r="373">
          <cell r="A373" t="str">
            <v>2319001010 Prov Nat Trib s/Dep Gar LP-Imp,Taxs Cont Fed (R)</v>
          </cell>
          <cell r="B373">
            <v>-653708.68999999994</v>
          </cell>
        </row>
        <row r="374">
          <cell r="A374" t="str">
            <v>2319001020 Prov Nat Trib s/Dep Gar LP-Imp,Taxs Cont Est (R)</v>
          </cell>
          <cell r="B374">
            <v>-687391.78</v>
          </cell>
        </row>
        <row r="375">
          <cell r="A375" t="str">
            <v>2319101010 Prov Nat Trib c/Dep Gar LP-Imp,Taxas Cont Fed (R)</v>
          </cell>
          <cell r="B375">
            <v>-11418224.300000001</v>
          </cell>
        </row>
        <row r="376">
          <cell r="A376" t="str">
            <v>2319101030 Prov Nat Trib c/Dep em Gar LP-Imps Taxs Ctrb M (R)</v>
          </cell>
          <cell r="B376">
            <v>-1609376.15</v>
          </cell>
        </row>
        <row r="377">
          <cell r="A377" t="str">
            <v>Trabalhistas</v>
          </cell>
          <cell r="B377">
            <v>-7680419.8700000001</v>
          </cell>
        </row>
        <row r="378">
          <cell r="A378" t="str">
            <v>2319002010 Prov Nat Trab s/Dep em Gar LP-Recl Trabalh (Real)</v>
          </cell>
          <cell r="B378">
            <v>-6783349.5199999996</v>
          </cell>
        </row>
        <row r="379">
          <cell r="A379" t="str">
            <v>2319102030 Prov Nat Trab c/Dep em Gar LP - Previd (Realizado)</v>
          </cell>
          <cell r="B379">
            <v>-897070.35</v>
          </cell>
        </row>
        <row r="380">
          <cell r="A380" t="str">
            <v>Cíveis</v>
          </cell>
          <cell r="B380">
            <v>-22628951.280000001</v>
          </cell>
        </row>
        <row r="381">
          <cell r="A381" t="str">
            <v>2319000010 Prov Nat Cível s/Dep Gar LP (R)</v>
          </cell>
          <cell r="B381">
            <v>-22628951.280000001</v>
          </cell>
        </row>
        <row r="382">
          <cell r="A382" t="str">
            <v>Depósitos judiciais</v>
          </cell>
          <cell r="B382">
            <v>13924670.800000001</v>
          </cell>
        </row>
        <row r="383">
          <cell r="A383" t="str">
            <v>1719101010 Dep Jud c/ Reserv-Imp,Taxas e Contrib Fed (Realiz)</v>
          </cell>
          <cell r="B383">
            <v>11418224.300000001</v>
          </cell>
        </row>
        <row r="384">
          <cell r="A384" t="str">
            <v>1719101030 Dep Jud c/Res-Imp, Taxas e Contrib Munic (Realiz)</v>
          </cell>
          <cell r="B384">
            <v>1609376.15</v>
          </cell>
        </row>
        <row r="385">
          <cell r="A385" t="str">
            <v>1719102030 Dep Judiciais c/Res -Previdenciarios (Realizado)</v>
          </cell>
          <cell r="B385">
            <v>897070.35</v>
          </cell>
        </row>
        <row r="386">
          <cell r="A386" t="str">
            <v>PATRIMÔNIO LÍQUIDO</v>
          </cell>
          <cell r="B386">
            <v>-842460787.74000001</v>
          </cell>
        </row>
        <row r="387">
          <cell r="A387" t="str">
            <v>CAPITAL SOCIAL</v>
          </cell>
          <cell r="B387">
            <v>-384330953.12</v>
          </cell>
        </row>
        <row r="388">
          <cell r="A388" t="str">
            <v>Capital Subscrito</v>
          </cell>
          <cell r="B388">
            <v>-384330953.12</v>
          </cell>
        </row>
        <row r="389">
          <cell r="A389" t="str">
            <v>2710101010 Capital  Subs Domic e Resids no Pais (Realizado)</v>
          </cell>
          <cell r="B389">
            <v>-384330953.12</v>
          </cell>
        </row>
        <row r="390">
          <cell r="A390" t="str">
            <v>AÇÕES EM TESOURARIA</v>
          </cell>
          <cell r="B390">
            <v>14879117.300000001</v>
          </cell>
        </row>
        <row r="391">
          <cell r="A391" t="str">
            <v>Preferenciais</v>
          </cell>
          <cell r="B391">
            <v>14397516.449999999</v>
          </cell>
        </row>
        <row r="392">
          <cell r="A392" t="str">
            <v>2760101010 Acoes Preferenciais em Tesouraria</v>
          </cell>
          <cell r="B392">
            <v>14397516.449999999</v>
          </cell>
        </row>
        <row r="393">
          <cell r="A393" t="str">
            <v>Ordinárias</v>
          </cell>
          <cell r="B393">
            <v>481600.85</v>
          </cell>
        </row>
        <row r="394">
          <cell r="A394" t="str">
            <v>2760101020 Acoes Ordinarias em Tesouraria</v>
          </cell>
          <cell r="B394">
            <v>481600.85</v>
          </cell>
        </row>
        <row r="395">
          <cell r="A395" t="str">
            <v>RESERVA DE CAPITAL</v>
          </cell>
          <cell r="B395">
            <v>-79.84</v>
          </cell>
        </row>
        <row r="396">
          <cell r="A396" t="str">
            <v>Reserva de capital</v>
          </cell>
          <cell r="B396">
            <v>-79.84</v>
          </cell>
        </row>
        <row r="397">
          <cell r="A397" t="str">
            <v>2740101010 Reservas de Capital (Realizado)</v>
          </cell>
          <cell r="B397">
            <v>-79.84</v>
          </cell>
        </row>
        <row r="398">
          <cell r="A398" t="str">
            <v>RESERVAS DE LUCROS</v>
          </cell>
          <cell r="B398">
            <v>-418127013.91000003</v>
          </cell>
        </row>
        <row r="399">
          <cell r="A399" t="str">
            <v>Reserva legal</v>
          </cell>
          <cell r="B399">
            <v>-23131218.949999999</v>
          </cell>
        </row>
        <row r="400">
          <cell r="A400" t="str">
            <v>2740201010 Reserva Legal (Realizado)</v>
          </cell>
          <cell r="B400">
            <v>-23131218.949999999</v>
          </cell>
        </row>
        <row r="401">
          <cell r="A401" t="str">
            <v>Reserva especial para dividendos</v>
          </cell>
          <cell r="B401">
            <v>-23131218.949999999</v>
          </cell>
        </row>
        <row r="402">
          <cell r="A402" t="str">
            <v>2740203010 Reserva Especial p/Dividendos (Realizado)</v>
          </cell>
          <cell r="B402">
            <v>-23131218.949999999</v>
          </cell>
        </row>
        <row r="403">
          <cell r="A403" t="str">
            <v>Reserva de retenção de lucros</v>
          </cell>
          <cell r="B403">
            <v>-108955206.18000001</v>
          </cell>
        </row>
        <row r="404">
          <cell r="A404" t="str">
            <v>2740202000 Reserva Est-Ret de Lucros An Anteriores (Realiz)</v>
          </cell>
          <cell r="B404">
            <v>0</v>
          </cell>
        </row>
        <row r="405">
          <cell r="A405" t="str">
            <v>2740202100 Reserva Est-Ret de Lucros Exer de 2.014 (Realiz)</v>
          </cell>
          <cell r="B405">
            <v>-43454068.93</v>
          </cell>
        </row>
        <row r="406">
          <cell r="A406" t="str">
            <v>2740205010 Reserva de Lucros para Investimentos</v>
          </cell>
          <cell r="B406">
            <v>-65501137.25</v>
          </cell>
        </row>
        <row r="407">
          <cell r="A407" t="str">
            <v>Reserva de lucros a realizar</v>
          </cell>
          <cell r="B407">
            <v>-262909369.83000001</v>
          </cell>
        </row>
        <row r="408">
          <cell r="A408" t="str">
            <v>2740204010 Reserva de Lucros a Realizar (Realizado)</v>
          </cell>
          <cell r="B408">
            <v>-262909369.83000001</v>
          </cell>
        </row>
        <row r="409">
          <cell r="A409" t="str">
            <v>OUTROS RESULTADOS ABRANGENTES DO PERIODO</v>
          </cell>
          <cell r="B409">
            <v>10709189.26</v>
          </cell>
        </row>
        <row r="410">
          <cell r="A410" t="str">
            <v>Ajuste às normas internacionais de contab.</v>
          </cell>
          <cell r="B410">
            <v>10709189.26</v>
          </cell>
        </row>
        <row r="411">
          <cell r="A411" t="str">
            <v>2750101010 Ajs as Normas Internac de Contab (Realizado)</v>
          </cell>
          <cell r="B411">
            <v>-1924246</v>
          </cell>
        </row>
        <row r="412">
          <cell r="A412" t="str">
            <v>2750102010 (-)Ajs as Normas Internac de Contab (Realizado)</v>
          </cell>
          <cell r="B412">
            <v>12633435.26</v>
          </cell>
        </row>
        <row r="413">
          <cell r="A413" t="str">
            <v>LUCROS ACUMULADOS</v>
          </cell>
          <cell r="B413">
            <v>-65591047.43</v>
          </cell>
        </row>
      </sheetData>
      <sheetData sheetId="12" refreshError="1">
        <row r="2">
          <cell r="A2" t="str">
            <v>ATIVO</v>
          </cell>
          <cell r="B2">
            <v>1650188930.8</v>
          </cell>
        </row>
        <row r="3">
          <cell r="A3" t="str">
            <v>CIRCULANTE</v>
          </cell>
          <cell r="B3">
            <v>269283510.02999997</v>
          </cell>
        </row>
        <row r="4">
          <cell r="A4" t="str">
            <v>CAIXA E EQUIVALENTE DE CAIXA</v>
          </cell>
          <cell r="B4">
            <v>49942518</v>
          </cell>
        </row>
        <row r="5">
          <cell r="A5" t="str">
            <v>Recursos em caixa e contas correntes bancária</v>
          </cell>
          <cell r="B5">
            <v>2847588.17</v>
          </cell>
        </row>
        <row r="6">
          <cell r="A6" t="str">
            <v>1110102020 Banco Bradesco (Realizado)</v>
          </cell>
          <cell r="B6">
            <v>235330.91</v>
          </cell>
        </row>
        <row r="7">
          <cell r="A7" t="str">
            <v>1110102030 Banco Itau (Realizado)</v>
          </cell>
          <cell r="B7">
            <v>2457971.9900000002</v>
          </cell>
        </row>
        <row r="8">
          <cell r="A8" t="str">
            <v>1110102031 Banco Itau (Transitorias - Entradas)</v>
          </cell>
          <cell r="B8">
            <v>1273.7</v>
          </cell>
        </row>
        <row r="9">
          <cell r="A9" t="str">
            <v>1110102040 Banco Santander (Realizado)</v>
          </cell>
          <cell r="B9">
            <v>123.71</v>
          </cell>
        </row>
        <row r="10">
          <cell r="A10" t="str">
            <v>1110102050 Caixa Economica Federal (Realizado)</v>
          </cell>
          <cell r="B10">
            <v>1765.97</v>
          </cell>
        </row>
        <row r="11">
          <cell r="A11" t="str">
            <v>1110102070 Banco Safra (Realizado)</v>
          </cell>
          <cell r="B11">
            <v>3909.22</v>
          </cell>
        </row>
        <row r="12">
          <cell r="A12" t="str">
            <v>1110102072 Banco Safra (Transitorias - Saidas)</v>
          </cell>
          <cell r="B12">
            <v>0</v>
          </cell>
        </row>
        <row r="13">
          <cell r="A13" t="str">
            <v>1110102080 Banco Votorantin (Realizado)</v>
          </cell>
          <cell r="B13">
            <v>62.46</v>
          </cell>
        </row>
        <row r="14">
          <cell r="A14" t="str">
            <v>1110102090 Banco Paulista (Realizado)</v>
          </cell>
          <cell r="B14">
            <v>2327.65</v>
          </cell>
        </row>
        <row r="15">
          <cell r="A15" t="str">
            <v>1110102100 Banco Pactual S.A.(Realizado)</v>
          </cell>
          <cell r="B15">
            <v>1759.2</v>
          </cell>
        </row>
        <row r="16">
          <cell r="A16" t="str">
            <v>1110102110 Banco Panamericano S.A (Realizado)</v>
          </cell>
          <cell r="B16">
            <v>0.05</v>
          </cell>
        </row>
        <row r="17">
          <cell r="A17" t="str">
            <v>1110102120 Banco Alfa de Investimentos S.A. (Realizado)</v>
          </cell>
          <cell r="B17">
            <v>5772.25</v>
          </cell>
        </row>
        <row r="18">
          <cell r="A18" t="str">
            <v>1110102210 Banco do Brasil  (Realizado)</v>
          </cell>
          <cell r="B18">
            <v>46279.05</v>
          </cell>
        </row>
        <row r="19">
          <cell r="A19" t="str">
            <v>1110102220 Banco Bradesco (Realizado)</v>
          </cell>
          <cell r="B19">
            <v>4923.2</v>
          </cell>
        </row>
        <row r="20">
          <cell r="A20" t="str">
            <v>1110102230 Banco Itau (Realizado)</v>
          </cell>
          <cell r="B20">
            <v>82579.08</v>
          </cell>
        </row>
        <row r="21">
          <cell r="A21" t="str">
            <v>1110102240 Banco Santander (Realizado)</v>
          </cell>
          <cell r="B21">
            <v>1674.79</v>
          </cell>
        </row>
        <row r="22">
          <cell r="A22" t="str">
            <v>1110102250 Caixa Economica Federal (Realizado)</v>
          </cell>
          <cell r="B22">
            <v>4.8600000000000003</v>
          </cell>
        </row>
        <row r="23">
          <cell r="A23" t="str">
            <v>1110102270 Banco Safra (Transitorias - Saidas)</v>
          </cell>
          <cell r="B23">
            <v>1830.08</v>
          </cell>
        </row>
        <row r="24">
          <cell r="A24" t="str">
            <v>1110102290 Banco Paulista (Realizado)</v>
          </cell>
          <cell r="B24">
            <v>0</v>
          </cell>
        </row>
        <row r="25">
          <cell r="A25" t="str">
            <v>1110102320 Banco Bradesco (Realizado)</v>
          </cell>
          <cell r="B25">
            <v>0</v>
          </cell>
        </row>
        <row r="26">
          <cell r="A26" t="str">
            <v>1110102350 Caixa Economica Federal (Realizado)</v>
          </cell>
          <cell r="B26">
            <v>0</v>
          </cell>
        </row>
        <row r="27">
          <cell r="A27" t="str">
            <v>Aplicações Financeiras (CDBs)</v>
          </cell>
          <cell r="B27">
            <v>47094929.829999998</v>
          </cell>
        </row>
        <row r="28">
          <cell r="A28" t="str">
            <v>1110105010 Aplicaçoes Financeiras (Realizado)</v>
          </cell>
          <cell r="B28">
            <v>47094929.829999998</v>
          </cell>
        </row>
        <row r="29">
          <cell r="A29" t="str">
            <v>APLICAÇÕES FINANCEIRAS</v>
          </cell>
          <cell r="B29">
            <v>72448742.659999996</v>
          </cell>
        </row>
        <row r="30">
          <cell r="A30" t="str">
            <v>Mantidos para negociação</v>
          </cell>
          <cell r="B30">
            <v>70316638.659999996</v>
          </cell>
        </row>
        <row r="31">
          <cell r="A31" t="str">
            <v>1110201010 Tits do Merc de Cap Inter Mant p/ Neg (Realizado)</v>
          </cell>
          <cell r="B31">
            <v>70316638.659999996</v>
          </cell>
        </row>
        <row r="32">
          <cell r="A32" t="str">
            <v>Mantidos até o vencimento</v>
          </cell>
          <cell r="B32">
            <v>2132104</v>
          </cell>
        </row>
        <row r="33">
          <cell r="A33" t="str">
            <v>1110201020 Tits do Merc de Cap Inter Mant ate Ven (Realizado)</v>
          </cell>
          <cell r="B33">
            <v>2132104</v>
          </cell>
        </row>
        <row r="34">
          <cell r="A34" t="str">
            <v>DUPLICATAS A RECEBER DE CLIENTES</v>
          </cell>
          <cell r="B34">
            <v>78731468.349999994</v>
          </cell>
        </row>
        <row r="35">
          <cell r="A35" t="str">
            <v>Clientes nacionais</v>
          </cell>
          <cell r="B35">
            <v>86218468.349999994</v>
          </cell>
        </row>
        <row r="36">
          <cell r="A36" t="str">
            <v>1110501010 Duplicatas a Receber no MI  (Realizado)</v>
          </cell>
          <cell r="B36">
            <v>89714383.400000006</v>
          </cell>
        </row>
        <row r="37">
          <cell r="A37" t="str">
            <v>1110501011 Duplicatas a Receber no MI (Parcela de CP / LP)</v>
          </cell>
          <cell r="B37">
            <v>-3374635.16</v>
          </cell>
        </row>
        <row r="38">
          <cell r="A38" t="str">
            <v>1110501014 (-)Rec Financeira a apropriar s/Dups a Rec no MI</v>
          </cell>
          <cell r="B38">
            <v>-121279.89</v>
          </cell>
        </row>
        <row r="39">
          <cell r="A39" t="str">
            <v>PCLD</v>
          </cell>
          <cell r="B39">
            <v>-7487000</v>
          </cell>
        </row>
        <row r="40">
          <cell r="A40" t="str">
            <v>1110501900 (-) Provisões para Créditos de Liquidação Duvidosa</v>
          </cell>
          <cell r="B40">
            <v>-7487000</v>
          </cell>
        </row>
        <row r="41">
          <cell r="A41" t="str">
            <v>IMPOSTOS A RECUPERAR</v>
          </cell>
          <cell r="B41">
            <v>36461293.810000002</v>
          </cell>
        </row>
        <row r="42">
          <cell r="A42" t="str">
            <v>Impostos de renda e CSLL</v>
          </cell>
          <cell r="B42">
            <v>30037497.73</v>
          </cell>
        </row>
        <row r="43">
          <cell r="A43" t="str">
            <v>1111505990 Cred Fisc CSLL- Sdo Negativo Per Anterior (Realiz)</v>
          </cell>
          <cell r="B43">
            <v>6992.3</v>
          </cell>
        </row>
        <row r="44">
          <cell r="A44" t="str">
            <v>1111506020 IRRF sobre Aplicaçoes Financeiras (Realizado)</v>
          </cell>
          <cell r="B44">
            <v>7236219.96</v>
          </cell>
        </row>
        <row r="45">
          <cell r="A45" t="str">
            <v>1111506030 IRRF sobre Depositos Judiciais (Realizado)</v>
          </cell>
          <cell r="B45">
            <v>6326.27</v>
          </cell>
        </row>
        <row r="46">
          <cell r="A46" t="str">
            <v>1111506040 IRRF sobre Juros sobre Capital Proprio (Realizado)</v>
          </cell>
          <cell r="B46">
            <v>1872842.27</v>
          </cell>
        </row>
        <row r="47">
          <cell r="A47" t="str">
            <v>1111506990 Cred Fisc IRPJ Sdo Negativo Per Anterior (Realiz)</v>
          </cell>
          <cell r="B47">
            <v>20915116.93</v>
          </cell>
        </row>
        <row r="48">
          <cell r="A48" t="str">
            <v>ICMS a recuperar</v>
          </cell>
          <cell r="B48">
            <v>1807174.81</v>
          </cell>
        </row>
        <row r="49">
          <cell r="A49" t="str">
            <v>1111507010 ICMS a Recup sobre Ativo Permanente (Realizado)</v>
          </cell>
          <cell r="B49">
            <v>2259279.04</v>
          </cell>
        </row>
        <row r="50">
          <cell r="A50" t="str">
            <v>1111507014 (-)AVP sobre ICMS a Recup sobre Ativo Permanente</v>
          </cell>
          <cell r="B50">
            <v>-452104.23</v>
          </cell>
        </row>
        <row r="51">
          <cell r="A51" t="str">
            <v>IRPJ e CSLL</v>
          </cell>
          <cell r="B51">
            <v>0</v>
          </cell>
        </row>
        <row r="52">
          <cell r="A52" t="str">
            <v>1111001010 Antecipaçoes de CSLL (Realizado)</v>
          </cell>
          <cell r="B52">
            <v>0</v>
          </cell>
        </row>
        <row r="53">
          <cell r="A53" t="str">
            <v>1111001020 Antecipaçoes de IRPJ (Realizado)</v>
          </cell>
          <cell r="B53">
            <v>0</v>
          </cell>
        </row>
        <row r="54">
          <cell r="A54" t="str">
            <v>2112001010 Prov p/ CSLL s/Resultado Operacional (Realizado)</v>
          </cell>
          <cell r="B54">
            <v>0</v>
          </cell>
        </row>
        <row r="55">
          <cell r="A55" t="str">
            <v>2112001020 Provisao p/ CSLL Diferida (Realizado)</v>
          </cell>
          <cell r="B55">
            <v>0</v>
          </cell>
        </row>
        <row r="56">
          <cell r="A56" t="str">
            <v>2112001030 Provisao p/ CSLL Diferida s/Depreciaçao Fiscal (R)</v>
          </cell>
          <cell r="B56">
            <v>0</v>
          </cell>
        </row>
        <row r="57">
          <cell r="A57" t="str">
            <v>2112001040 Contribuição Social s/Compensação Base Negativa (R</v>
          </cell>
          <cell r="B57">
            <v>0</v>
          </cell>
        </row>
        <row r="58">
          <cell r="A58" t="str">
            <v>2112002010 Prov p/  IR s/Resultando Operacional (Realizado)</v>
          </cell>
          <cell r="B58">
            <v>0</v>
          </cell>
        </row>
        <row r="59">
          <cell r="A59" t="str">
            <v>2112002020 Provisao para IR Diferida (Realizado)</v>
          </cell>
          <cell r="B59">
            <v>0</v>
          </cell>
        </row>
        <row r="60">
          <cell r="A60" t="str">
            <v>2112002030 Provisao p/ IR Diferida s/Depreciaçao Fiscal (R)</v>
          </cell>
          <cell r="B60">
            <v>0</v>
          </cell>
        </row>
        <row r="61">
          <cell r="A61" t="str">
            <v>2112002040 Imposto de Renda s/ Compensação Prejuízo Fiscal (R</v>
          </cell>
          <cell r="B61">
            <v>0</v>
          </cell>
        </row>
        <row r="62">
          <cell r="A62" t="str">
            <v>INSS a compensar</v>
          </cell>
          <cell r="B62">
            <v>0</v>
          </cell>
        </row>
        <row r="63">
          <cell r="A63" t="str">
            <v>1111599070 INSS a Compensar  - Decisão Judicial (Realizado)</v>
          </cell>
          <cell r="B63">
            <v>0</v>
          </cell>
        </row>
        <row r="64">
          <cell r="A64" t="str">
            <v>PIS a compensar Lei nº 9.715</v>
          </cell>
          <cell r="B64">
            <v>2978408.37</v>
          </cell>
        </row>
        <row r="65">
          <cell r="A65" t="str">
            <v>1111599000 PIS a Compensar Lei 9715 (Realizado)</v>
          </cell>
          <cell r="B65">
            <v>2978408.37</v>
          </cell>
        </row>
        <row r="66">
          <cell r="A66" t="str">
            <v>Outros</v>
          </cell>
          <cell r="B66">
            <v>1638212.9</v>
          </cell>
        </row>
        <row r="67">
          <cell r="A67" t="str">
            <v>1111599010 Imp Import a Rec-Recolhimento em Dupl (Realiz)</v>
          </cell>
          <cell r="B67">
            <v>232231.19</v>
          </cell>
        </row>
        <row r="68">
          <cell r="A68" t="str">
            <v>1111599020 INSS a Rec-Recolhimento em Duplicidade (Realizado)</v>
          </cell>
          <cell r="B68">
            <v>66438.64</v>
          </cell>
        </row>
        <row r="69">
          <cell r="A69" t="str">
            <v>1111599030 Adic Estadual doImposto de Renda a Rec (Realizado)</v>
          </cell>
          <cell r="B69">
            <v>1251533.5</v>
          </cell>
        </row>
        <row r="70">
          <cell r="A70" t="str">
            <v>1111599040 FINSOCIAL 1982/83 (Realizado)</v>
          </cell>
          <cell r="B70">
            <v>55407.16</v>
          </cell>
        </row>
        <row r="71">
          <cell r="A71" t="str">
            <v>1111599050 IRRF Tercs Ret a Maior (Realizado)</v>
          </cell>
          <cell r="B71">
            <v>24650.6</v>
          </cell>
        </row>
        <row r="72">
          <cell r="A72" t="str">
            <v>1111599060 PIS/COF/COF Ret a maior (Realizado)</v>
          </cell>
          <cell r="B72">
            <v>7951.81</v>
          </cell>
        </row>
        <row r="73">
          <cell r="A73" t="str">
            <v>ESTOQUES</v>
          </cell>
          <cell r="B73">
            <v>21703063.149999999</v>
          </cell>
        </row>
        <row r="74">
          <cell r="A74" t="str">
            <v>Matérias-primas</v>
          </cell>
          <cell r="B74">
            <v>61037.02</v>
          </cell>
        </row>
        <row r="75">
          <cell r="A75" t="str">
            <v>1112001010 Estoques de Materias Primas (Realizado)</v>
          </cell>
          <cell r="B75">
            <v>10540.79</v>
          </cell>
        </row>
        <row r="76">
          <cell r="A76" t="str">
            <v>1112090010 Importaçoes em And de Materias Primas (Realizado)</v>
          </cell>
          <cell r="B76">
            <v>50496.23</v>
          </cell>
        </row>
        <row r="77">
          <cell r="A77" t="str">
            <v>Produtos em processo</v>
          </cell>
          <cell r="B77">
            <v>12517117.15</v>
          </cell>
        </row>
        <row r="78">
          <cell r="A78" t="str">
            <v>1112003010 Estoques de Produtos em Elaboraçao (Realizado)</v>
          </cell>
          <cell r="B78">
            <v>12517117.15</v>
          </cell>
        </row>
        <row r="79">
          <cell r="A79" t="str">
            <v>Produtos Acabados</v>
          </cell>
          <cell r="B79">
            <v>4241616.08</v>
          </cell>
        </row>
        <row r="80">
          <cell r="A80" t="str">
            <v>1112010010 Estoques de Produtos Acabados (Realizado)</v>
          </cell>
          <cell r="B80">
            <v>4232159.2699999996</v>
          </cell>
        </row>
        <row r="81">
          <cell r="A81" t="str">
            <v>1112050010 Estoques de Mercadorias Rev Nacionais (Realizado)</v>
          </cell>
          <cell r="B81">
            <v>4860.7700000000004</v>
          </cell>
        </row>
        <row r="82">
          <cell r="A82" t="str">
            <v>1112050020 Estoques de Mercadorias Rev Importadas (Realizado)</v>
          </cell>
          <cell r="B82">
            <v>4596.04</v>
          </cell>
        </row>
        <row r="83">
          <cell r="A83" t="str">
            <v>Provisão para desvalorização</v>
          </cell>
          <cell r="B83">
            <v>-1575298.18</v>
          </cell>
        </row>
        <row r="84">
          <cell r="A84" t="str">
            <v>1112010014 (-)Prov p/ Aj. do Est ao Vlr de Merc - Prods Acab</v>
          </cell>
          <cell r="B84">
            <v>-1575298.18</v>
          </cell>
        </row>
        <row r="85">
          <cell r="A85" t="str">
            <v>Materiais auxiliares e embalagens</v>
          </cell>
          <cell r="B85">
            <v>2713069</v>
          </cell>
        </row>
        <row r="86">
          <cell r="A86" t="str">
            <v>1112005010 Estoques de Insumos (Mat-Aux) (Realiz)</v>
          </cell>
          <cell r="B86">
            <v>2426808.79</v>
          </cell>
        </row>
        <row r="87">
          <cell r="A87" t="str">
            <v>1112008010 Estoques de Materiais de Embalagens (Realizado)</v>
          </cell>
          <cell r="B87">
            <v>286260.21000000002</v>
          </cell>
        </row>
        <row r="88">
          <cell r="A88" t="str">
            <v>Materiais de manutenção e outros</v>
          </cell>
          <cell r="B88">
            <v>3745522.08</v>
          </cell>
        </row>
        <row r="89">
          <cell r="A89" t="str">
            <v>1112020020 Estoque Almoxarif CP-Manutençao Eletrica (Realiz)</v>
          </cell>
          <cell r="B89">
            <v>1427640.82</v>
          </cell>
        </row>
        <row r="90">
          <cell r="A90" t="str">
            <v>1112020030 Estoque Almoxarif CP-Manutençao Mecanica (Realiz)</v>
          </cell>
          <cell r="B90">
            <v>5022603.37</v>
          </cell>
        </row>
        <row r="91">
          <cell r="A91" t="str">
            <v>1112020050 Estoq Alm CP-Manut Calderaria e Tubulaçao (Realiz)</v>
          </cell>
          <cell r="B91">
            <v>3848870.69</v>
          </cell>
        </row>
        <row r="92">
          <cell r="A92" t="str">
            <v>1112020060 Estoque Alm CP-Manutençao Instrumentaçao (Realiz)</v>
          </cell>
          <cell r="B92">
            <v>4449622.5999999996</v>
          </cell>
        </row>
        <row r="93">
          <cell r="A93" t="str">
            <v>1112020070 Estoque Alm CP-Manutençao Celula HG (Realizado)</v>
          </cell>
          <cell r="B93">
            <v>558162.23</v>
          </cell>
        </row>
        <row r="94">
          <cell r="A94" t="str">
            <v>1112020080 Estoque Almo CP-Manut Celula Diafragma (Realizado)</v>
          </cell>
          <cell r="B94">
            <v>651255.14</v>
          </cell>
        </row>
        <row r="95">
          <cell r="A95" t="str">
            <v>1112020100 Estoque Alm CP-Manut.de Cilindros e Carretas R</v>
          </cell>
          <cell r="B95">
            <v>186957.17</v>
          </cell>
        </row>
        <row r="96">
          <cell r="A96" t="str">
            <v>1112020490 Estoque Almo CP-Manutençao em Geral (Realizado)</v>
          </cell>
          <cell r="B96">
            <v>0</v>
          </cell>
        </row>
        <row r="97">
          <cell r="A97" t="str">
            <v>1112020500 Estoque Alm CP-Almoxarifado de Uso Geral (Realiz)</v>
          </cell>
          <cell r="B97">
            <v>253725.16</v>
          </cell>
        </row>
        <row r="98">
          <cell r="A98" t="str">
            <v>1112020991 Estoque Almoxarifado Transf. Parcela Realizada L.P</v>
          </cell>
          <cell r="B98">
            <v>-12756655.439999999</v>
          </cell>
        </row>
        <row r="99">
          <cell r="A99" t="str">
            <v>1112080200 Etq de Outros Mats-Almox em Poder de Ters (Realiz)</v>
          </cell>
          <cell r="B99">
            <v>103340.34</v>
          </cell>
        </row>
        <row r="100">
          <cell r="A100" t="str">
            <v>DESPESAS DE EXERCICIO SEGUINTE</v>
          </cell>
          <cell r="B100">
            <v>2556108</v>
          </cell>
        </row>
        <row r="101">
          <cell r="A101" t="str">
            <v>Pagamentos Antecipados</v>
          </cell>
          <cell r="B101">
            <v>2556108</v>
          </cell>
        </row>
        <row r="102">
          <cell r="A102" t="str">
            <v>1119001010 Pagamentos Antecipados-Seguros (Realizado)</v>
          </cell>
          <cell r="B102">
            <v>2317817.7200000002</v>
          </cell>
        </row>
        <row r="103">
          <cell r="A103" t="str">
            <v>1119001030 Pagamentos Antecip-Serv Tecnicos Prof (Realizado)</v>
          </cell>
          <cell r="B103">
            <v>223326.26</v>
          </cell>
        </row>
        <row r="104">
          <cell r="A104" t="str">
            <v>1119001040 Pagamentos Antecipados-Impostos (Realizado)</v>
          </cell>
          <cell r="B104">
            <v>0</v>
          </cell>
        </row>
        <row r="105">
          <cell r="A105" t="str">
            <v>1119001050 Pagtos Antecip-Contribuiçoes Associativas (Realiz)</v>
          </cell>
          <cell r="B105">
            <v>0</v>
          </cell>
        </row>
        <row r="106">
          <cell r="A106" t="str">
            <v>1119001060 Pagtos Antecip-Despesas Financeiras (Realizado)</v>
          </cell>
          <cell r="B106">
            <v>14322.37</v>
          </cell>
        </row>
        <row r="107">
          <cell r="A107" t="str">
            <v>1119001900 Pagtos Antecip-Outras Desps/Custos(Realizado)</v>
          </cell>
          <cell r="B107">
            <v>641.65</v>
          </cell>
        </row>
        <row r="108">
          <cell r="A108" t="str">
            <v>OUTROS ATIVOS CIRCULANTE</v>
          </cell>
          <cell r="B108">
            <v>7440316.0599999996</v>
          </cell>
        </row>
        <row r="109">
          <cell r="A109" t="str">
            <v>Adiantamento a Fornecedores</v>
          </cell>
          <cell r="B109">
            <v>6652838.9800000004</v>
          </cell>
        </row>
        <row r="110">
          <cell r="A110" t="str">
            <v>1118001010 Adiantamentos a Fornec de Serviços (Realizado)</v>
          </cell>
          <cell r="B110">
            <v>1404477.16</v>
          </cell>
        </row>
        <row r="111">
          <cell r="A111" t="str">
            <v>1118001020 Adiantamentos a Fornecedores de MP (Realizado)</v>
          </cell>
          <cell r="B111">
            <v>3158168.98</v>
          </cell>
        </row>
        <row r="112">
          <cell r="A112" t="str">
            <v>1118001030 Adiantamentos a Fornecedores de Energ (Realizado)</v>
          </cell>
          <cell r="B112">
            <v>0</v>
          </cell>
        </row>
        <row r="113">
          <cell r="A113" t="str">
            <v>1118001040 Adiant  Fornecs de Materias de Consumo (Realizado)</v>
          </cell>
          <cell r="B113">
            <v>1244486.0900000001</v>
          </cell>
        </row>
        <row r="114">
          <cell r="A114" t="str">
            <v>1118001050 Adiant Fornecs de Funcionarios (Realizado)</v>
          </cell>
          <cell r="B114">
            <v>14427.35</v>
          </cell>
        </row>
        <row r="115">
          <cell r="A115" t="str">
            <v>1118001060 Adiantamentos a Fornecedores de Fretes</v>
          </cell>
          <cell r="B115">
            <v>585006.6</v>
          </cell>
        </row>
        <row r="116">
          <cell r="A116" t="str">
            <v>1118001070 Adiantamentos a Fornecedores do Exterior</v>
          </cell>
          <cell r="B116">
            <v>246272.8</v>
          </cell>
        </row>
        <row r="117">
          <cell r="A117" t="str">
            <v>Créditos a receber na venda de ativos</v>
          </cell>
          <cell r="B117">
            <v>0</v>
          </cell>
        </row>
        <row r="118">
          <cell r="A118" t="str">
            <v>1118099060 Outros Créditos- Contratos a Receber (Realizado)</v>
          </cell>
          <cell r="B118">
            <v>0</v>
          </cell>
        </row>
        <row r="119">
          <cell r="A119" t="str">
            <v>Reclamações de seguros</v>
          </cell>
          <cell r="B119">
            <v>553574.67000000004</v>
          </cell>
        </row>
        <row r="120">
          <cell r="A120" t="str">
            <v>1118099010 Outros Creditos-Reclamaçao de Seguros (Realizado)</v>
          </cell>
          <cell r="B120">
            <v>553574.67000000004</v>
          </cell>
        </row>
        <row r="121">
          <cell r="A121" t="str">
            <v>Outros Créditos</v>
          </cell>
          <cell r="B121">
            <v>233902.41</v>
          </cell>
        </row>
        <row r="122">
          <cell r="A122" t="str">
            <v>1118002010 Adiantamentos a Empregados Salarios (Realizado)</v>
          </cell>
          <cell r="B122">
            <v>28350</v>
          </cell>
        </row>
        <row r="123">
          <cell r="A123" t="str">
            <v>1118002020 Adiantamentos a Empregados 13º Salario (Realizado)</v>
          </cell>
          <cell r="B123">
            <v>0</v>
          </cell>
        </row>
        <row r="124">
          <cell r="A124" t="str">
            <v>1118002030 Adiantamentos a Empregados Ferias (Realizado)</v>
          </cell>
          <cell r="B124">
            <v>0</v>
          </cell>
        </row>
        <row r="125">
          <cell r="A125" t="str">
            <v>1118002050 Adiant a Empregados Plano Auxilio Doen (Realizado)</v>
          </cell>
          <cell r="B125">
            <v>6950</v>
          </cell>
        </row>
        <row r="126">
          <cell r="A126" t="str">
            <v>1118002060 Adto a Empregados Cobertura de Sdo Devedor (R)</v>
          </cell>
          <cell r="B126">
            <v>2661.41</v>
          </cell>
        </row>
        <row r="127">
          <cell r="A127" t="str">
            <v>1118002090 Adto a Empregados Desp de Resp de Funcionario (R)</v>
          </cell>
          <cell r="B127">
            <v>1114.51</v>
          </cell>
        </row>
        <row r="128">
          <cell r="A128" t="str">
            <v>1118099020 Outros Creditos-Depositos e Cauçoes (Realizado)</v>
          </cell>
          <cell r="B128">
            <v>194826.49</v>
          </cell>
        </row>
        <row r="129">
          <cell r="A129" t="str">
            <v>NÃO CIRCULANTE</v>
          </cell>
          <cell r="B129">
            <v>100388622.75</v>
          </cell>
        </row>
        <row r="130">
          <cell r="A130" t="str">
            <v>APLICAÇÕES FINANCEIRAS</v>
          </cell>
          <cell r="B130">
            <v>38000000</v>
          </cell>
        </row>
        <row r="131">
          <cell r="A131" t="str">
            <v>Mantidos até o vencimento</v>
          </cell>
          <cell r="B131">
            <v>38000000</v>
          </cell>
        </row>
        <row r="132">
          <cell r="A132" t="str">
            <v>1710201020 Tit do Merc de Capit Inter Man ate o Venct LP (R)</v>
          </cell>
          <cell r="B132">
            <v>38000000</v>
          </cell>
        </row>
        <row r="133">
          <cell r="A133" t="str">
            <v>DUPLICATAS A RECEBER DE CLIENTES</v>
          </cell>
          <cell r="B133">
            <v>3307354.11</v>
          </cell>
        </row>
        <row r="134">
          <cell r="A134" t="str">
            <v>Clientes nacionais</v>
          </cell>
          <cell r="B134">
            <v>3307354.11</v>
          </cell>
        </row>
        <row r="135">
          <cell r="A135" t="str">
            <v>1710501011 Duplicatas a Receber no MI LP (Parcela de CP / LP)</v>
          </cell>
          <cell r="B135">
            <v>3374635.16</v>
          </cell>
        </row>
        <row r="136">
          <cell r="A136" t="str">
            <v>1710501014 (-)Rec Fin a apr s/ Dups a Rec no MI LP (P CP/LP)</v>
          </cell>
          <cell r="B136">
            <v>-67281.05</v>
          </cell>
        </row>
        <row r="137">
          <cell r="A137" t="str">
            <v>IMPOSTOS A RECUPERAR</v>
          </cell>
          <cell r="B137">
            <v>2278223.48</v>
          </cell>
        </row>
        <row r="138">
          <cell r="A138" t="str">
            <v>ICMS a Recuperar</v>
          </cell>
          <cell r="B138">
            <v>2001187.68</v>
          </cell>
        </row>
        <row r="139">
          <cell r="A139" t="str">
            <v>1711507010 ICMS a Recuperar s/e Ativo Permanet LP (Realizado)</v>
          </cell>
          <cell r="B139">
            <v>2555414.61</v>
          </cell>
        </row>
        <row r="140">
          <cell r="A140" t="str">
            <v>1711507014 (-)AVP s/ ICMS a Recuperar s/ Ativo Permanente LP</v>
          </cell>
          <cell r="B140">
            <v>-554226.93000000005</v>
          </cell>
        </row>
        <row r="141">
          <cell r="A141" t="str">
            <v>Outros</v>
          </cell>
          <cell r="B141">
            <v>277035.8</v>
          </cell>
        </row>
        <row r="142">
          <cell r="A142" t="str">
            <v>1711599040 FINSOCIAL 1982/83 (Realizado)</v>
          </cell>
          <cell r="B142">
            <v>277035.8</v>
          </cell>
        </row>
        <row r="143">
          <cell r="A143" t="str">
            <v>ESTOQUES</v>
          </cell>
          <cell r="B143">
            <v>12756655.439999999</v>
          </cell>
        </row>
        <row r="144">
          <cell r="A144" t="str">
            <v>Materiais de Almoxarifado de Giro Baixo</v>
          </cell>
          <cell r="B144">
            <v>12756655.439999999</v>
          </cell>
        </row>
        <row r="145">
          <cell r="A145" t="str">
            <v>1712020991 Estoque Almoxarifado Parcela Realizada LP</v>
          </cell>
          <cell r="B145">
            <v>12756655.439999999</v>
          </cell>
        </row>
        <row r="146">
          <cell r="A146" t="str">
            <v>DEPÓSITOS JUDICIAIS</v>
          </cell>
          <cell r="B146">
            <v>44046389.719999999</v>
          </cell>
        </row>
        <row r="147">
          <cell r="A147" t="str">
            <v>Tributários</v>
          </cell>
          <cell r="B147">
            <v>8824541.9800000004</v>
          </cell>
        </row>
        <row r="148">
          <cell r="A148" t="str">
            <v>1719001010 Dep Jud s/Res Trib Fed R</v>
          </cell>
          <cell r="B148">
            <v>8218385.8399999999</v>
          </cell>
        </row>
        <row r="149">
          <cell r="A149" t="str">
            <v>1719001011 ATM Dep Jud s/Res Trib Fed R</v>
          </cell>
          <cell r="B149">
            <v>274202.62</v>
          </cell>
        </row>
        <row r="150">
          <cell r="A150" t="str">
            <v>1719001030 Depos Jud s/Reserva-Imp, Taxas e Contrib Munic (R)</v>
          </cell>
          <cell r="B150">
            <v>331953.52</v>
          </cell>
        </row>
        <row r="151">
          <cell r="A151" t="str">
            <v>Trabalhistas</v>
          </cell>
          <cell r="B151">
            <v>2812988.17</v>
          </cell>
        </row>
        <row r="152">
          <cell r="A152" t="str">
            <v>1719002010 Depos Jud s/Reserva-Reclamaçoes Trab (Realizado)</v>
          </cell>
          <cell r="B152">
            <v>1337482.51</v>
          </cell>
        </row>
        <row r="153">
          <cell r="A153" t="str">
            <v>1719002030 Dep Judiciais s/Res -Previdenciarios (Realizado)</v>
          </cell>
          <cell r="B153">
            <v>1475505.66</v>
          </cell>
        </row>
        <row r="154">
          <cell r="A154" t="str">
            <v>Outros depósitos judiciais</v>
          </cell>
          <cell r="B154">
            <v>32408859.57</v>
          </cell>
        </row>
        <row r="155">
          <cell r="A155" t="str">
            <v>1719003990 Outros Dep Judic s/Reserva de Nat Oper (Realizado)</v>
          </cell>
          <cell r="B155">
            <v>30570873.02</v>
          </cell>
        </row>
        <row r="156">
          <cell r="A156" t="str">
            <v>1719003991 ATM Outros Dep Judic s/Reserva Nat Oper (Realiz)</v>
          </cell>
          <cell r="B156">
            <v>1837986.55</v>
          </cell>
        </row>
        <row r="157">
          <cell r="A157" t="str">
            <v>OUTROS ATIVOS NÃO CIRCULANTES</v>
          </cell>
          <cell r="B157">
            <v>0</v>
          </cell>
        </row>
        <row r="158">
          <cell r="A158" t="str">
            <v>Créditos a receber na venda de ativos</v>
          </cell>
          <cell r="B158">
            <v>0</v>
          </cell>
        </row>
        <row r="159">
          <cell r="A159" t="str">
            <v>1718099060 Outros Créditos- Contratos a Receber (Realizado)</v>
          </cell>
          <cell r="B159">
            <v>0</v>
          </cell>
        </row>
        <row r="160">
          <cell r="A160" t="str">
            <v>INVESTIMENTOS</v>
          </cell>
          <cell r="B160">
            <v>82505870.079999998</v>
          </cell>
        </row>
        <row r="161">
          <cell r="A161" t="str">
            <v>PARTICIPAÇÃO EM COLIGADA</v>
          </cell>
          <cell r="B161">
            <v>82505870.079999998</v>
          </cell>
        </row>
        <row r="162">
          <cell r="A162" t="str">
            <v>Tecsis tecnologia e sistemas avançados</v>
          </cell>
          <cell r="B162">
            <v>82505870.079999998</v>
          </cell>
        </row>
        <row r="163">
          <cell r="A163" t="str">
            <v>1720201010 Cto Part Per em Coligada ou ControladaTecsis</v>
          </cell>
          <cell r="B163">
            <v>3506022.41</v>
          </cell>
        </row>
        <row r="164">
          <cell r="A164" t="str">
            <v>1720201012 Agios em Partic Per Colig ou Control - Tecsis</v>
          </cell>
          <cell r="B164">
            <v>26896601.149999999</v>
          </cell>
        </row>
        <row r="165">
          <cell r="A165" t="str">
            <v>1720201014 Vlr Justo Ativos em Part Per Col Cont Tecsis</v>
          </cell>
          <cell r="B165">
            <v>58505815.5</v>
          </cell>
        </row>
        <row r="166">
          <cell r="A166" t="str">
            <v>1720201015 Realização Vlr Justo em Part Per Col Cont -Tecsis</v>
          </cell>
          <cell r="B166">
            <v>-7273514.0700000003</v>
          </cell>
        </row>
        <row r="167">
          <cell r="A167" t="str">
            <v>1720201018 Ajust Aval Patrimonial em Part Per Col Cont Tecsis</v>
          </cell>
          <cell r="B167">
            <v>870945.09</v>
          </cell>
        </row>
        <row r="168">
          <cell r="A168" t="str">
            <v>IMOBILIZADO</v>
          </cell>
          <cell r="B168">
            <v>923789180.78999996</v>
          </cell>
        </row>
        <row r="169">
          <cell r="A169" t="str">
            <v>CUSTO</v>
          </cell>
          <cell r="B169">
            <v>1468366251.98</v>
          </cell>
        </row>
        <row r="170">
          <cell r="A170" t="str">
            <v>Terrenos</v>
          </cell>
          <cell r="B170">
            <v>250643773.84999999</v>
          </cell>
        </row>
        <row r="171">
          <cell r="A171" t="str">
            <v>1740101010 Imobilizado-Custo dos Terrenos</v>
          </cell>
          <cell r="B171">
            <v>5386038.8300000001</v>
          </cell>
        </row>
        <row r="172">
          <cell r="A172" t="str">
            <v>1740101011 Imobilizado-Mais Valia dos Terrenos</v>
          </cell>
          <cell r="B172">
            <v>122628867.51000001</v>
          </cell>
        </row>
        <row r="173">
          <cell r="A173" t="str">
            <v>1740101012 Imobilizado-Mais Valia Comb Neg dos Terrenos</v>
          </cell>
          <cell r="B173">
            <v>122628867.51000001</v>
          </cell>
        </row>
        <row r="174">
          <cell r="A174" t="str">
            <v>Edificações e construções</v>
          </cell>
          <cell r="B174">
            <v>137724453</v>
          </cell>
        </row>
        <row r="175">
          <cell r="A175" t="str">
            <v>1740102010 Imobilizado-Custo dos Edificios</v>
          </cell>
          <cell r="B175">
            <v>119988357.63</v>
          </cell>
        </row>
        <row r="176">
          <cell r="A176" t="str">
            <v>1740102011 Imobilizado-Mais Valia dos Edificios</v>
          </cell>
          <cell r="B176">
            <v>2867318.76</v>
          </cell>
        </row>
        <row r="177">
          <cell r="A177" t="str">
            <v>1740102012 Imobilizado-Mais Valia Comb Negocios dos Edificios</v>
          </cell>
          <cell r="B177">
            <v>2867318.76</v>
          </cell>
        </row>
        <row r="178">
          <cell r="A178" t="str">
            <v>1740102014 Imobilizado-Contrapartida do AVP de Edificios</v>
          </cell>
          <cell r="B178">
            <v>241941.55</v>
          </cell>
        </row>
        <row r="179">
          <cell r="A179" t="str">
            <v>1740102020 Imobilizado-Custo das Benfeitorias</v>
          </cell>
          <cell r="B179">
            <v>7410678.0199999996</v>
          </cell>
        </row>
        <row r="180">
          <cell r="A180" t="str">
            <v>1740102021 Imobilizado-Mais Valia Benfeitorias</v>
          </cell>
          <cell r="B180">
            <v>2173636.4</v>
          </cell>
        </row>
        <row r="181">
          <cell r="A181" t="str">
            <v>1740102022 Imobilizado-Mais Valia Comb Neg Benfeitorias</v>
          </cell>
          <cell r="B181">
            <v>2173636.4</v>
          </cell>
        </row>
        <row r="182">
          <cell r="A182" t="str">
            <v>1740102024 Imobilizado-Contrapartida do AVP de Beneficios</v>
          </cell>
          <cell r="B182">
            <v>1565.48</v>
          </cell>
        </row>
        <row r="183">
          <cell r="A183" t="str">
            <v>Equipamentos e Instalações</v>
          </cell>
          <cell r="B183">
            <v>1002064198.6</v>
          </cell>
        </row>
        <row r="184">
          <cell r="A184" t="str">
            <v>1740103010 Imobilizado-Custo de Equipamentos</v>
          </cell>
          <cell r="B184">
            <v>778095627.03999996</v>
          </cell>
        </row>
        <row r="185">
          <cell r="A185" t="str">
            <v>1740103011 Imobilizado-Mais Valia Equipamentos</v>
          </cell>
          <cell r="B185">
            <v>97254962.569999993</v>
          </cell>
        </row>
        <row r="186">
          <cell r="A186" t="str">
            <v>1740103012 Imobilizado-Mais Valia Comb Neg Equipamentos</v>
          </cell>
          <cell r="B186">
            <v>97254962.569999993</v>
          </cell>
        </row>
        <row r="187">
          <cell r="A187" t="str">
            <v>1740103014 Imobilizado-AVP Equipamentos</v>
          </cell>
          <cell r="B187">
            <v>8753245.3900000006</v>
          </cell>
        </row>
        <row r="188">
          <cell r="A188" t="str">
            <v>1740103020 Imobilizado-Custo dos Sobressalentes</v>
          </cell>
          <cell r="B188">
            <v>15803035.25</v>
          </cell>
        </row>
        <row r="189">
          <cell r="A189" t="str">
            <v>1740103021 Imobilizado-Mais Valia dos Sobressalentes</v>
          </cell>
          <cell r="B189">
            <v>2255648.7999999998</v>
          </cell>
        </row>
        <row r="190">
          <cell r="A190" t="str">
            <v>1740103022 Imobilizado-Custo dos Sobressalentes</v>
          </cell>
          <cell r="B190">
            <v>2255648.7999999998</v>
          </cell>
        </row>
        <row r="191">
          <cell r="A191" t="str">
            <v>1740105020 Imobilizado-Custo de Veiculos Fora de Estrada</v>
          </cell>
          <cell r="B191">
            <v>391068.18</v>
          </cell>
        </row>
        <row r="192">
          <cell r="A192" t="str">
            <v>Veículos</v>
          </cell>
          <cell r="B192">
            <v>1974843.9</v>
          </cell>
        </row>
        <row r="193">
          <cell r="A193" t="str">
            <v>1740105010 Imob-Custo de Veiculos de Passageiros e Carga</v>
          </cell>
          <cell r="B193">
            <v>1965247.86</v>
          </cell>
        </row>
        <row r="194">
          <cell r="A194" t="str">
            <v>1740105011 Imob-Mais Valia de Veiculos de Passageiros e Carga</v>
          </cell>
          <cell r="B194">
            <v>4657.38</v>
          </cell>
        </row>
        <row r="195">
          <cell r="A195" t="str">
            <v>1740105012 Imob-Mais Valia de Veiculos de Passageiros e Carga</v>
          </cell>
          <cell r="B195">
            <v>4657.38</v>
          </cell>
        </row>
        <row r="196">
          <cell r="A196" t="str">
            <v>1740105014 Imob-AVP de Veiculos de Passageiros e Carga</v>
          </cell>
          <cell r="B196">
            <v>281.27999999999997</v>
          </cell>
        </row>
        <row r="197">
          <cell r="A197" t="str">
            <v>Móveis e utensílios</v>
          </cell>
          <cell r="B197">
            <v>11413090.1</v>
          </cell>
        </row>
        <row r="198">
          <cell r="A198" t="str">
            <v>1740104010 Imob-Custo de Moveis, Utensilios e Inst Comerciais</v>
          </cell>
          <cell r="B198">
            <v>11379200.810000001</v>
          </cell>
        </row>
        <row r="199">
          <cell r="A199" t="str">
            <v>1740104014 Imob-AVP de Moveis, Utensilios e Inst Comerciais</v>
          </cell>
          <cell r="B199">
            <v>33889.29</v>
          </cell>
        </row>
        <row r="200">
          <cell r="A200" t="str">
            <v>Demais bens</v>
          </cell>
          <cell r="B200">
            <v>10500226.32</v>
          </cell>
        </row>
        <row r="201">
          <cell r="A201" t="str">
            <v>1740199010 Imobilizado-Custo de Material Auxiliar Permanente</v>
          </cell>
          <cell r="B201">
            <v>2511016.21</v>
          </cell>
        </row>
        <row r="202">
          <cell r="A202" t="str">
            <v>1740199070 Imobilizado-Custo de Computadores e Perifericos</v>
          </cell>
          <cell r="B202">
            <v>7954676.4500000002</v>
          </cell>
        </row>
        <row r="203">
          <cell r="A203" t="str">
            <v>1740199074 Imobilizado- AVP de Computadores e Perifericos</v>
          </cell>
          <cell r="B203">
            <v>34533.660000000003</v>
          </cell>
        </row>
        <row r="204">
          <cell r="A204" t="str">
            <v>imobilizado em andamento</v>
          </cell>
          <cell r="B204">
            <v>54045666.210000001</v>
          </cell>
        </row>
        <row r="205">
          <cell r="A205" t="str">
            <v>1745001010 Imob Andament-Custo das Aquisiçoes p/Imob (Receb)</v>
          </cell>
          <cell r="B205">
            <v>48787338.810000002</v>
          </cell>
        </row>
        <row r="206">
          <cell r="A206" t="str">
            <v>1745001014 Contrapartida dos Aj a Vr Presente de IeA</v>
          </cell>
          <cell r="B206">
            <v>325778.46000000002</v>
          </cell>
        </row>
        <row r="207">
          <cell r="A207" t="str">
            <v>1745001020 Imob And-Cto das Aquisiç de Sobres de Imob (Receb)</v>
          </cell>
          <cell r="B207">
            <v>346631.82</v>
          </cell>
        </row>
        <row r="208">
          <cell r="A208" t="str">
            <v>1745002030 Imob And-Cto dos Adiants p/Aquis de Imobiliz (T)</v>
          </cell>
          <cell r="B208">
            <v>1419391.51</v>
          </cell>
        </row>
        <row r="209">
          <cell r="A209" t="str">
            <v>1745002031 Imob And-Tran de Adto p/Aquis Imob Reconcil (T)</v>
          </cell>
          <cell r="B209">
            <v>0</v>
          </cell>
        </row>
        <row r="210">
          <cell r="A210" t="str">
            <v>1745002032 Imob And-Tran de Adto p/Aquis de Imob Razao (T)</v>
          </cell>
          <cell r="B210">
            <v>0</v>
          </cell>
        </row>
        <row r="211">
          <cell r="A211" t="str">
            <v>1745099010 Imob And-Encar Fin s/ Aquis de Imob-Juros (Realiz)</v>
          </cell>
          <cell r="B211">
            <v>1858518.87</v>
          </cell>
        </row>
        <row r="212">
          <cell r="A212" t="str">
            <v>1745099030 Imob And-Encar Fin s/ Aquis de Imob-Var Cam (R)</v>
          </cell>
          <cell r="B212">
            <v>1308006.74</v>
          </cell>
        </row>
        <row r="213">
          <cell r="A213" t="str">
            <v>DEPRECIAÇÃO</v>
          </cell>
          <cell r="B213">
            <v>-544577071.19000006</v>
          </cell>
        </row>
        <row r="214">
          <cell r="A214" t="str">
            <v>Edificações e construções</v>
          </cell>
          <cell r="B214">
            <v>-41339068.979999997</v>
          </cell>
        </row>
        <row r="215">
          <cell r="A215" t="str">
            <v>1740502010 (-)Depreciaçao-Custo dos Edificios</v>
          </cell>
          <cell r="B215">
            <v>-35279662.25</v>
          </cell>
        </row>
        <row r="216">
          <cell r="A216" t="str">
            <v>1740502011 (-)Depreciaçao-Mais Valia Edificios</v>
          </cell>
          <cell r="B216">
            <v>-24718.26</v>
          </cell>
        </row>
        <row r="217">
          <cell r="A217" t="str">
            <v>1740502012 (-)Depreciaçao-Mais Valia Combin Neg Edificios</v>
          </cell>
          <cell r="B217">
            <v>-24718.26</v>
          </cell>
        </row>
        <row r="218">
          <cell r="A218" t="str">
            <v>1740502014 (-)Depr-Contrapartida do AVP de Edificios</v>
          </cell>
          <cell r="B218">
            <v>-21216.15</v>
          </cell>
        </row>
        <row r="219">
          <cell r="A219" t="str">
            <v>1740502020 (-)Depreciaçao-Custo das Benfeitorias</v>
          </cell>
          <cell r="B219">
            <v>-5916086.9500000002</v>
          </cell>
        </row>
        <row r="220">
          <cell r="A220" t="str">
            <v>1740502021 (-)Depreciaçao-Mais Valia Benfeitorias</v>
          </cell>
          <cell r="B220">
            <v>-36227.279999999999</v>
          </cell>
        </row>
        <row r="221">
          <cell r="A221" t="str">
            <v>1740502022 (-)Depreciaçao-Mais Valia Combin Neg Benfeitorias</v>
          </cell>
          <cell r="B221">
            <v>-36227.279999999999</v>
          </cell>
        </row>
        <row r="222">
          <cell r="A222" t="str">
            <v>1740502024 (-)Depr-Contrapartida do AVP de Benfeitorias</v>
          </cell>
          <cell r="B222">
            <v>-212.55</v>
          </cell>
        </row>
        <row r="223">
          <cell r="A223" t="str">
            <v>Equipamentos e Instalações</v>
          </cell>
          <cell r="B223">
            <v>-488542228.60000002</v>
          </cell>
        </row>
        <row r="224">
          <cell r="A224" t="str">
            <v>1740503010 (-)Depreciaçao-Custo de Equipamentos</v>
          </cell>
          <cell r="B224">
            <v>-474192240.47000003</v>
          </cell>
        </row>
        <row r="225">
          <cell r="A225" t="str">
            <v>1740503011 (-)Depreciaçao-Mais Valia Equipamentos</v>
          </cell>
          <cell r="B225">
            <v>-1519608.86</v>
          </cell>
        </row>
        <row r="226">
          <cell r="A226" t="str">
            <v>1740503012 (-)Depreciaçao-Mais Valia Combin Neg Equipamentos</v>
          </cell>
          <cell r="B226">
            <v>-1519608.86</v>
          </cell>
        </row>
        <row r="227">
          <cell r="A227" t="str">
            <v>1740503014 (-)Depr-Contrapartida do AVP de Equipamentos</v>
          </cell>
          <cell r="B227">
            <v>-2154068.31</v>
          </cell>
        </row>
        <row r="228">
          <cell r="A228" t="str">
            <v>1740503020 (-)Depreciaçao-Custo dos Sobressalentes</v>
          </cell>
          <cell r="B228">
            <v>-8742446.8699999992</v>
          </cell>
        </row>
        <row r="229">
          <cell r="A229" t="str">
            <v>1740503021 (-)Depreciaçao-Mais Valia Sobressalentes</v>
          </cell>
          <cell r="B229">
            <v>-35244.43</v>
          </cell>
        </row>
        <row r="230">
          <cell r="A230" t="str">
            <v>1740503022 (-)Depreciaçao-Mais Valia Combin Neg Sobressalente</v>
          </cell>
          <cell r="B230">
            <v>-35244.43</v>
          </cell>
        </row>
        <row r="231">
          <cell r="A231" t="str">
            <v>1740505020 (-)Depreciaçao-Custo de Veiculos Fora da Estrada</v>
          </cell>
          <cell r="B231">
            <v>-343766.37</v>
          </cell>
        </row>
        <row r="232">
          <cell r="A232" t="str">
            <v>Veículos</v>
          </cell>
          <cell r="B232">
            <v>-768661.13</v>
          </cell>
        </row>
        <row r="233">
          <cell r="A233" t="str">
            <v>1740505010 (-)Depr-Custo de Veiculos de Passageiros e Carga</v>
          </cell>
          <cell r="B233">
            <v>-767814.85</v>
          </cell>
        </row>
        <row r="234">
          <cell r="A234" t="str">
            <v>1740505011 (-)Depreciaçao-Mais Valia Veiculos</v>
          </cell>
          <cell r="B234">
            <v>-388.14</v>
          </cell>
        </row>
        <row r="235">
          <cell r="A235" t="str">
            <v>1740505012 (-)Depreciaçao-Mais Valia Combin Neg Veiculos</v>
          </cell>
          <cell r="B235">
            <v>-388.14</v>
          </cell>
        </row>
        <row r="236">
          <cell r="A236" t="str">
            <v>1740505014 (-)Depr-Contrapartida do AVP de Veículos</v>
          </cell>
          <cell r="B236">
            <v>-70</v>
          </cell>
        </row>
        <row r="237">
          <cell r="A237" t="str">
            <v>Móveis e utensílios</v>
          </cell>
          <cell r="B237">
            <v>-7592822.6200000001</v>
          </cell>
        </row>
        <row r="238">
          <cell r="A238" t="str">
            <v>1740504010 (-)Depreciaçao-Custo dos Móveis, Utens e Inst Com</v>
          </cell>
          <cell r="B238">
            <v>-7584927.79</v>
          </cell>
        </row>
        <row r="239">
          <cell r="A239" t="str">
            <v>1740504014 (-)Depr-Contrapartida do AVP de Móveis, Utens</v>
          </cell>
          <cell r="B239">
            <v>-7894.83</v>
          </cell>
        </row>
        <row r="240">
          <cell r="A240" t="str">
            <v>Demais bens</v>
          </cell>
          <cell r="B240">
            <v>-6334289.8600000003</v>
          </cell>
        </row>
        <row r="241">
          <cell r="A241" t="str">
            <v>1740599070 (-)Depreciaçao-Custo de Computadores e Perifericos</v>
          </cell>
          <cell r="B241">
            <v>-6323069.0300000003</v>
          </cell>
        </row>
        <row r="242">
          <cell r="A242" t="str">
            <v>1740599074 (-)Depr-Contrap do AVP dos Computad Perifericos</v>
          </cell>
          <cell r="B242">
            <v>-11220.83</v>
          </cell>
        </row>
        <row r="243">
          <cell r="A243" t="str">
            <v>INTANGÍVEL</v>
          </cell>
          <cell r="B243">
            <v>274221747.14999998</v>
          </cell>
        </row>
        <row r="244">
          <cell r="A244" t="str">
            <v>INTANGÍVEL EM OPERAÇÃO</v>
          </cell>
          <cell r="B244">
            <v>274221747.14999998</v>
          </cell>
        </row>
        <row r="245">
          <cell r="A245" t="str">
            <v>Ágio - combinação de negócio em estágios</v>
          </cell>
          <cell r="B245">
            <v>195808784.34999999</v>
          </cell>
        </row>
        <row r="246">
          <cell r="A246" t="str">
            <v>1750190012 Intangivel Op-Mais Valia C N Ativ n Alocados</v>
          </cell>
          <cell r="B246">
            <v>195808784.34999999</v>
          </cell>
        </row>
        <row r="247">
          <cell r="A247" t="str">
            <v>Carteira de clientes</v>
          </cell>
          <cell r="B247">
            <v>205374.98</v>
          </cell>
        </row>
        <row r="248">
          <cell r="A248" t="str">
            <v>1750103011 Intangivel Op-Mais Valia de Carteira de Clientes</v>
          </cell>
          <cell r="B248">
            <v>106000</v>
          </cell>
        </row>
        <row r="249">
          <cell r="A249" t="str">
            <v>1750103012 Intangivel Op-Mais Valia de Carteira Clientes C N</v>
          </cell>
          <cell r="B249">
            <v>106000</v>
          </cell>
        </row>
        <row r="250">
          <cell r="A250" t="str">
            <v>1750603011 (-)Amort-Mais Valia Carteira de Clientes</v>
          </cell>
          <cell r="B250">
            <v>-3312.51</v>
          </cell>
        </row>
        <row r="251">
          <cell r="A251" t="str">
            <v>1750603012 (-)Amort-Mais Valia C N Carteira de Clientes</v>
          </cell>
          <cell r="B251">
            <v>-3312.51</v>
          </cell>
        </row>
        <row r="252">
          <cell r="A252" t="str">
            <v>Direito de uso de software e pesquisa e desen</v>
          </cell>
          <cell r="B252">
            <v>481433.96</v>
          </cell>
        </row>
        <row r="253">
          <cell r="A253" t="str">
            <v>1750101010 Intangivel Op-Custo das Marcas e Patentes</v>
          </cell>
          <cell r="B253">
            <v>1385.16</v>
          </cell>
        </row>
        <row r="254">
          <cell r="A254" t="str">
            <v>1750102010 Intangivel Op-Cto das Software ou Prog de Comput</v>
          </cell>
          <cell r="B254">
            <v>3706884.71</v>
          </cell>
        </row>
        <row r="255">
          <cell r="A255" t="str">
            <v>1750102014 Intangivel Op-AV de Software ou Prog de Comput</v>
          </cell>
          <cell r="B255">
            <v>4587.72</v>
          </cell>
        </row>
        <row r="256">
          <cell r="A256" t="str">
            <v>1750602010 (-)Amort-Cto dos Software ou Programas de Comput</v>
          </cell>
          <cell r="B256">
            <v>-3230552.26</v>
          </cell>
        </row>
        <row r="257">
          <cell r="A257" t="str">
            <v>1750602014 (-)Amort-Contrapartida do AVP de Softwares</v>
          </cell>
          <cell r="B257">
            <v>-871.37</v>
          </cell>
        </row>
        <row r="258">
          <cell r="A258" t="str">
            <v>Ágio Goodwill</v>
          </cell>
          <cell r="B258">
            <v>117482443.12</v>
          </cell>
        </row>
        <row r="259">
          <cell r="A259" t="str">
            <v>1750190011 Intangivel Op-Mais Valia Ativ n Alocados</v>
          </cell>
          <cell r="B259">
            <v>117482443.12</v>
          </cell>
        </row>
        <row r="260">
          <cell r="A260" t="str">
            <v>Tributos diferidos s/ágio não alocado</v>
          </cell>
          <cell r="B260">
            <v>-39756289.259999998</v>
          </cell>
        </row>
        <row r="261">
          <cell r="A261" t="str">
            <v>1750190021 Intangivel Op-Tribs Dif S/Mais Valia de Ativos (R)</v>
          </cell>
          <cell r="B261">
            <v>-39756289.259999998</v>
          </cell>
        </row>
        <row r="262">
          <cell r="A262" t="str">
            <v>1754900020 Int const p/trib Dif s/Mais Valia Ativos CN (Real)</v>
          </cell>
          <cell r="B262">
            <v>0</v>
          </cell>
        </row>
        <row r="263">
          <cell r="A263" t="str">
            <v>PASSIVO E PATRIMÔNIO LÍQUIDO</v>
          </cell>
          <cell r="B263">
            <v>-1664153040.6099999</v>
          </cell>
        </row>
        <row r="264">
          <cell r="A264" t="str">
            <v>CIRCULANTE</v>
          </cell>
          <cell r="B264">
            <v>-248007497.03</v>
          </cell>
        </row>
        <row r="265">
          <cell r="A265" t="str">
            <v>FORNECEDORES</v>
          </cell>
          <cell r="B265">
            <v>-18214673.16</v>
          </cell>
        </row>
        <row r="266">
          <cell r="A266" t="str">
            <v>Serviços</v>
          </cell>
          <cell r="B266">
            <v>-4800728.5199999996</v>
          </cell>
        </row>
        <row r="267">
          <cell r="A267" t="str">
            <v>2110101010 Fornecedores Nacionais de Serviços (Realizado)</v>
          </cell>
          <cell r="B267">
            <v>-4800728.5199999996</v>
          </cell>
        </row>
        <row r="268">
          <cell r="A268" t="str">
            <v>Matérias Primas</v>
          </cell>
          <cell r="B268">
            <v>-5040878.92</v>
          </cell>
        </row>
        <row r="269">
          <cell r="A269" t="str">
            <v>2110101020 Fornecedores Nacionais de MP (Realizado)</v>
          </cell>
          <cell r="B269">
            <v>-4587063.62</v>
          </cell>
        </row>
        <row r="270">
          <cell r="A270" t="str">
            <v>2110102020 Fornecedores do Exterior de MP (Realizado)</v>
          </cell>
          <cell r="B270">
            <v>-453815.3</v>
          </cell>
        </row>
        <row r="271">
          <cell r="A271" t="str">
            <v>Fretes</v>
          </cell>
          <cell r="B271">
            <v>-5155270</v>
          </cell>
        </row>
        <row r="272">
          <cell r="A272" t="str">
            <v>2110101070 Fornecedores Nacionais de Fretes (Realizado)</v>
          </cell>
          <cell r="B272">
            <v>-5155270</v>
          </cell>
        </row>
        <row r="273">
          <cell r="A273" t="str">
            <v>Materiais de Consumo</v>
          </cell>
          <cell r="B273">
            <v>-2277053.29</v>
          </cell>
        </row>
        <row r="274">
          <cell r="A274" t="str">
            <v>2110101040 Fornecedores Nacionais de Mat de Cons(Realizado)</v>
          </cell>
          <cell r="B274">
            <v>-1568297.02</v>
          </cell>
        </row>
        <row r="275">
          <cell r="A275" t="str">
            <v>2110102040 Fornecedores do Ext de Mat de Cons (Realizado)</v>
          </cell>
          <cell r="B275">
            <v>-708756.27</v>
          </cell>
        </row>
        <row r="276">
          <cell r="A276" t="str">
            <v>Demais tipos de fornecedores</v>
          </cell>
          <cell r="B276">
            <v>-940742.43</v>
          </cell>
        </row>
        <row r="277">
          <cell r="A277" t="str">
            <v>2110101030 Fornecedores Nacionais de Energia (Realizado)</v>
          </cell>
          <cell r="B277">
            <v>-44544.85</v>
          </cell>
        </row>
        <row r="278">
          <cell r="A278" t="str">
            <v>2110101050 Fornecedores Nacionais Funcionarios (Realizado)</v>
          </cell>
          <cell r="B278">
            <v>-86623.29</v>
          </cell>
        </row>
        <row r="279">
          <cell r="A279" t="str">
            <v>2110101060 Fornecedores Nacionais Imps e Contrib (Realizado)</v>
          </cell>
          <cell r="B279">
            <v>-4137.78</v>
          </cell>
        </row>
        <row r="280">
          <cell r="A280" t="str">
            <v>2110199010 Entrada de Mercadoria e de Fat (EM/EF) (Realizado)</v>
          </cell>
          <cell r="B280">
            <v>-2905.87</v>
          </cell>
        </row>
        <row r="281">
          <cell r="A281" t="str">
            <v>2110199011 Provisao de Entrada de Mercad e de Fatura (EM/EF)</v>
          </cell>
          <cell r="B281">
            <v>-802530.64</v>
          </cell>
        </row>
        <row r="282">
          <cell r="A282" t="str">
            <v>EMPRÉSTIMOS</v>
          </cell>
          <cell r="B282">
            <v>-149481992.59999999</v>
          </cell>
        </row>
        <row r="283">
          <cell r="A283" t="str">
            <v>Moeda nacional</v>
          </cell>
          <cell r="B283">
            <v>-147365400.12</v>
          </cell>
        </row>
        <row r="284">
          <cell r="A284" t="str">
            <v>2110502010 Emprest e Financs em Moeda Nacional CP (Realizado)</v>
          </cell>
          <cell r="B284">
            <v>-134972842.03</v>
          </cell>
        </row>
        <row r="285">
          <cell r="A285" t="str">
            <v>2110502020 Juros s/Empr Fin em Moeda Nacional CP (Realizado)</v>
          </cell>
          <cell r="B285">
            <v>-12405853.15</v>
          </cell>
        </row>
        <row r="286">
          <cell r="A286" t="str">
            <v>2110502500 Custo de Emprest e Finan Amort em MN CP (Realiz)</v>
          </cell>
          <cell r="B286">
            <v>13295.06</v>
          </cell>
        </row>
        <row r="287">
          <cell r="A287" t="str">
            <v>Moeda estrangeira</v>
          </cell>
          <cell r="B287">
            <v>-2116592.48</v>
          </cell>
        </row>
        <row r="288">
          <cell r="A288" t="str">
            <v>2110502600 Emprestimos e Finan em Moeda Estrang CP (Realiz)</v>
          </cell>
          <cell r="B288">
            <v>-2094241.85</v>
          </cell>
        </row>
        <row r="289">
          <cell r="A289" t="str">
            <v>2110502610 Jur s/Emprest e Finan Moeda Estrang CP (Realizado)</v>
          </cell>
          <cell r="B289">
            <v>-22350.63</v>
          </cell>
        </row>
        <row r="290">
          <cell r="A290" t="str">
            <v>SALÁRIOS E ENCARGOS SOCIAIS</v>
          </cell>
          <cell r="B290">
            <v>-17382786.239999998</v>
          </cell>
        </row>
        <row r="291">
          <cell r="A291" t="str">
            <v>Salários, Férias e Gratificações</v>
          </cell>
          <cell r="B291">
            <v>-13819381.43</v>
          </cell>
        </row>
        <row r="292">
          <cell r="A292" t="str">
            <v>2111001050 Provisao de 13º Salario (Realizado)</v>
          </cell>
          <cell r="B292">
            <v>0</v>
          </cell>
        </row>
        <row r="293">
          <cell r="A293" t="str">
            <v>2111001060 Provisao de Ferias (Realizado)</v>
          </cell>
          <cell r="B293">
            <v>-3847652.65</v>
          </cell>
        </row>
        <row r="294">
          <cell r="A294" t="str">
            <v>2111001080 Provisao de Gratificaçoes Ferias (Realizado)</v>
          </cell>
          <cell r="B294">
            <v>-3643211.98</v>
          </cell>
        </row>
        <row r="295">
          <cell r="A295" t="str">
            <v>2111001090 Provisao de Gratificaçoes Diretores Estatutários</v>
          </cell>
          <cell r="B295">
            <v>-2284909.29</v>
          </cell>
        </row>
        <row r="296">
          <cell r="A296" t="str">
            <v>2111001100 Provisão de Gratificações  - CLT</v>
          </cell>
          <cell r="B296">
            <v>0</v>
          </cell>
        </row>
        <row r="297">
          <cell r="A297" t="str">
            <v>2111001900 Provisoes Partic nos Lucros de Funcion (Realizado)</v>
          </cell>
          <cell r="B297">
            <v>-4043607.51</v>
          </cell>
        </row>
        <row r="298">
          <cell r="A298" t="str">
            <v>INSS</v>
          </cell>
          <cell r="B298">
            <v>-2811789.91</v>
          </cell>
        </row>
        <row r="299">
          <cell r="A299" t="str">
            <v>2111005010 Contrib Prev a Recolher-INSS s/Folha (Realizado)</v>
          </cell>
          <cell r="B299">
            <v>-1404151.19</v>
          </cell>
        </row>
        <row r="300">
          <cell r="A300" t="str">
            <v>2111005020 Contrib Prev a Recolher-INSS s/Autonomos (Realiz)</v>
          </cell>
          <cell r="B300">
            <v>-19185.84</v>
          </cell>
        </row>
        <row r="301">
          <cell r="A301" t="str">
            <v>2111005030 Contrib Prev a Recolher-INSS s/Cooperativas (Real)</v>
          </cell>
          <cell r="B301">
            <v>-732.8</v>
          </cell>
        </row>
        <row r="302">
          <cell r="A302" t="str">
            <v>2111005040 Contrib Prev a Recolher-INSS Termo Coop SENAI (R)</v>
          </cell>
          <cell r="B302">
            <v>0.01</v>
          </cell>
        </row>
        <row r="303">
          <cell r="A303" t="str">
            <v>2111005050 Prov de Contrib Prev-INSS sobre 13º Salario (R)</v>
          </cell>
          <cell r="B303">
            <v>0</v>
          </cell>
        </row>
        <row r="304">
          <cell r="A304" t="str">
            <v>2111005060 Prov de Contrib Prev-INSS sobre Ferias (Realizado)</v>
          </cell>
          <cell r="B304">
            <v>-1387720.09</v>
          </cell>
        </row>
        <row r="305">
          <cell r="A305" t="str">
            <v>FGTS</v>
          </cell>
          <cell r="B305">
            <v>-751614.9</v>
          </cell>
        </row>
        <row r="306">
          <cell r="A306" t="str">
            <v>2111006010 Contrib Prev a Recolher-FGTS s/Folha (Realizado)</v>
          </cell>
          <cell r="B306">
            <v>-341198.66</v>
          </cell>
        </row>
        <row r="307">
          <cell r="A307" t="str">
            <v>2111006050 Prov Contrib Prev-FGTS s/ 13º Salario (Realizado)</v>
          </cell>
          <cell r="B307">
            <v>0</v>
          </cell>
        </row>
        <row r="308">
          <cell r="A308" t="str">
            <v>2111006060 Prov Contrib Prev-FGTS sobre Ferias (Realizado)</v>
          </cell>
          <cell r="B308">
            <v>-410416.24</v>
          </cell>
        </row>
        <row r="309">
          <cell r="A309" t="str">
            <v>OUTROS IMPOSTOS E CONTRIBUIÇÕES A PAGAR</v>
          </cell>
          <cell r="B309">
            <v>-10763602.75</v>
          </cell>
        </row>
        <row r="310">
          <cell r="A310" t="str">
            <v>ICMS a recolher</v>
          </cell>
          <cell r="B310">
            <v>-5932385.3099999996</v>
          </cell>
        </row>
        <row r="311">
          <cell r="A311" t="str">
            <v>2113005300 ICMS a Recolher (Realizado)</v>
          </cell>
          <cell r="B311">
            <v>-5932385.3099999996</v>
          </cell>
        </row>
        <row r="312">
          <cell r="A312" t="str">
            <v>PIS a recolher</v>
          </cell>
          <cell r="B312">
            <v>-508857.43</v>
          </cell>
        </row>
        <row r="313">
          <cell r="A313" t="str">
            <v>2113005010 PIS a Recolher (Realizado)</v>
          </cell>
          <cell r="B313">
            <v>-508857.43</v>
          </cell>
        </row>
        <row r="314">
          <cell r="A314" t="str">
            <v>Cofins a recolher</v>
          </cell>
          <cell r="B314">
            <v>-2343825.63</v>
          </cell>
        </row>
        <row r="315">
          <cell r="A315" t="str">
            <v>2113005020 COFINS a Recolher (Realizado)</v>
          </cell>
          <cell r="B315">
            <v>-2343825.63</v>
          </cell>
        </row>
        <row r="316">
          <cell r="A316" t="str">
            <v>Obrigações tributárias s/ servs.de terceiros</v>
          </cell>
          <cell r="B316">
            <v>-1968866.45</v>
          </cell>
        </row>
        <row r="317">
          <cell r="A317" t="str">
            <v>2113001010 IR de Funcionarios (Realizado)</v>
          </cell>
          <cell r="B317">
            <v>-1416951.12</v>
          </cell>
        </row>
        <row r="318">
          <cell r="A318" t="str">
            <v>2113001020 INSS de Funcionarios (Realizado)</v>
          </cell>
          <cell r="B318">
            <v>0</v>
          </cell>
        </row>
        <row r="319">
          <cell r="A319" t="str">
            <v>2113001200 Imposto Sindical de Funcionarios (Realizado)</v>
          </cell>
          <cell r="B319">
            <v>0</v>
          </cell>
        </row>
        <row r="320">
          <cell r="A320" t="str">
            <v>2113001300 Imposto de Renda s/Servs de Terceiros (Realizado)</v>
          </cell>
          <cell r="B320">
            <v>-80674.05</v>
          </cell>
        </row>
        <row r="321">
          <cell r="A321" t="str">
            <v>2113001310 INSS s/Serviços de Terceiros PF</v>
          </cell>
          <cell r="B321">
            <v>-3057.45</v>
          </cell>
        </row>
        <row r="322">
          <cell r="A322" t="str">
            <v>2113001320 INSS s/Serviços de Terceiros PJ</v>
          </cell>
          <cell r="B322">
            <v>-181491.09</v>
          </cell>
        </row>
        <row r="323">
          <cell r="A323" t="str">
            <v>2113001350 CSLL s/Serviços de Terceiros (Realizado)</v>
          </cell>
          <cell r="B323">
            <v>-26396.78</v>
          </cell>
        </row>
        <row r="324">
          <cell r="A324" t="str">
            <v>2113001360 PIS s/Serviços de Terceiros (Realizado)</v>
          </cell>
          <cell r="B324">
            <v>-17230.02</v>
          </cell>
        </row>
        <row r="325">
          <cell r="A325" t="str">
            <v>2113001370 COFINS s/Serviços de Terceiros (Realizado)</v>
          </cell>
          <cell r="B325">
            <v>-79523.13</v>
          </cell>
        </row>
        <row r="326">
          <cell r="A326" t="str">
            <v>2113001400 ISS s/Serviços de Terceiros (Realizado)</v>
          </cell>
          <cell r="B326">
            <v>-163542.81</v>
          </cell>
        </row>
        <row r="327">
          <cell r="A327" t="str">
            <v>Outros</v>
          </cell>
          <cell r="B327">
            <v>-9667.93</v>
          </cell>
        </row>
        <row r="328">
          <cell r="A328" t="str">
            <v>2113099010 CIDE s/Remessas ao Exterior a Recolher (Realizado)</v>
          </cell>
          <cell r="B328">
            <v>-9365.43</v>
          </cell>
        </row>
        <row r="329">
          <cell r="A329" t="str">
            <v>2113099020 IOF s/Remessas ao Exterior a Recolher (Realizado)</v>
          </cell>
          <cell r="B329">
            <v>-302.5</v>
          </cell>
        </row>
        <row r="330">
          <cell r="A330" t="str">
            <v>DIVIDENDOS E JUROS S/ CAPITAL PROPRIO A PAGAR</v>
          </cell>
          <cell r="B330">
            <v>-16091745.27</v>
          </cell>
        </row>
        <row r="331">
          <cell r="A331" t="str">
            <v>Dividendos a pagar</v>
          </cell>
          <cell r="B331">
            <v>-245368.56</v>
          </cell>
        </row>
        <row r="332">
          <cell r="A332" t="str">
            <v>2114001010 Dividendos a Pagar (Realizado)</v>
          </cell>
          <cell r="B332">
            <v>-245368.56</v>
          </cell>
        </row>
        <row r="333">
          <cell r="A333" t="str">
            <v>Dividendos propostos</v>
          </cell>
          <cell r="B333">
            <v>-15846376.710000001</v>
          </cell>
        </row>
        <row r="334">
          <cell r="A334" t="str">
            <v>2114001020 Dividendos Propostos (Realizado)</v>
          </cell>
          <cell r="B334">
            <v>-15846376.710000001</v>
          </cell>
        </row>
        <row r="335">
          <cell r="A335" t="str">
            <v>DEMANDAS JUDICIAIS</v>
          </cell>
          <cell r="B335">
            <v>-3108986.55</v>
          </cell>
        </row>
        <row r="336">
          <cell r="A336" t="str">
            <v>Fiscais</v>
          </cell>
          <cell r="B336">
            <v>-3108986.55</v>
          </cell>
        </row>
        <row r="337">
          <cell r="A337" t="str">
            <v>2119001010 Prov Nat Trib s/Dep Gar CP-Imp,Taxas Contr Fed (R)</v>
          </cell>
          <cell r="B337">
            <v>-3108986.55</v>
          </cell>
        </row>
        <row r="338">
          <cell r="A338" t="str">
            <v>ENERGIA ELÉTRICA</v>
          </cell>
          <cell r="B338">
            <v>-11132630.6</v>
          </cell>
        </row>
        <row r="339">
          <cell r="A339" t="str">
            <v>Energia elétrica provisionada</v>
          </cell>
          <cell r="B339">
            <v>-11132630.6</v>
          </cell>
        </row>
        <row r="340">
          <cell r="A340" t="str">
            <v>2118005010 Fornec e nao Faturado-Energia Eletrica (Realizado)</v>
          </cell>
          <cell r="B340">
            <v>-11132630.6</v>
          </cell>
        </row>
        <row r="341">
          <cell r="A341" t="str">
            <v>OUTROS PASSIVOS CIRCULANTES</v>
          </cell>
          <cell r="B341">
            <v>-21831079.859999999</v>
          </cell>
        </row>
        <row r="342">
          <cell r="A342" t="str">
            <v>Serviços Técnicos profissionais</v>
          </cell>
          <cell r="B342">
            <v>-8137000</v>
          </cell>
        </row>
        <row r="343">
          <cell r="A343" t="str">
            <v>2119003020 Prov Nat Op Desp c/ Servs Tecn e Prof CP (Realiz)</v>
          </cell>
          <cell r="B343">
            <v>-8137000</v>
          </cell>
        </row>
        <row r="344">
          <cell r="A344" t="str">
            <v>Fretes sobre vendas</v>
          </cell>
          <cell r="B344">
            <v>-4093472.5</v>
          </cell>
        </row>
        <row r="345">
          <cell r="A345" t="str">
            <v>2119003010 Prov Nat Op Desp c/ Fretes s/Vendas CP (Realizado)</v>
          </cell>
          <cell r="B345">
            <v>-4093472.5</v>
          </cell>
        </row>
        <row r="346">
          <cell r="A346" t="str">
            <v>Desembaraço alfandegário</v>
          </cell>
          <cell r="B346">
            <v>-726109.91</v>
          </cell>
        </row>
        <row r="347">
          <cell r="A347" t="str">
            <v>2118005030 Fornec e nao Fat-Desemb Alfandegario Sal (Realiz)</v>
          </cell>
          <cell r="B347">
            <v>-726109.91</v>
          </cell>
        </row>
        <row r="348">
          <cell r="A348" t="str">
            <v>Obrigações de natureza fiscais</v>
          </cell>
          <cell r="B348">
            <v>-1773607</v>
          </cell>
        </row>
        <row r="349">
          <cell r="A349" t="str">
            <v>2119001030 Prov Nat Trib s/Dep Gar CP-Imp,Taxas Cont Mun (R)</v>
          </cell>
          <cell r="B349">
            <v>-1773607</v>
          </cell>
        </row>
        <row r="350">
          <cell r="A350" t="str">
            <v>Trabalhistas e previdênciárias</v>
          </cell>
          <cell r="B350">
            <v>-3468331.54</v>
          </cell>
        </row>
        <row r="351">
          <cell r="A351" t="str">
            <v>2119002020 Prov Ind Trab p/Desligamen Compulsório CP (Realiz)</v>
          </cell>
          <cell r="B351">
            <v>-977221.08</v>
          </cell>
        </row>
        <row r="352">
          <cell r="A352" t="str">
            <v>2119002030 Prov Nat Trab s/Dep Gar CP-Previdenciaria (Realiz)</v>
          </cell>
          <cell r="B352">
            <v>-2491110.46</v>
          </cell>
        </row>
        <row r="353">
          <cell r="A353" t="str">
            <v>Outras obrigações e compromissos</v>
          </cell>
          <cell r="B353">
            <v>-3632558.91</v>
          </cell>
        </row>
        <row r="354">
          <cell r="A354" t="str">
            <v>2118005020 Fornec e nao Faturado-Agua (Realizado)</v>
          </cell>
          <cell r="B354">
            <v>-26545.14</v>
          </cell>
        </row>
        <row r="355">
          <cell r="A355" t="str">
            <v>2118005040 Fornec e nao Faturado-Materiais de Cons (Realiz)</v>
          </cell>
          <cell r="B355">
            <v>-1990849.3</v>
          </cell>
        </row>
        <row r="356">
          <cell r="A356" t="str">
            <v>2118005090 Fornec e nao Faturado-Servs Prestados (Realizado)</v>
          </cell>
          <cell r="B356">
            <v>-112429.72</v>
          </cell>
        </row>
        <row r="357">
          <cell r="A357" t="str">
            <v>2118010010 Retençoes s/Contratos de Compras (Realizado)</v>
          </cell>
          <cell r="B357">
            <v>-16416.61</v>
          </cell>
        </row>
        <row r="358">
          <cell r="A358" t="str">
            <v>2118050010 Adiantamentos de Clientes (Realizado)</v>
          </cell>
          <cell r="B358">
            <v>-1017511.63</v>
          </cell>
        </row>
        <row r="359">
          <cell r="A359" t="str">
            <v>2119003030 Prov Nat Op Desp c/Servs de Auditoria CP (Realiz)</v>
          </cell>
          <cell r="B359">
            <v>-386282.7</v>
          </cell>
        </row>
        <row r="360">
          <cell r="A360" t="str">
            <v>2119003040 Prov Nat Op Desp c/Seguros Gerais CP (Realizado)</v>
          </cell>
          <cell r="B360">
            <v>-80213</v>
          </cell>
        </row>
        <row r="361">
          <cell r="A361" t="str">
            <v>2119003990 Prov Nat Op Outras Desp Provisionadas CP (Realiz)</v>
          </cell>
          <cell r="B361">
            <v>-2310.81</v>
          </cell>
        </row>
        <row r="362">
          <cell r="A362" t="str">
            <v>NÃO CIRCULANTE</v>
          </cell>
          <cell r="B362">
            <v>-660148969.98000002</v>
          </cell>
        </row>
        <row r="363">
          <cell r="A363" t="str">
            <v>EMPRÉSTIMOS</v>
          </cell>
          <cell r="B363">
            <v>-591333596.73000002</v>
          </cell>
        </row>
        <row r="364">
          <cell r="A364" t="str">
            <v>Moeda nacional</v>
          </cell>
          <cell r="B364">
            <v>-584773157.61000001</v>
          </cell>
        </row>
        <row r="365">
          <cell r="A365" t="str">
            <v>2310502010 Emprest Finan Bancarios Moeda Nacional LP (R)</v>
          </cell>
          <cell r="B365">
            <v>-584773157.61000001</v>
          </cell>
        </row>
        <row r="366">
          <cell r="A366" t="str">
            <v>Moeda estrangeira</v>
          </cell>
          <cell r="B366">
            <v>-6560439.1200000001</v>
          </cell>
        </row>
        <row r="367">
          <cell r="A367" t="str">
            <v>2310502600 Empr Financiamentos Moeda Estrangeira LP (Realiz)</v>
          </cell>
          <cell r="B367">
            <v>-6560439.1200000001</v>
          </cell>
        </row>
        <row r="368">
          <cell r="A368" t="str">
            <v>IR E CONTRIBUIÇÃO SOCIAL DIFERIDOS</v>
          </cell>
          <cell r="B368">
            <v>-42262463.229999997</v>
          </cell>
        </row>
        <row r="369">
          <cell r="A369" t="str">
            <v>Ativo de imposto diferido</v>
          </cell>
          <cell r="B369">
            <v>73141701.150000006</v>
          </cell>
        </row>
        <row r="370">
          <cell r="A370" t="str">
            <v>1111505014 Ajustes Temporarios Aliq Efetiva CSLL (Realiz)</v>
          </cell>
          <cell r="B370">
            <v>0</v>
          </cell>
        </row>
        <row r="371">
          <cell r="A371" t="str">
            <v>1111506014 Ajustes Temps Aliq Efetiva IRPJ (Realiz)</v>
          </cell>
          <cell r="B371">
            <v>0</v>
          </cell>
        </row>
        <row r="372">
          <cell r="A372" t="str">
            <v>1711505000 Cred Fisc CSLL-Bas de Cal Negativa LP (Real)</v>
          </cell>
          <cell r="B372">
            <v>3950488.47</v>
          </cell>
        </row>
        <row r="373">
          <cell r="A373" t="str">
            <v>1711505010 Cred Fisc CSLL-Dif Temp e Bas de Cal Negtiv (Real)</v>
          </cell>
          <cell r="B373">
            <v>15685482.630000001</v>
          </cell>
        </row>
        <row r="374">
          <cell r="A374" t="str">
            <v>1711506000 Cred Fisc IRPJL-Prejuizo Fiscal LP (Real)</v>
          </cell>
          <cell r="B374">
            <v>10506173.42</v>
          </cell>
        </row>
        <row r="375">
          <cell r="A375" t="str">
            <v>1711506010 Cred Fisc IRPJ-Dif Temp e Prej Fiscais (Realizado)</v>
          </cell>
          <cell r="B375">
            <v>42999556.630000003</v>
          </cell>
        </row>
        <row r="376">
          <cell r="A376" t="str">
            <v>Passivo de imposto diferido</v>
          </cell>
          <cell r="B376">
            <v>-115404164.38</v>
          </cell>
        </row>
        <row r="377">
          <cell r="A377" t="str">
            <v>2312001030 Prov p/CSLL Diferida s/Depr Fiscal LP (Realiz)</v>
          </cell>
          <cell r="B377">
            <v>-30460563.260000002</v>
          </cell>
        </row>
        <row r="378">
          <cell r="A378" t="str">
            <v>2312001040 Prov p/CSLL Diferida s/Dif Temp (Realiz)</v>
          </cell>
          <cell r="B378">
            <v>-87597.83</v>
          </cell>
        </row>
        <row r="379">
          <cell r="A379" t="str">
            <v>2312002030 Prov p/IR Diferida s/Depr Fiscal LP (Realiz)</v>
          </cell>
          <cell r="B379">
            <v>-84612675.969999999</v>
          </cell>
        </row>
        <row r="380">
          <cell r="A380" t="str">
            <v>2312002040 Prov p/IR Diferida s/Dif Temp (Realiz)</v>
          </cell>
          <cell r="B380">
            <v>-243327.32</v>
          </cell>
        </row>
        <row r="381">
          <cell r="A381" t="str">
            <v>OBRIGAÇÕES COM BENEFICIOS AOS EMPREGADOS</v>
          </cell>
          <cell r="B381">
            <v>-21935417.52</v>
          </cell>
        </row>
        <row r="382">
          <cell r="A382" t="str">
            <v>Provisão para previdência privada</v>
          </cell>
          <cell r="B382">
            <v>0</v>
          </cell>
        </row>
        <row r="383">
          <cell r="A383" t="str">
            <v>2318001010 Previdencia Privada-CVM 371 LP (Realizado)</v>
          </cell>
          <cell r="B383">
            <v>0</v>
          </cell>
        </row>
        <row r="384">
          <cell r="A384" t="str">
            <v>Provisão para assistência médica</v>
          </cell>
          <cell r="B384">
            <v>-583831.21</v>
          </cell>
        </row>
        <row r="385">
          <cell r="A385" t="str">
            <v>2319002150 Prov Nat Trab Assist Medica Aposent LP (Realizado)</v>
          </cell>
          <cell r="B385">
            <v>-583831.21</v>
          </cell>
        </row>
        <row r="386">
          <cell r="A386" t="str">
            <v>Provisão para aposentadoria compulsória</v>
          </cell>
          <cell r="B386">
            <v>-21351586.309999999</v>
          </cell>
        </row>
        <row r="387">
          <cell r="A387" t="str">
            <v>2319002100 Prov Nat Trab FGTS Aviso Prev s/Aposen Comp LP (R)</v>
          </cell>
          <cell r="B387">
            <v>-21351586.309999999</v>
          </cell>
        </row>
        <row r="388">
          <cell r="A388" t="str">
            <v>Provisão para gratificação tempo de casa</v>
          </cell>
          <cell r="B388">
            <v>0</v>
          </cell>
        </row>
        <row r="389">
          <cell r="A389" t="str">
            <v>2319002200 Prov Nat Trab Gratif Tempo Serv LP-Quinq (Realiz)</v>
          </cell>
          <cell r="B389">
            <v>0</v>
          </cell>
        </row>
        <row r="390">
          <cell r="A390" t="str">
            <v>DEMANDAS JUDICIAIS</v>
          </cell>
          <cell r="B390">
            <v>-4617492.5</v>
          </cell>
        </row>
        <row r="391">
          <cell r="A391" t="str">
            <v>Fiscais</v>
          </cell>
          <cell r="B391">
            <v>-13000058.09</v>
          </cell>
        </row>
        <row r="392">
          <cell r="A392" t="str">
            <v>2319001010 Prov Nat Trib s/Dep Gar LP-Imp,Taxs Cont Fed (R)</v>
          </cell>
          <cell r="B392">
            <v>-306350.36</v>
          </cell>
        </row>
        <row r="393">
          <cell r="A393" t="str">
            <v>2319101010 Prov Nat Trib c/Dep Gar LP-Imp,Taxas Cont Fed (R)</v>
          </cell>
          <cell r="B393">
            <v>-11084331.58</v>
          </cell>
        </row>
        <row r="394">
          <cell r="A394" t="str">
            <v>2319101030 Prov Nat Trib c/Dep em Gar LP-Imps Taxs Ctrb M (R)</v>
          </cell>
          <cell r="B394">
            <v>-1609376.15</v>
          </cell>
        </row>
        <row r="395">
          <cell r="A395" t="str">
            <v>Trabalhistas</v>
          </cell>
          <cell r="B395">
            <v>-3937813.04</v>
          </cell>
        </row>
        <row r="396">
          <cell r="A396" t="str">
            <v>2319002010 Prov Nat Trab s/Dep em Gar LP-Recl Trabalh (Real)</v>
          </cell>
          <cell r="B396">
            <v>-2049048.95</v>
          </cell>
        </row>
        <row r="397">
          <cell r="A397" t="str">
            <v>2319102030 Prov Nat Trab c/Dep em Gar LP - Previd (Realizado)</v>
          </cell>
          <cell r="B397">
            <v>-1888764.09</v>
          </cell>
        </row>
        <row r="398">
          <cell r="A398" t="str">
            <v>Ambientais</v>
          </cell>
          <cell r="B398">
            <v>-664093.18999999994</v>
          </cell>
        </row>
        <row r="399">
          <cell r="A399" t="str">
            <v>2319003100 Prov Nat Op Desp Amb Trat Subsolo LP (Realiz)</v>
          </cell>
          <cell r="B399">
            <v>-664093.18999999994</v>
          </cell>
        </row>
        <row r="400">
          <cell r="A400" t="str">
            <v>Outras perdas possiveis</v>
          </cell>
          <cell r="B400">
            <v>-1598000</v>
          </cell>
        </row>
        <row r="401">
          <cell r="A401" t="str">
            <v>2319003900 Prov Nat Op Outras Desps LP (Realiz)</v>
          </cell>
          <cell r="B401">
            <v>-1598000</v>
          </cell>
        </row>
        <row r="402">
          <cell r="A402" t="str">
            <v>Depósitos judiciais</v>
          </cell>
          <cell r="B402">
            <v>14582471.82</v>
          </cell>
        </row>
        <row r="403">
          <cell r="A403" t="str">
            <v>1719101010 Dep Jud c/ Reserv-Imp,Taxas e Contrib Fed (Realiz)</v>
          </cell>
          <cell r="B403">
            <v>11084331.58</v>
          </cell>
        </row>
        <row r="404">
          <cell r="A404" t="str">
            <v>1719101030 Dep Jud c/Res-Imp, Taxas e Contrib Munic (Realiz)</v>
          </cell>
          <cell r="B404">
            <v>1609376.15</v>
          </cell>
        </row>
        <row r="405">
          <cell r="A405" t="str">
            <v>1719102030 Dep Judiciais c/Res -Previdenciarios (Realizado)</v>
          </cell>
          <cell r="B405">
            <v>1888764.09</v>
          </cell>
        </row>
        <row r="406">
          <cell r="A406" t="str">
            <v>PATRIMÔNIO LÍQUIDO</v>
          </cell>
          <cell r="B406">
            <v>-755996573.60000002</v>
          </cell>
        </row>
        <row r="407">
          <cell r="A407" t="str">
            <v>CAPITAL SOCIAL</v>
          </cell>
          <cell r="B407">
            <v>-384330953.12</v>
          </cell>
        </row>
        <row r="408">
          <cell r="A408" t="str">
            <v>Capital Subscrito</v>
          </cell>
          <cell r="B408">
            <v>-384330953.12</v>
          </cell>
        </row>
        <row r="409">
          <cell r="A409" t="str">
            <v>2710101010 Capital  Subs Domic e Resids no Pais (Realizado)</v>
          </cell>
          <cell r="B409">
            <v>-384330953.12</v>
          </cell>
        </row>
        <row r="410">
          <cell r="A410" t="str">
            <v>AÇÕES EM TESOURARIA</v>
          </cell>
          <cell r="B410">
            <v>14879117.300000001</v>
          </cell>
        </row>
        <row r="411">
          <cell r="A411" t="str">
            <v>Preferenciais</v>
          </cell>
          <cell r="B411">
            <v>14397516.449999999</v>
          </cell>
        </row>
        <row r="412">
          <cell r="A412" t="str">
            <v>2760101010 Acoes Preferenciais em Tesouraria</v>
          </cell>
          <cell r="B412">
            <v>14397516.449999999</v>
          </cell>
        </row>
        <row r="413">
          <cell r="A413" t="str">
            <v>Ordinárias</v>
          </cell>
          <cell r="B413">
            <v>481600.85</v>
          </cell>
        </row>
        <row r="414">
          <cell r="A414" t="str">
            <v>2760101020 Acoes Ordinarias em Tesouraria</v>
          </cell>
          <cell r="B414">
            <v>481600.85</v>
          </cell>
        </row>
        <row r="415">
          <cell r="A415" t="str">
            <v>RESERVA DE CAPITAL</v>
          </cell>
          <cell r="B415">
            <v>-79.84</v>
          </cell>
        </row>
        <row r="416">
          <cell r="A416" t="str">
            <v>Reserva de capital</v>
          </cell>
          <cell r="B416">
            <v>-79.84</v>
          </cell>
        </row>
        <row r="417">
          <cell r="A417" t="str">
            <v>2740101010 Reservas de Capital (Realizado)</v>
          </cell>
          <cell r="B417">
            <v>-79.84</v>
          </cell>
        </row>
        <row r="418">
          <cell r="A418" t="str">
            <v>RESERVAS DE LUCROS</v>
          </cell>
          <cell r="B418">
            <v>-377335726.04000002</v>
          </cell>
        </row>
        <row r="419">
          <cell r="A419" t="str">
            <v>Reserva legal</v>
          </cell>
          <cell r="B419">
            <v>-24779242.579999998</v>
          </cell>
        </row>
        <row r="420">
          <cell r="A420" t="str">
            <v>2740201010 Reserva Legal (Realizado)</v>
          </cell>
          <cell r="B420">
            <v>-24779242.579999998</v>
          </cell>
        </row>
        <row r="421">
          <cell r="A421" t="str">
            <v>Reserva especial para dividendos</v>
          </cell>
          <cell r="B421">
            <v>-19851666.579999998</v>
          </cell>
        </row>
        <row r="422">
          <cell r="A422" t="str">
            <v>2740203010 Reserva Especial p/Dividendos (Realizado)</v>
          </cell>
          <cell r="B422">
            <v>-19851666.579999998</v>
          </cell>
        </row>
        <row r="423">
          <cell r="A423" t="str">
            <v>Reserva de retenção de lucros</v>
          </cell>
          <cell r="B423">
            <v>-65501137.25</v>
          </cell>
        </row>
        <row r="424">
          <cell r="A424" t="str">
            <v>2740202000 Reserva Est-Ret de Lucros An Anteriores (Realiz)</v>
          </cell>
          <cell r="B424">
            <v>-24486137.25</v>
          </cell>
        </row>
        <row r="425">
          <cell r="A425" t="str">
            <v>2740202010 Reserva Est-Ret de Lucros Exer de 2.004 (Realiz)</v>
          </cell>
          <cell r="B425">
            <v>-25283789.18</v>
          </cell>
        </row>
        <row r="426">
          <cell r="A426" t="str">
            <v>2740202020 Reserva Est-Ret de Lucros Exer de 2.005 (Realiz)</v>
          </cell>
          <cell r="B426">
            <v>-14883063.91</v>
          </cell>
        </row>
        <row r="427">
          <cell r="A427" t="str">
            <v>2740202030 Reserva Est-Ret de Lucros Exer de 2.006 (Realiz)</v>
          </cell>
          <cell r="B427">
            <v>-5803674.1399999997</v>
          </cell>
        </row>
        <row r="428">
          <cell r="A428" t="str">
            <v>2740202040 Reserva Est-Ret de Lucros Exer de 2.007 (Realiz)</v>
          </cell>
          <cell r="B428">
            <v>-36691613.549999997</v>
          </cell>
        </row>
        <row r="429">
          <cell r="A429" t="str">
            <v>2740202050 Reserva Est-Ret de Lucros Exer de 2.008 (Realiz)</v>
          </cell>
          <cell r="B429">
            <v>-50859461.670000002</v>
          </cell>
        </row>
        <row r="430">
          <cell r="A430" t="str">
            <v>2740202060 Reserva Est-Ret de Lucros Exer de 2.009 (Realiz)</v>
          </cell>
          <cell r="B430">
            <v>-9757081.9499999993</v>
          </cell>
        </row>
        <row r="431">
          <cell r="A431" t="str">
            <v>2740202070 Reserva Est-Ret de Lucros Exer de 2.010 (Realiz)</v>
          </cell>
          <cell r="B431">
            <v>-27749982.41</v>
          </cell>
        </row>
        <row r="432">
          <cell r="A432" t="str">
            <v>2740202080 Reserva Est-Ret de Lucros Exer de 2.011 (Realiz)</v>
          </cell>
          <cell r="B432">
            <v>-1651686.78</v>
          </cell>
        </row>
        <row r="433">
          <cell r="A433" t="str">
            <v>2740202090 Reserva Est-Ret de Lucros Exer de  2.012 (Realiz)</v>
          </cell>
          <cell r="B433">
            <v>-8623945.3599999994</v>
          </cell>
        </row>
        <row r="434">
          <cell r="A434" t="str">
            <v>2740202100 Reserva Est-Ret de Lucros Exer de 2.013 (Realiz)</v>
          </cell>
          <cell r="B434">
            <v>-41015000</v>
          </cell>
        </row>
        <row r="435">
          <cell r="A435" t="str">
            <v>2740202990 Reversão Reserva Estatutaria de Retenção de Lucros</v>
          </cell>
          <cell r="B435">
            <v>181304298.94999999</v>
          </cell>
        </row>
        <row r="436">
          <cell r="A436" t="str">
            <v>Reserva de lucros a realizar</v>
          </cell>
          <cell r="B436">
            <v>-267203679.63</v>
          </cell>
        </row>
        <row r="437">
          <cell r="A437" t="str">
            <v>2740204010 Reserva de Lucros a Realizar (Realizado)</v>
          </cell>
          <cell r="B437">
            <v>-267203679.63</v>
          </cell>
        </row>
        <row r="438">
          <cell r="A438" t="str">
            <v>OUTROS RESULTADOS ABRANGENTES DO PERIODO</v>
          </cell>
          <cell r="B438">
            <v>-172398.09</v>
          </cell>
        </row>
        <row r="439">
          <cell r="A439" t="str">
            <v>Ajuste às normas internacionais de contab.</v>
          </cell>
          <cell r="B439">
            <v>-172398.09</v>
          </cell>
        </row>
        <row r="440">
          <cell r="A440" t="str">
            <v>2750101010 Ajs as Normas Internac de Contab (Realizado)</v>
          </cell>
          <cell r="B440">
            <v>-1378832</v>
          </cell>
        </row>
        <row r="441">
          <cell r="A441" t="str">
            <v>2750102010 (-)Ajs as Normas Internac de Contab (Realizado)</v>
          </cell>
          <cell r="B441">
            <v>1206433.9099999999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1">
          <cell r="A1" t="str">
            <v>Balanço/item cálc.lucros e vendas/conta</v>
          </cell>
          <cell r="B1" t="str">
            <v xml:space="preserve">       TotPerRel.</v>
          </cell>
        </row>
        <row r="2">
          <cell r="A2" t="str">
            <v>ATIVO</v>
          </cell>
          <cell r="B2">
            <v>1667688504.3900001</v>
          </cell>
        </row>
        <row r="3">
          <cell r="A3" t="str">
            <v>CIRCULANTE</v>
          </cell>
          <cell r="B3">
            <v>330785855.47000003</v>
          </cell>
        </row>
        <row r="4">
          <cell r="A4" t="str">
            <v>CAIXA E EQUIVALENTE DE CAIXA</v>
          </cell>
          <cell r="B4">
            <v>106852365.15000001</v>
          </cell>
        </row>
        <row r="5">
          <cell r="A5" t="str">
            <v>Recursos em caixa e contas correntes bancária</v>
          </cell>
          <cell r="B5">
            <v>924815.17</v>
          </cell>
        </row>
        <row r="6">
          <cell r="A6" t="str">
            <v>1110102030 Banco Itau (Realizado)</v>
          </cell>
          <cell r="B6">
            <v>806029.08</v>
          </cell>
        </row>
        <row r="7">
          <cell r="A7" t="str">
            <v>1110102040 Banco Santander (Realizado)</v>
          </cell>
          <cell r="B7">
            <v>96459.23</v>
          </cell>
        </row>
        <row r="8">
          <cell r="A8" t="str">
            <v>1110102080 Banco Votorantin (Realizado)</v>
          </cell>
          <cell r="B8">
            <v>308.85000000000002</v>
          </cell>
        </row>
        <row r="9">
          <cell r="A9" t="str">
            <v>1110102100 Banco Pactual S.A.(Realizado)</v>
          </cell>
          <cell r="B9">
            <v>1759.2</v>
          </cell>
        </row>
        <row r="10">
          <cell r="A10" t="str">
            <v>1110102120 Banco Alfa de Investimentos S.A. (Realizado)</v>
          </cell>
          <cell r="B10">
            <v>5772.25</v>
          </cell>
        </row>
        <row r="11">
          <cell r="A11" t="str">
            <v>1110102150 Banco Espírito Santo S.A. - BES (Realizado)</v>
          </cell>
          <cell r="B11">
            <v>0</v>
          </cell>
        </row>
        <row r="12">
          <cell r="A12" t="str">
            <v>1110102210 Banco do Brasil  (Realizado)</v>
          </cell>
          <cell r="B12">
            <v>905.26</v>
          </cell>
        </row>
        <row r="13">
          <cell r="A13" t="str">
            <v>1110102220 Banco Bradesco (Realizado)</v>
          </cell>
          <cell r="B13">
            <v>796.32</v>
          </cell>
        </row>
        <row r="14">
          <cell r="A14" t="str">
            <v>1110102240 Banco Santander (Realizado)</v>
          </cell>
          <cell r="B14">
            <v>7003.05</v>
          </cell>
        </row>
        <row r="15">
          <cell r="A15" t="str">
            <v>1110102250 Caixa Economica Federal (Realizado)</v>
          </cell>
          <cell r="B15">
            <v>463.43</v>
          </cell>
        </row>
        <row r="16">
          <cell r="A16" t="str">
            <v>1110102270 Banco Safra (Realizado)</v>
          </cell>
          <cell r="B16">
            <v>1987.37</v>
          </cell>
        </row>
        <row r="17">
          <cell r="A17" t="str">
            <v>1110102290 Banco Paulista (Realizado)</v>
          </cell>
          <cell r="B17">
            <v>624.41</v>
          </cell>
        </row>
        <row r="18">
          <cell r="A18" t="str">
            <v>1110102320 Banco Bradesco (Realizado)</v>
          </cell>
          <cell r="B18">
            <v>1937.43</v>
          </cell>
        </row>
        <row r="19">
          <cell r="A19" t="str">
            <v>1110102350 Caixa Economica Federal (Realizado)</v>
          </cell>
          <cell r="B19">
            <v>769.29</v>
          </cell>
        </row>
        <row r="20">
          <cell r="A20" t="str">
            <v>Aplicações Financeiras (CDBs)</v>
          </cell>
          <cell r="B20">
            <v>105927549.98</v>
          </cell>
        </row>
        <row r="21">
          <cell r="A21" t="str">
            <v>1110105010 Aplicaçoes Financeiras (Realizado)</v>
          </cell>
          <cell r="B21">
            <v>105927549.98</v>
          </cell>
        </row>
        <row r="22">
          <cell r="A22" t="str">
            <v>APLICAÇÕES FINANCEIRAS</v>
          </cell>
          <cell r="B22">
            <v>88533575.180000007</v>
          </cell>
        </row>
        <row r="23">
          <cell r="A23" t="str">
            <v>Mantidos para negociação</v>
          </cell>
          <cell r="B23">
            <v>88533575.180000007</v>
          </cell>
        </row>
        <row r="24">
          <cell r="A24" t="str">
            <v>1110201010 Tits do Merc de Cap Inter Mant p/ Neg (Realizado)</v>
          </cell>
          <cell r="B24">
            <v>88533575.180000007</v>
          </cell>
        </row>
        <row r="25">
          <cell r="A25" t="str">
            <v>DUPLICATAS A RECEBER DE CLIENTES</v>
          </cell>
          <cell r="B25">
            <v>81272527.689999998</v>
          </cell>
        </row>
        <row r="26">
          <cell r="A26" t="str">
            <v>Clientes nacionais</v>
          </cell>
          <cell r="B26">
            <v>95395666.400000006</v>
          </cell>
        </row>
        <row r="27">
          <cell r="A27" t="str">
            <v>1110501010 Duplicatas a Receber no MI  (Realizado)</v>
          </cell>
          <cell r="B27">
            <v>96737316.519999996</v>
          </cell>
        </row>
        <row r="28">
          <cell r="A28" t="str">
            <v>1110501011 Duplicatas a Receber no MI (Parcela de CP / LP)</v>
          </cell>
          <cell r="B28">
            <v>-1191619.8600000001</v>
          </cell>
        </row>
        <row r="29">
          <cell r="A29" t="str">
            <v>1110501014 (-)Rec Financeira a apropriar s/Dups a Rec no MI</v>
          </cell>
          <cell r="B29">
            <v>-150030.26</v>
          </cell>
        </row>
        <row r="30">
          <cell r="A30" t="str">
            <v>PCLD</v>
          </cell>
          <cell r="B30">
            <v>-14123138.710000001</v>
          </cell>
        </row>
        <row r="31">
          <cell r="A31" t="str">
            <v>1110501900 (-) Provisões para Créditos de Liquidação Duvidosa</v>
          </cell>
          <cell r="B31">
            <v>-14123138.710000001</v>
          </cell>
        </row>
        <row r="32">
          <cell r="A32" t="str">
            <v>IMPOSTOS A RECUPERAR</v>
          </cell>
          <cell r="B32">
            <v>13525037.949999999</v>
          </cell>
        </row>
        <row r="33">
          <cell r="A33" t="str">
            <v>Impostos de renda e CSLL</v>
          </cell>
          <cell r="B33">
            <v>1761241.08</v>
          </cell>
        </row>
        <row r="34">
          <cell r="A34" t="str">
            <v>1111506020 IRRF sobre Aplicaçoes Financeiras (Realizado)</v>
          </cell>
          <cell r="B34">
            <v>1721828.55</v>
          </cell>
        </row>
        <row r="35">
          <cell r="A35" t="str">
            <v>1111506990 Cred Fisc IRPJ Sdo Negativo Per Anterior (Realiz)</v>
          </cell>
          <cell r="B35">
            <v>39412.53</v>
          </cell>
        </row>
        <row r="36">
          <cell r="A36" t="str">
            <v>ICMS a recuperar</v>
          </cell>
          <cell r="B36">
            <v>1996945.78</v>
          </cell>
        </row>
        <row r="37">
          <cell r="A37" t="str">
            <v>1111507010 ICMS a Recup sobre Ativo Permanente (Realizado)</v>
          </cell>
          <cell r="B37">
            <v>2284957.7200000002</v>
          </cell>
        </row>
        <row r="38">
          <cell r="A38" t="str">
            <v>1111507014 (-)AVP sobre ICMS a Recup sobre Ativo Permanente</v>
          </cell>
          <cell r="B38">
            <v>-288011.94</v>
          </cell>
        </row>
        <row r="39">
          <cell r="A39" t="str">
            <v>INSS a compensar</v>
          </cell>
          <cell r="B39">
            <v>4713719.95</v>
          </cell>
        </row>
        <row r="40">
          <cell r="A40" t="str">
            <v>1111599070 INSS a Compensar  - Decisão Judicial (Realizado)</v>
          </cell>
          <cell r="B40">
            <v>4713719.95</v>
          </cell>
        </row>
        <row r="41">
          <cell r="A41" t="str">
            <v>PIS a compensar Lei nº 9.715</v>
          </cell>
          <cell r="B41">
            <v>3152929.1</v>
          </cell>
        </row>
        <row r="42">
          <cell r="A42" t="str">
            <v>1111599000 PIS a Compensar Lei 9715 (Realizado)</v>
          </cell>
          <cell r="B42">
            <v>3152929.1</v>
          </cell>
        </row>
        <row r="43">
          <cell r="A43" t="str">
            <v>Outros</v>
          </cell>
          <cell r="B43">
            <v>1900202.04</v>
          </cell>
        </row>
        <row r="44">
          <cell r="A44" t="str">
            <v>1111599010 Imp Import a Rec-Recolhimento em Dupl (Realiz)</v>
          </cell>
          <cell r="B44">
            <v>232231.19</v>
          </cell>
        </row>
        <row r="45">
          <cell r="A45" t="str">
            <v>1111599020 INSS a Rec-Recolhimento em Duplicidade (Realizado)</v>
          </cell>
          <cell r="B45">
            <v>343643.14</v>
          </cell>
        </row>
        <row r="46">
          <cell r="A46" t="str">
            <v>1111599030 Adic Estadual doImposto de Renda a Rec (Realizado)</v>
          </cell>
          <cell r="B46">
            <v>1251533.5</v>
          </cell>
        </row>
        <row r="47">
          <cell r="A47" t="str">
            <v>1111599040 FINSOCIAL 1982/83 (Realizado)</v>
          </cell>
          <cell r="B47">
            <v>67054.64</v>
          </cell>
        </row>
        <row r="48">
          <cell r="A48" t="str">
            <v>1111599080 ISS a restituir</v>
          </cell>
          <cell r="B48">
            <v>5739.52</v>
          </cell>
        </row>
        <row r="49">
          <cell r="A49" t="str">
            <v>1111599100 Recuperação de Impostos Federais - Reintegra</v>
          </cell>
          <cell r="B49">
            <v>0.05</v>
          </cell>
        </row>
        <row r="50">
          <cell r="A50" t="str">
            <v>ESTOQUES</v>
          </cell>
          <cell r="B50">
            <v>27504467.949999999</v>
          </cell>
        </row>
        <row r="51">
          <cell r="A51" t="str">
            <v>Matérias-primas</v>
          </cell>
          <cell r="B51">
            <v>48672.09</v>
          </cell>
        </row>
        <row r="52">
          <cell r="A52" t="str">
            <v>1112090010 Importaçoes em And de Materias Primas (Realizado)</v>
          </cell>
          <cell r="B52">
            <v>48672.09</v>
          </cell>
        </row>
        <row r="53">
          <cell r="A53" t="str">
            <v>Produtos em processo</v>
          </cell>
          <cell r="B53">
            <v>14667233.029999999</v>
          </cell>
        </row>
        <row r="54">
          <cell r="A54" t="str">
            <v>1112003010 Estoques de Produtos em Elaboraçao (Realizado)</v>
          </cell>
          <cell r="B54">
            <v>14667233.029999999</v>
          </cell>
        </row>
        <row r="55">
          <cell r="A55" t="str">
            <v>Produtos Acabados</v>
          </cell>
          <cell r="B55">
            <v>5136027.4800000004</v>
          </cell>
        </row>
        <row r="56">
          <cell r="A56" t="str">
            <v>1112010010 Estoques de Produtos Acabados (Realizado)</v>
          </cell>
          <cell r="B56">
            <v>5101726.6100000003</v>
          </cell>
        </row>
        <row r="57">
          <cell r="A57" t="str">
            <v>1112050010 Estoques de Mercadorias Rev Nacionais (Realizado)</v>
          </cell>
          <cell r="B57">
            <v>33228.15</v>
          </cell>
        </row>
        <row r="58">
          <cell r="A58" t="str">
            <v>1112050020 Estoques de Mercadorias Rev Importadas (Realizado)</v>
          </cell>
          <cell r="B58">
            <v>1072.72</v>
          </cell>
        </row>
        <row r="59">
          <cell r="A59" t="str">
            <v>Provisão para desvalorização</v>
          </cell>
          <cell r="B59">
            <v>-483656.63</v>
          </cell>
        </row>
        <row r="60">
          <cell r="A60" t="str">
            <v>1112010014 (-)Prov p/ Aj. do Est ao Vlr de Merc - Prods Acab</v>
          </cell>
          <cell r="B60">
            <v>-483656.63</v>
          </cell>
        </row>
        <row r="61">
          <cell r="A61" t="str">
            <v>Materiais auxiliares e embalagens</v>
          </cell>
          <cell r="B61">
            <v>2453896.36</v>
          </cell>
        </row>
        <row r="62">
          <cell r="A62" t="str">
            <v>1112005010 Estoques de Insumos (Mat-Aux) (Realiz)</v>
          </cell>
          <cell r="B62">
            <v>2329840.42</v>
          </cell>
        </row>
        <row r="63">
          <cell r="A63" t="str">
            <v>1112008010 Estoques de Materiais de Embalagens (Realizado)</v>
          </cell>
          <cell r="B63">
            <v>124055.94</v>
          </cell>
        </row>
        <row r="64">
          <cell r="A64" t="str">
            <v>Materiais de manutenção e outros</v>
          </cell>
          <cell r="B64">
            <v>5682295.6200000001</v>
          </cell>
        </row>
        <row r="65">
          <cell r="A65" t="str">
            <v>1112020020 Estoque Almoxarif CP-Manutençao Eletrica (Realiz)</v>
          </cell>
          <cell r="B65">
            <v>1794102.66</v>
          </cell>
        </row>
        <row r="66">
          <cell r="A66" t="str">
            <v>1112020030 Estoque Almoxarif CP-Manutençao Mecanica (Realiz)</v>
          </cell>
          <cell r="B66">
            <v>5664112.9100000001</v>
          </cell>
        </row>
        <row r="67">
          <cell r="A67" t="str">
            <v>1112020050 Estoq Alm CP-Manut Calderaria e Tubulaçao (Realiz)</v>
          </cell>
          <cell r="B67">
            <v>4602352.26</v>
          </cell>
        </row>
        <row r="68">
          <cell r="A68" t="str">
            <v>1112020060 Estoque Alm CP-Manutençao Instrumentaçao (Realiz)</v>
          </cell>
          <cell r="B68">
            <v>4239586.8600000003</v>
          </cell>
        </row>
        <row r="69">
          <cell r="A69" t="str">
            <v>1112020070 Estoque Alm CP-Manutençao Celula HG (Realizado)</v>
          </cell>
          <cell r="B69">
            <v>511435.12</v>
          </cell>
        </row>
        <row r="70">
          <cell r="A70" t="str">
            <v>1112020080 Estoque Almo CP-Manut Celula Diafragma (Realizado)</v>
          </cell>
          <cell r="B70">
            <v>1326494.5900000001</v>
          </cell>
        </row>
        <row r="71">
          <cell r="A71" t="str">
            <v>1112020090 Estoque Alm CP-Manutençao Celula Membrana (Realiz)</v>
          </cell>
          <cell r="B71">
            <v>11832.75</v>
          </cell>
        </row>
        <row r="72">
          <cell r="A72" t="str">
            <v>1112020100 Estoque Alm CP-Manut.de Cilindros e Carretas R</v>
          </cell>
          <cell r="B72">
            <v>131286.65</v>
          </cell>
        </row>
        <row r="73">
          <cell r="A73" t="str">
            <v>1112020490 Estoque Almo CP-Manutençao em Geral (Realizado)</v>
          </cell>
          <cell r="B73">
            <v>651.25</v>
          </cell>
        </row>
        <row r="74">
          <cell r="A74" t="str">
            <v>1112020500 Estoque Alm CP-Almoxarifado de Uso Geral (Realiz)</v>
          </cell>
          <cell r="B74">
            <v>305857.89</v>
          </cell>
        </row>
        <row r="75">
          <cell r="A75" t="str">
            <v>1112020991 Estoque Almoxarifado Transf. Parcela Realizada L.P</v>
          </cell>
          <cell r="B75">
            <v>-13008757.66</v>
          </cell>
        </row>
        <row r="76">
          <cell r="A76" t="str">
            <v>1112080200 Etq de Outros Mats-Almox em Poder de Ters (Realiz)</v>
          </cell>
          <cell r="B76">
            <v>103340.34</v>
          </cell>
        </row>
        <row r="77">
          <cell r="A77" t="str">
            <v>DESPESAS DE EXERCICIO SEGUINTE</v>
          </cell>
          <cell r="B77">
            <v>2773714.46</v>
          </cell>
        </row>
        <row r="78">
          <cell r="A78" t="str">
            <v>Pagamentos Antecipados</v>
          </cell>
          <cell r="B78">
            <v>2773714.46</v>
          </cell>
        </row>
        <row r="79">
          <cell r="A79" t="str">
            <v>1119001010 Pagamentos Antecipados-Seguros (Realizado)</v>
          </cell>
          <cell r="B79">
            <v>813617.32</v>
          </cell>
        </row>
        <row r="80">
          <cell r="A80" t="str">
            <v>1119001030 Pagamentos Antecip-Serv Tecnicos Prof (Realizado)</v>
          </cell>
          <cell r="B80">
            <v>520041</v>
          </cell>
        </row>
        <row r="81">
          <cell r="A81" t="str">
            <v>1119001040 Pagamentos Antecipados-Impostos (Realizado)</v>
          </cell>
          <cell r="B81">
            <v>1332400.1399999999</v>
          </cell>
        </row>
        <row r="82">
          <cell r="A82" t="str">
            <v>1119001900 Pagtos Antecip-Outras Desps/Custos(Realizado)</v>
          </cell>
          <cell r="B82">
            <v>107656</v>
          </cell>
        </row>
        <row r="83">
          <cell r="A83" t="str">
            <v>OUTROS ATIVOS CIRCULANTE</v>
          </cell>
          <cell r="B83">
            <v>10324167.09</v>
          </cell>
        </row>
        <row r="84">
          <cell r="A84" t="str">
            <v>Adiantamento a Fornecedores</v>
          </cell>
          <cell r="B84">
            <v>4270793.0199999996</v>
          </cell>
        </row>
        <row r="85">
          <cell r="A85" t="str">
            <v>1118001010 Adiantamentos a Fornec de Serviços (Realizado)</v>
          </cell>
          <cell r="B85">
            <v>287219.23</v>
          </cell>
        </row>
        <row r="86">
          <cell r="A86" t="str">
            <v>1118001020 Adiantamentos a Fornecedores de MP (Realizado)</v>
          </cell>
          <cell r="B86">
            <v>3719842.62</v>
          </cell>
        </row>
        <row r="87">
          <cell r="A87" t="str">
            <v>1118001040 Adiant  Fornecs de Materias de Consumo (Realizado)</v>
          </cell>
          <cell r="B87">
            <v>142086.67000000001</v>
          </cell>
        </row>
        <row r="88">
          <cell r="A88" t="str">
            <v>1118001050 Adiant Fornecs de Funcionarios (Realizado)</v>
          </cell>
          <cell r="B88">
            <v>16946.64</v>
          </cell>
        </row>
        <row r="89">
          <cell r="A89" t="str">
            <v>1118001060 Adiantamentos a Fornecedores de Fretes</v>
          </cell>
          <cell r="B89">
            <v>41473.279999999999</v>
          </cell>
        </row>
        <row r="90">
          <cell r="A90" t="str">
            <v>1118001070 Adiantamentos a Fornecedores do Exterior</v>
          </cell>
          <cell r="B90">
            <v>60369.11</v>
          </cell>
        </row>
        <row r="91">
          <cell r="A91" t="str">
            <v>1118001080 Adiantamentos a Fornecedores Impostos e Contribuiç</v>
          </cell>
          <cell r="B91">
            <v>2855.47</v>
          </cell>
        </row>
        <row r="92">
          <cell r="A92" t="str">
            <v>Créditos a receber na venda de ativos</v>
          </cell>
          <cell r="B92">
            <v>5326485.96</v>
          </cell>
        </row>
        <row r="93">
          <cell r="A93" t="str">
            <v>1118099060 Outros Créditos- Contratos a Receber (Realizado)</v>
          </cell>
          <cell r="B93">
            <v>5326485.96</v>
          </cell>
        </row>
        <row r="94">
          <cell r="A94" t="str">
            <v>Outros Créditos</v>
          </cell>
          <cell r="B94">
            <v>726888.11</v>
          </cell>
        </row>
        <row r="95">
          <cell r="A95" t="str">
            <v>1118002010 Adiantamentos a Empregados Salarios (Realizado)</v>
          </cell>
          <cell r="B95">
            <v>0</v>
          </cell>
        </row>
        <row r="96">
          <cell r="A96" t="str">
            <v>1118002020 Adiantamentos a Empregados 13º Salario (Realizado)</v>
          </cell>
          <cell r="B96">
            <v>365680.33</v>
          </cell>
        </row>
        <row r="97">
          <cell r="A97" t="str">
            <v>1118002030 Adiantamentos a Empregados Ferias (Realizado)</v>
          </cell>
          <cell r="B97">
            <v>170373.83</v>
          </cell>
        </row>
        <row r="98">
          <cell r="A98" t="str">
            <v>1118002050 Adiant a Empregados Plano Auxilio Doen (Realizado)</v>
          </cell>
          <cell r="B98">
            <v>6950</v>
          </cell>
        </row>
        <row r="99">
          <cell r="A99" t="str">
            <v>1118002060 Adto a Empregados Cobertura de Sdo Devedor (R)</v>
          </cell>
          <cell r="B99">
            <v>13386.92</v>
          </cell>
        </row>
        <row r="100">
          <cell r="A100" t="str">
            <v>1118002090 Adto a Empregados Desp de Resp de Funcionario (R)</v>
          </cell>
          <cell r="B100">
            <v>2982.61</v>
          </cell>
        </row>
        <row r="101">
          <cell r="A101" t="str">
            <v>1118099020 Outros Creditos-Depositos e Cauçoes (Realizado)</v>
          </cell>
          <cell r="B101">
            <v>167514.42000000001</v>
          </cell>
        </row>
        <row r="102">
          <cell r="A102" t="str">
            <v>NÃO CIRCULANTE</v>
          </cell>
          <cell r="B102">
            <v>112155060.63</v>
          </cell>
        </row>
        <row r="103">
          <cell r="A103" t="str">
            <v>APLICAÇÕES FINANCEIRAS</v>
          </cell>
          <cell r="B103">
            <v>47969794</v>
          </cell>
        </row>
        <row r="104">
          <cell r="A104" t="str">
            <v>Mantidos para negociação</v>
          </cell>
          <cell r="B104">
            <v>47969794</v>
          </cell>
        </row>
        <row r="105">
          <cell r="A105" t="str">
            <v>1710201010 Tits do Merc de Cap Inter Mant p/ Neg  LP(R)</v>
          </cell>
          <cell r="B105">
            <v>47969794</v>
          </cell>
        </row>
        <row r="106">
          <cell r="A106" t="str">
            <v>DUPLICATAS A RECEBER DE CLIENTES</v>
          </cell>
          <cell r="B106">
            <v>1155849.8700000001</v>
          </cell>
        </row>
        <row r="107">
          <cell r="A107" t="str">
            <v>Clientes nacionais</v>
          </cell>
          <cell r="B107">
            <v>1155849.8700000001</v>
          </cell>
        </row>
        <row r="108">
          <cell r="A108" t="str">
            <v>1710501011 Duplicatas a Receber no MI LP (Parcela de CP / LP)</v>
          </cell>
          <cell r="B108">
            <v>1191619.8600000001</v>
          </cell>
        </row>
        <row r="109">
          <cell r="A109" t="str">
            <v>1710501014 (-)Rec Fin a apr s/ Dups a Rec no MI LP (P CP/LP)</v>
          </cell>
          <cell r="B109">
            <v>-35769.99</v>
          </cell>
        </row>
        <row r="110">
          <cell r="A110" t="str">
            <v>IMPOSTOS A RECUPERAR</v>
          </cell>
          <cell r="B110">
            <v>3007052.93</v>
          </cell>
        </row>
        <row r="111">
          <cell r="A111" t="str">
            <v>ICMS a Recuperar</v>
          </cell>
          <cell r="B111">
            <v>2738834.37</v>
          </cell>
        </row>
        <row r="112">
          <cell r="A112" t="str">
            <v>1711507010 ICMS a Recuperar s/e Ativo Permanet LP (Realizado)</v>
          </cell>
          <cell r="B112">
            <v>2833874.51</v>
          </cell>
        </row>
        <row r="113">
          <cell r="A113" t="str">
            <v>1711507014 (-)AVP s/ ICMS a Recuperar s/ Ativo Permanente LP</v>
          </cell>
          <cell r="B113">
            <v>-95040.14</v>
          </cell>
        </row>
        <row r="114">
          <cell r="A114" t="str">
            <v>Outros</v>
          </cell>
          <cell r="B114">
            <v>268218.56</v>
          </cell>
        </row>
        <row r="115">
          <cell r="A115" t="str">
            <v>1711599040 FINSOCIAL 1982/83 (Realizado)</v>
          </cell>
          <cell r="B115">
            <v>268218.56</v>
          </cell>
        </row>
        <row r="116">
          <cell r="A116" t="str">
            <v>ESTOQUES</v>
          </cell>
          <cell r="B116">
            <v>13008757.66</v>
          </cell>
        </row>
        <row r="117">
          <cell r="A117" t="str">
            <v>Materiais de Almoxarifado de Giro Baixo</v>
          </cell>
          <cell r="B117">
            <v>13008757.66</v>
          </cell>
        </row>
        <row r="118">
          <cell r="A118" t="str">
            <v>1712020991 Estoque Almoxarifado Parcela Realizada LP</v>
          </cell>
          <cell r="B118">
            <v>13008757.66</v>
          </cell>
        </row>
        <row r="119">
          <cell r="A119" t="str">
            <v>DEPÓSITOS JUDICIAIS</v>
          </cell>
          <cell r="B119">
            <v>47013606.170000002</v>
          </cell>
        </row>
        <row r="120">
          <cell r="A120" t="str">
            <v>Tributários</v>
          </cell>
          <cell r="B120">
            <v>9044169.7300000004</v>
          </cell>
        </row>
        <row r="121">
          <cell r="A121" t="str">
            <v>1719001010 Dep Jud s/Res Trib Fed R</v>
          </cell>
          <cell r="B121">
            <v>7884493.1200000001</v>
          </cell>
        </row>
        <row r="122">
          <cell r="A122" t="str">
            <v>1719001011 ATM Dep Jud s/Res Trib Fed R</v>
          </cell>
          <cell r="B122">
            <v>803045.84</v>
          </cell>
        </row>
        <row r="123">
          <cell r="A123" t="str">
            <v>1719001030 Depos Jud s/Reserva-Imp, Taxas e Contrib Munic (R)</v>
          </cell>
          <cell r="B123">
            <v>356630.77</v>
          </cell>
        </row>
        <row r="124">
          <cell r="A124" t="str">
            <v>Trabalhistas</v>
          </cell>
          <cell r="B124">
            <v>4678325.45</v>
          </cell>
        </row>
        <row r="125">
          <cell r="A125" t="str">
            <v>1719002010 Depos Jud s/Reserva-Reclamaçoes Trab (Realizado)</v>
          </cell>
          <cell r="B125">
            <v>2893601.77</v>
          </cell>
        </row>
        <row r="126">
          <cell r="A126" t="str">
            <v>1719002030 Dep Judiciais s/Res -Previdenciarios (Realizado)</v>
          </cell>
          <cell r="B126">
            <v>1784723.68</v>
          </cell>
        </row>
        <row r="127">
          <cell r="A127" t="str">
            <v>Outros depósitos judiciais</v>
          </cell>
          <cell r="B127">
            <v>33291110.989999998</v>
          </cell>
        </row>
        <row r="128">
          <cell r="A128" t="str">
            <v>1719003990 Outros Dep Judic s/Reserva de Nat Oper (Realizado)</v>
          </cell>
          <cell r="B128">
            <v>28307938.91</v>
          </cell>
        </row>
        <row r="129">
          <cell r="A129" t="str">
            <v>1719003991 ATM Outros Dep Judic s/Reserva Nat Oper (Realiz)</v>
          </cell>
          <cell r="B129">
            <v>4983172.08</v>
          </cell>
        </row>
        <row r="130">
          <cell r="A130" t="str">
            <v>INVESTIMENTOS</v>
          </cell>
          <cell r="B130">
            <v>40926899.710000001</v>
          </cell>
        </row>
        <row r="131">
          <cell r="A131" t="str">
            <v>PARTICIPAÇÃO EM COLIGADA</v>
          </cell>
          <cell r="B131">
            <v>40926899.710000001</v>
          </cell>
        </row>
        <row r="132">
          <cell r="A132" t="str">
            <v>Tecsis tecnologia e sistemas avançados</v>
          </cell>
          <cell r="B132">
            <v>40926899.710000001</v>
          </cell>
        </row>
        <row r="133">
          <cell r="A133" t="str">
            <v>1720201010 Cto Part Per em Coligada ou ControladaTecsis</v>
          </cell>
          <cell r="B133">
            <v>-6951946.1399999997</v>
          </cell>
        </row>
        <row r="134">
          <cell r="A134" t="str">
            <v>1720201012 Agios em Partic Per Colig ou Control - Tecsis</v>
          </cell>
          <cell r="B134">
            <v>26896601.149999999</v>
          </cell>
        </row>
        <row r="135">
          <cell r="A135" t="str">
            <v>1720201014 Vlr Justo Ativos em Part Per Col Cont Tecsis</v>
          </cell>
          <cell r="B135">
            <v>58505815.5</v>
          </cell>
        </row>
        <row r="136">
          <cell r="A136" t="str">
            <v>1720201015 Realização Vlr Justo em Part Per Col Cont -Tecsis</v>
          </cell>
          <cell r="B136">
            <v>-13781395.08</v>
          </cell>
        </row>
        <row r="137">
          <cell r="A137" t="str">
            <v>1720201018 Ajust Aval Patrimonial em Part Per Col Cont Tecsis</v>
          </cell>
          <cell r="B137">
            <v>-23742175.719999999</v>
          </cell>
        </row>
        <row r="138">
          <cell r="A138" t="str">
            <v>IMOBILIZADO</v>
          </cell>
          <cell r="B138">
            <v>896773087.09000003</v>
          </cell>
        </row>
        <row r="139">
          <cell r="A139" t="str">
            <v>CUSTO</v>
          </cell>
          <cell r="B139">
            <v>1495243486.46</v>
          </cell>
        </row>
        <row r="140">
          <cell r="A140" t="str">
            <v>Terrenos</v>
          </cell>
          <cell r="B140">
            <v>247550000.00999999</v>
          </cell>
        </row>
        <row r="141">
          <cell r="A141" t="str">
            <v>1740101010 Imobilizado-Custo dos Terrenos</v>
          </cell>
          <cell r="B141">
            <v>2292264.9900000002</v>
          </cell>
        </row>
        <row r="142">
          <cell r="A142" t="str">
            <v>1740101011 Imobilizado-Mais Valia dos Terrenos</v>
          </cell>
          <cell r="B142">
            <v>122628867.51000001</v>
          </cell>
        </row>
        <row r="143">
          <cell r="A143" t="str">
            <v>1740101012 Imobilizado-Mais Valia Comb Neg dos Terrenos</v>
          </cell>
          <cell r="B143">
            <v>122628867.51000001</v>
          </cell>
        </row>
        <row r="144">
          <cell r="A144" t="str">
            <v>Edificações e construções</v>
          </cell>
          <cell r="B144">
            <v>146177193.84999999</v>
          </cell>
        </row>
        <row r="145">
          <cell r="A145" t="str">
            <v>1740102010 Imobilizado-Custo dos Edificios</v>
          </cell>
          <cell r="B145">
            <v>126101947.56</v>
          </cell>
        </row>
        <row r="146">
          <cell r="A146" t="str">
            <v>1740102011 Imobilizado-Mais Valia dos Edificios</v>
          </cell>
          <cell r="B146">
            <v>2867318.76</v>
          </cell>
        </row>
        <row r="147">
          <cell r="A147" t="str">
            <v>1740102012 Imobilizado-Mais Valia Comb Negocios dos Edificios</v>
          </cell>
          <cell r="B147">
            <v>2867318.76</v>
          </cell>
        </row>
        <row r="148">
          <cell r="A148" t="str">
            <v>1740102014 Imobilizado-Contrapartida do AVP de Edificios</v>
          </cell>
          <cell r="B148">
            <v>246130.39</v>
          </cell>
        </row>
        <row r="149">
          <cell r="A149" t="str">
            <v>1740102020 Imobilizado-Custo das Benfeitorias</v>
          </cell>
          <cell r="B149">
            <v>9745640.0999999996</v>
          </cell>
        </row>
        <row r="150">
          <cell r="A150" t="str">
            <v>1740102021 Imobilizado-Mais Valia Benfeitorias</v>
          </cell>
          <cell r="B150">
            <v>2173636.4</v>
          </cell>
        </row>
        <row r="151">
          <cell r="A151" t="str">
            <v>1740102022 Imobilizado-Mais Valia Comb Neg Benfeitorias</v>
          </cell>
          <cell r="B151">
            <v>2173636.4</v>
          </cell>
        </row>
        <row r="152">
          <cell r="A152" t="str">
            <v>1740102024 Imobilizado-Contrapartida do AVP de Beneficios</v>
          </cell>
          <cell r="B152">
            <v>1565.48</v>
          </cell>
        </row>
        <row r="153">
          <cell r="A153" t="str">
            <v>Equipamentos e Instalações</v>
          </cell>
          <cell r="B153">
            <v>1042265824.21</v>
          </cell>
        </row>
        <row r="154">
          <cell r="A154" t="str">
            <v>1740103010 Imobilizado-Custo de Equipamentos</v>
          </cell>
          <cell r="B154">
            <v>816849513.35000002</v>
          </cell>
        </row>
        <row r="155">
          <cell r="A155" t="str">
            <v>1740103011 Imobilizado-Mais Valia Equipamentos</v>
          </cell>
          <cell r="B155">
            <v>97195291.659999996</v>
          </cell>
        </row>
        <row r="156">
          <cell r="A156" t="str">
            <v>1740103012 Imobilizado-Mais Valia Comb Neg Equipamentos</v>
          </cell>
          <cell r="B156">
            <v>97195291.659999996</v>
          </cell>
        </row>
        <row r="157">
          <cell r="A157" t="str">
            <v>1740103014 Imobilizado-AVP Equipamentos</v>
          </cell>
          <cell r="B157">
            <v>8872594.4399999995</v>
          </cell>
        </row>
        <row r="158">
          <cell r="A158" t="str">
            <v>1740103020 Imobilizado-Custo dos Sobressalentes</v>
          </cell>
          <cell r="B158">
            <v>17608026.75</v>
          </cell>
        </row>
        <row r="159">
          <cell r="A159" t="str">
            <v>1740103021 Imobilizado-Mais Valia dos Sobressalentes</v>
          </cell>
          <cell r="B159">
            <v>2255648.7999999998</v>
          </cell>
        </row>
        <row r="160">
          <cell r="A160" t="str">
            <v>1740103022 Imobilizado-Custo dos Sobressalentes</v>
          </cell>
          <cell r="B160">
            <v>2255648.7999999998</v>
          </cell>
        </row>
        <row r="161">
          <cell r="A161" t="str">
            <v>1740105020 Imobilizado-Custo de Veiculos Fora de Estrada</v>
          </cell>
          <cell r="B161">
            <v>33808.75</v>
          </cell>
        </row>
        <row r="162">
          <cell r="A162" t="str">
            <v>Veículos</v>
          </cell>
          <cell r="B162">
            <v>1125940.8799999999</v>
          </cell>
        </row>
        <row r="163">
          <cell r="A163" t="str">
            <v>1740105010 Imob-Custo de Veiculos de Passageiros e Carga</v>
          </cell>
          <cell r="B163">
            <v>1122489.74</v>
          </cell>
        </row>
        <row r="164">
          <cell r="A164" t="str">
            <v>1740105011 Imob-Mais Valia de Veiculos de Passageiros e Carga</v>
          </cell>
          <cell r="B164">
            <v>1584.93</v>
          </cell>
        </row>
        <row r="165">
          <cell r="A165" t="str">
            <v>1740105012 Imob-Mais Valia de Veiculos de Passageiros e Carga</v>
          </cell>
          <cell r="B165">
            <v>1584.93</v>
          </cell>
        </row>
        <row r="166">
          <cell r="A166" t="str">
            <v>1740105014 Imob-AVP de Veiculos de Passageiros e Carga</v>
          </cell>
          <cell r="B166">
            <v>281.27999999999997</v>
          </cell>
        </row>
        <row r="167">
          <cell r="A167" t="str">
            <v>Móveis e utensílios</v>
          </cell>
          <cell r="B167">
            <v>12108790.619999999</v>
          </cell>
        </row>
        <row r="168">
          <cell r="A168" t="str">
            <v>1740104010 Imob-Custo de Moveis, Utensilios e Inst Comerciais</v>
          </cell>
          <cell r="B168">
            <v>12063967.779999999</v>
          </cell>
        </row>
        <row r="169">
          <cell r="A169" t="str">
            <v>1740104014 Imob-AVP de Moveis, Utensilios e Inst Comerciais</v>
          </cell>
          <cell r="B169">
            <v>44822.84</v>
          </cell>
        </row>
        <row r="170">
          <cell r="A170" t="str">
            <v>Demais bens</v>
          </cell>
          <cell r="B170">
            <v>11105561.619999999</v>
          </cell>
        </row>
        <row r="171">
          <cell r="A171" t="str">
            <v>1740199010 Imobilizado-Custo de Material Auxiliar Permanente</v>
          </cell>
          <cell r="B171">
            <v>2511016.21</v>
          </cell>
        </row>
        <row r="172">
          <cell r="A172" t="str">
            <v>1740199070 Imobilizado-Custo de Computadores e Perifericos</v>
          </cell>
          <cell r="B172">
            <v>8558223.7899999991</v>
          </cell>
        </row>
        <row r="173">
          <cell r="A173" t="str">
            <v>1740199074 Imobilizado- AVP de Computadores e Perifericos</v>
          </cell>
          <cell r="B173">
            <v>36321.620000000003</v>
          </cell>
        </row>
        <row r="174">
          <cell r="A174" t="str">
            <v>imobilizado em andamento</v>
          </cell>
          <cell r="B174">
            <v>34910175.270000003</v>
          </cell>
        </row>
        <row r="175">
          <cell r="A175" t="str">
            <v>1745001010 Imob Andament-Custo das Aquisiçoes p/Imob (Receb)</v>
          </cell>
          <cell r="B175">
            <v>28830141.550000001</v>
          </cell>
        </row>
        <row r="176">
          <cell r="A176" t="str">
            <v>1745001014 Contrapartida dos Aj a Vr Presente de IeA</v>
          </cell>
          <cell r="B176">
            <v>126173.74</v>
          </cell>
        </row>
        <row r="177">
          <cell r="A177" t="str">
            <v>1745001020 Imob And-Cto das Aquisiç de Sobres de Imob (Receb)</v>
          </cell>
          <cell r="B177">
            <v>444077.79</v>
          </cell>
        </row>
        <row r="178">
          <cell r="A178" t="str">
            <v>1745002030 Imob And-Cto dos Adiants p/Aquis de Imobiliz (T)</v>
          </cell>
          <cell r="B178">
            <v>735073.51</v>
          </cell>
        </row>
        <row r="179">
          <cell r="A179" t="str">
            <v>1745099010 Imob And-Encar Fin s/ Aquis de Imob-Juros (Realiz)</v>
          </cell>
          <cell r="B179">
            <v>2754919.23</v>
          </cell>
        </row>
        <row r="180">
          <cell r="A180" t="str">
            <v>1745099030 Imob And-Encar Fin s/ Aquis de Imob-Var Cam (R)</v>
          </cell>
          <cell r="B180">
            <v>2019789.45</v>
          </cell>
        </row>
        <row r="181">
          <cell r="A181" t="str">
            <v>DEPRECIAÇÃO</v>
          </cell>
          <cell r="B181">
            <v>-598470399.37</v>
          </cell>
        </row>
        <row r="182">
          <cell r="A182" t="str">
            <v>Edificações e construções</v>
          </cell>
          <cell r="B182">
            <v>-46615729</v>
          </cell>
        </row>
        <row r="183">
          <cell r="A183" t="str">
            <v>1740502010 (-)Depreciaçao-Custo dos Edificios</v>
          </cell>
          <cell r="B183">
            <v>-39593925.890000001</v>
          </cell>
        </row>
        <row r="184">
          <cell r="A184" t="str">
            <v>1740502011 (-)Depreciaçao-Mais Valia Edificios</v>
          </cell>
          <cell r="B184">
            <v>-164578.1</v>
          </cell>
        </row>
        <row r="185">
          <cell r="A185" t="str">
            <v>1740502012 (-)Depreciaçao-Mais Valia Combin Neg Edificios</v>
          </cell>
          <cell r="B185">
            <v>-164578.1</v>
          </cell>
        </row>
        <row r="186">
          <cell r="A186" t="str">
            <v>1740502014 (-)Depr-Contrapartida do AVP de Edificios</v>
          </cell>
          <cell r="B186">
            <v>-32836.800000000003</v>
          </cell>
        </row>
        <row r="187">
          <cell r="A187" t="str">
            <v>1740502020 (-)Depreciaçao-Custo das Benfeitorias</v>
          </cell>
          <cell r="B187">
            <v>-6178887.8600000003</v>
          </cell>
        </row>
        <row r="188">
          <cell r="A188" t="str">
            <v>1740502021 (-)Depreciaçao-Mais Valia Benfeitorias</v>
          </cell>
          <cell r="B188">
            <v>-240289.88</v>
          </cell>
        </row>
        <row r="189">
          <cell r="A189" t="str">
            <v>1740502022 (-)Depreciaçao-Mais Valia Combin Neg Benfeitorias</v>
          </cell>
          <cell r="B189">
            <v>-240289.88</v>
          </cell>
        </row>
        <row r="190">
          <cell r="A190" t="str">
            <v>1740502024 (-)Depr-Contrapartida do AVP de Benfeitorias</v>
          </cell>
          <cell r="B190">
            <v>-342.49</v>
          </cell>
        </row>
        <row r="191">
          <cell r="A191" t="str">
            <v>Equipamentos e Instalações</v>
          </cell>
          <cell r="B191">
            <v>-535376715.36000001</v>
          </cell>
        </row>
        <row r="192">
          <cell r="A192" t="str">
            <v>1740503010 (-)Depreciaçao-Custo de Equipamentos</v>
          </cell>
          <cell r="B192">
            <v>-502416117.81999999</v>
          </cell>
        </row>
        <row r="193">
          <cell r="A193" t="str">
            <v>1740503011 (-)Depreciaçao-Mais Valia Equipamentos</v>
          </cell>
          <cell r="B193">
            <v>-10110504.189999999</v>
          </cell>
        </row>
        <row r="194">
          <cell r="A194" t="str">
            <v>1740503012 (-)Depreciaçao-Mais Valia Combin Neg Equipamentos</v>
          </cell>
          <cell r="B194">
            <v>-10110504.189999999</v>
          </cell>
        </row>
        <row r="195">
          <cell r="A195" t="str">
            <v>1740503014 (-)Depr-Contrapartida do AVP de Equipamentos</v>
          </cell>
          <cell r="B195">
            <v>-2790143.93</v>
          </cell>
        </row>
        <row r="196">
          <cell r="A196" t="str">
            <v>1740503020 (-)Depreciaçao-Custo dos Sobressalentes</v>
          </cell>
          <cell r="B196">
            <v>-9461765.2599999998</v>
          </cell>
        </row>
        <row r="197">
          <cell r="A197" t="str">
            <v>1740503021 (-)Depreciaçao-Mais Valia Sobressalentes</v>
          </cell>
          <cell r="B197">
            <v>-234929.02</v>
          </cell>
        </row>
        <row r="198">
          <cell r="A198" t="str">
            <v>1740503022 (-)Depreciaçao-Mais Valia Combin Neg Sobressalente</v>
          </cell>
          <cell r="B198">
            <v>-234929.02</v>
          </cell>
        </row>
        <row r="199">
          <cell r="A199" t="str">
            <v>1740505020 (-)Depreciaçao-Custo de Veiculos Fora da Estrada</v>
          </cell>
          <cell r="B199">
            <v>-17821.93</v>
          </cell>
        </row>
        <row r="200">
          <cell r="A200" t="str">
            <v>Veículos</v>
          </cell>
          <cell r="B200">
            <v>-679741.32</v>
          </cell>
        </row>
        <row r="201">
          <cell r="A201" t="str">
            <v>1740505010 (-)Depr-Custo de Veiculos de Passageiros e Carga</v>
          </cell>
          <cell r="B201">
            <v>-677699.04</v>
          </cell>
        </row>
        <row r="202">
          <cell r="A202" t="str">
            <v>1740505011 (-)Depreciaçao-Mais Valia Veiculos</v>
          </cell>
          <cell r="B202">
            <v>-880.5</v>
          </cell>
        </row>
        <row r="203">
          <cell r="A203" t="str">
            <v>1740505012 (-)Depreciaçao-Mais Valia Combin Neg Veiculos</v>
          </cell>
          <cell r="B203">
            <v>-880.5</v>
          </cell>
        </row>
        <row r="204">
          <cell r="A204" t="str">
            <v>1740505014 (-)Depr-Contrapartida do AVP de Veículos</v>
          </cell>
          <cell r="B204">
            <v>-281.27999999999997</v>
          </cell>
        </row>
        <row r="205">
          <cell r="A205" t="str">
            <v>Móveis e utensílios</v>
          </cell>
          <cell r="B205">
            <v>-8640829.0199999996</v>
          </cell>
        </row>
        <row r="206">
          <cell r="A206" t="str">
            <v>1740504010 (-)Depreciaçao-Custo dos Móveis, Utens e Inst Com</v>
          </cell>
          <cell r="B206">
            <v>-8626511.7699999996</v>
          </cell>
        </row>
        <row r="207">
          <cell r="A207" t="str">
            <v>1740504014 (-)Depr-Contrapartida do AVP de Móveis, Utens</v>
          </cell>
          <cell r="B207">
            <v>-14317.25</v>
          </cell>
        </row>
        <row r="208">
          <cell r="A208" t="str">
            <v>Demais bens</v>
          </cell>
          <cell r="B208">
            <v>-7157384.6699999999</v>
          </cell>
        </row>
        <row r="209">
          <cell r="A209" t="str">
            <v>1740599070 (-)Depreciaçao-Custo de Computadores e Perifericos</v>
          </cell>
          <cell r="B209">
            <v>-7133451.0800000001</v>
          </cell>
        </row>
        <row r="210">
          <cell r="A210" t="str">
            <v>1740599074 (-)Depr-Contrap do AVP dos Computad Perifericos</v>
          </cell>
          <cell r="B210">
            <v>-23933.59</v>
          </cell>
        </row>
        <row r="211">
          <cell r="A211" t="str">
            <v>INTANGÍVEL</v>
          </cell>
          <cell r="B211">
            <v>287047601.49000001</v>
          </cell>
        </row>
        <row r="212">
          <cell r="A212" t="str">
            <v>INTANGÍVEL EM OPERAÇÃO</v>
          </cell>
          <cell r="B212">
            <v>287047601.49000001</v>
          </cell>
        </row>
        <row r="213">
          <cell r="A213" t="str">
            <v>Ágio - combinação de negócio em estágios</v>
          </cell>
          <cell r="B213">
            <v>195808784.34999999</v>
          </cell>
        </row>
        <row r="214">
          <cell r="A214" t="str">
            <v>1750190012 Intangivel Op-Mais Valia C N Ativ n Alocados</v>
          </cell>
          <cell r="B214">
            <v>195808784.34999999</v>
          </cell>
        </row>
        <row r="215">
          <cell r="A215" t="str">
            <v>Carteira de clientes</v>
          </cell>
          <cell r="B215">
            <v>0</v>
          </cell>
        </row>
        <row r="216">
          <cell r="A216" t="str">
            <v>1750103011 Intangivel Op-Mais Valia de Carteira de Clientes</v>
          </cell>
          <cell r="B216">
            <v>106000</v>
          </cell>
        </row>
        <row r="217">
          <cell r="A217" t="str">
            <v>1750103012 Intangivel Op-Mais Valia de Carteira Clientes C N</v>
          </cell>
          <cell r="B217">
            <v>106000</v>
          </cell>
        </row>
        <row r="218">
          <cell r="A218" t="str">
            <v>1750603011 (-)Amort-Mais Valia Carteira de Clientes</v>
          </cell>
          <cell r="B218">
            <v>-106000</v>
          </cell>
        </row>
        <row r="219">
          <cell r="A219" t="str">
            <v>1750603012 (-)Amort-Mais Valia C N Carteira de Clientes</v>
          </cell>
          <cell r="B219">
            <v>-106000</v>
          </cell>
        </row>
        <row r="220">
          <cell r="A220" t="str">
            <v>Direito de uso de software e pesquisa e desen</v>
          </cell>
          <cell r="B220">
            <v>14064843.880000001</v>
          </cell>
        </row>
        <row r="221">
          <cell r="A221" t="str">
            <v>1750101010 Intangivel Op-Custo das Marcas e Patentes</v>
          </cell>
          <cell r="B221">
            <v>1385.16</v>
          </cell>
        </row>
        <row r="222">
          <cell r="A222" t="str">
            <v>1750102010 Intangivel Op-Cto das Software ou Prog de Comput</v>
          </cell>
          <cell r="B222">
            <v>19883267.920000002</v>
          </cell>
        </row>
        <row r="223">
          <cell r="A223" t="str">
            <v>1750102014 Intangivel Op-AV de Software ou Prog de Comput</v>
          </cell>
          <cell r="B223">
            <v>61858.13</v>
          </cell>
        </row>
        <row r="224">
          <cell r="A224" t="str">
            <v>1750602010 (-)Amort-Cto dos Software ou Programas de Comput</v>
          </cell>
          <cell r="B224">
            <v>-5870747.6399999997</v>
          </cell>
        </row>
        <row r="225">
          <cell r="A225" t="str">
            <v>1750602014 (-)Amort-Contrapartida do AVP de Softwares</v>
          </cell>
          <cell r="B225">
            <v>-10919.69</v>
          </cell>
        </row>
        <row r="226">
          <cell r="A226" t="str">
            <v>Ágio Goodwill</v>
          </cell>
          <cell r="B226">
            <v>116930262.52</v>
          </cell>
        </row>
        <row r="227">
          <cell r="A227" t="str">
            <v>1750190011 Intangivel Op-Mais Valia Ativ n Alocados</v>
          </cell>
          <cell r="B227">
            <v>116930262.52</v>
          </cell>
        </row>
        <row r="228">
          <cell r="A228" t="str">
            <v>Tributos diferidos s/ágio não alocado</v>
          </cell>
          <cell r="B228">
            <v>-39756289.259999998</v>
          </cell>
        </row>
        <row r="229">
          <cell r="A229" t="str">
            <v>1750190021 Intangivel Op-Tribs Dif S/Mais Valia de Ativos (R)</v>
          </cell>
          <cell r="B229">
            <v>-39756289.259999998</v>
          </cell>
        </row>
        <row r="230">
          <cell r="A230" t="str">
            <v>1754901020 Trib Diferidos s/Mais Valia CN Ativos Imob (Realiz</v>
          </cell>
          <cell r="B230">
            <v>-73566198.099999994</v>
          </cell>
        </row>
        <row r="231">
          <cell r="A231" t="str">
            <v>1754901021 Trib Diferidos s/Mais Valia CN At Imob (Tr Passivo</v>
          </cell>
          <cell r="B231">
            <v>73566198.099999994</v>
          </cell>
        </row>
        <row r="232">
          <cell r="A232" t="str">
            <v>PASSIVO E PATRIMÔNIO LÍQUIDO</v>
          </cell>
          <cell r="B232">
            <v>-1667688504.3900001</v>
          </cell>
        </row>
        <row r="233">
          <cell r="A233" t="str">
            <v>CIRCULANTE</v>
          </cell>
          <cell r="B233">
            <v>-269549623.19999999</v>
          </cell>
        </row>
        <row r="234">
          <cell r="A234" t="str">
            <v>FORNECEDORES</v>
          </cell>
          <cell r="B234">
            <v>-31545320.780000001</v>
          </cell>
        </row>
        <row r="235">
          <cell r="A235" t="str">
            <v>Serviços</v>
          </cell>
          <cell r="B235">
            <v>-2507853.08</v>
          </cell>
        </row>
        <row r="236">
          <cell r="A236" t="str">
            <v>2110101010 Fornecedores Nacionais de Serviços (Realizado)</v>
          </cell>
          <cell r="B236">
            <v>-2507853.08</v>
          </cell>
        </row>
        <row r="237">
          <cell r="A237" t="str">
            <v>Matérias Primas</v>
          </cell>
          <cell r="B237">
            <v>-4589033.1900000004</v>
          </cell>
        </row>
        <row r="238">
          <cell r="A238" t="str">
            <v>2110101020 Fornecedores Nacionais de MP (Realizado)</v>
          </cell>
          <cell r="B238">
            <v>-4589033.1900000004</v>
          </cell>
        </row>
        <row r="239">
          <cell r="A239" t="str">
            <v>Fretes</v>
          </cell>
          <cell r="B239">
            <v>-4463457.3</v>
          </cell>
        </row>
        <row r="240">
          <cell r="A240" t="str">
            <v>2110101070 Fornecedores Nacionais de Fretes (Realizado)</v>
          </cell>
          <cell r="B240">
            <v>-4463457.3</v>
          </cell>
        </row>
        <row r="241">
          <cell r="A241" t="str">
            <v>Materiais de Consumo</v>
          </cell>
          <cell r="B241">
            <v>-1594777.91</v>
          </cell>
        </row>
        <row r="242">
          <cell r="A242" t="str">
            <v>2110101040 Fornecedores Nacionais de Mat de Cons(Realizado)</v>
          </cell>
          <cell r="B242">
            <v>-1560432.37</v>
          </cell>
        </row>
        <row r="243">
          <cell r="A243" t="str">
            <v>2110102040 Fornecedores do Ext de Mat de Cons (Realizado)</v>
          </cell>
          <cell r="B243">
            <v>-34345.54</v>
          </cell>
        </row>
        <row r="244">
          <cell r="A244" t="str">
            <v>Demais tipos de fornecedores</v>
          </cell>
          <cell r="B244">
            <v>-18390199.300000001</v>
          </cell>
        </row>
        <row r="245">
          <cell r="A245" t="str">
            <v>2110101030 Fornecedores Nacionais de Energia (Realizado)</v>
          </cell>
          <cell r="B245">
            <v>-14139303.050000001</v>
          </cell>
        </row>
        <row r="246">
          <cell r="A246" t="str">
            <v>2110101050 Fornecedores Nacionais Funcionarios (Realizado)</v>
          </cell>
          <cell r="B246">
            <v>-8119.26</v>
          </cell>
        </row>
        <row r="247">
          <cell r="A247" t="str">
            <v>2110101060 Fornecedores Nacionais Imps e Contrib (Realizado)</v>
          </cell>
          <cell r="B247">
            <v>-2252993.0499999998</v>
          </cell>
        </row>
        <row r="248">
          <cell r="A248" t="str">
            <v>2110199010 Entrada de Mercadoria e de Fat (EM/EF) (Realizado)</v>
          </cell>
          <cell r="B248">
            <v>1.19</v>
          </cell>
        </row>
        <row r="249">
          <cell r="A249" t="str">
            <v>2110199011 Provisao de Entrada de Mercad e de Fatura (EM/EF)</v>
          </cell>
          <cell r="B249">
            <v>-1989785.13</v>
          </cell>
        </row>
        <row r="250">
          <cell r="A250" t="str">
            <v>EMPRÉSTIMOS</v>
          </cell>
          <cell r="B250">
            <v>-172011798.58000001</v>
          </cell>
        </row>
        <row r="251">
          <cell r="A251" t="str">
            <v>Moeda nacional</v>
          </cell>
          <cell r="B251">
            <v>-169666036.25999999</v>
          </cell>
        </row>
        <row r="252">
          <cell r="A252" t="str">
            <v>2110502010 Emprest e Financs em Moeda Nacional CP (Realizado)</v>
          </cell>
          <cell r="B252">
            <v>-153572841.97</v>
          </cell>
        </row>
        <row r="253">
          <cell r="A253" t="str">
            <v>2110502020 Juros s/Empr Fin em Moeda Nacional CP (Realizado)</v>
          </cell>
          <cell r="B253">
            <v>-10523740.630000001</v>
          </cell>
        </row>
        <row r="254">
          <cell r="A254" t="str">
            <v>2110502500 Custo de Emprest e Finan Amort em MN CP (Realiz)</v>
          </cell>
          <cell r="B254">
            <v>-5569453.6600000001</v>
          </cell>
        </row>
        <row r="255">
          <cell r="A255" t="str">
            <v>Moeda estrangeira</v>
          </cell>
          <cell r="B255">
            <v>-2345762.3199999998</v>
          </cell>
        </row>
        <row r="256">
          <cell r="A256" t="str">
            <v>2110502600 Emprestimos e Finan em Moeda Estrang CP (Realiz)</v>
          </cell>
          <cell r="B256">
            <v>-2322316.4</v>
          </cell>
        </row>
        <row r="257">
          <cell r="A257" t="str">
            <v>2110502610 Jur s/Emprest e Finan Moeda Estrang CP (Realizado)</v>
          </cell>
          <cell r="B257">
            <v>-23445.919999999998</v>
          </cell>
        </row>
        <row r="258">
          <cell r="A258" t="str">
            <v>SALÁRIOS E ENCARGOS SOCIAIS</v>
          </cell>
          <cell r="B258">
            <v>-19033838.210000001</v>
          </cell>
        </row>
        <row r="259">
          <cell r="A259" t="str">
            <v>Salários, Férias e Gratificações</v>
          </cell>
          <cell r="B259">
            <v>-15237165.720000001</v>
          </cell>
        </row>
        <row r="260">
          <cell r="A260" t="str">
            <v>2111001010 Salarios a Pagar (Realizado)</v>
          </cell>
          <cell r="B260">
            <v>348.32</v>
          </cell>
        </row>
        <row r="261">
          <cell r="A261" t="str">
            <v>2111001050 Provisao de 13º Salario (Realizado)</v>
          </cell>
          <cell r="B261">
            <v>-1498925.32</v>
          </cell>
        </row>
        <row r="262">
          <cell r="A262" t="str">
            <v>2111001060 Provisao de Ferias (Realizado)</v>
          </cell>
          <cell r="B262">
            <v>-5297825.97</v>
          </cell>
        </row>
        <row r="263">
          <cell r="A263" t="str">
            <v>2111001080 Provisao de Gratificaçoes Ferias (Realizado)</v>
          </cell>
          <cell r="B263">
            <v>-3233157.75</v>
          </cell>
        </row>
        <row r="264">
          <cell r="A264" t="str">
            <v>2111001090 Provisao de Gratificaçoes Diretores Estatutários</v>
          </cell>
          <cell r="B264">
            <v>-2201965</v>
          </cell>
        </row>
        <row r="265">
          <cell r="A265" t="str">
            <v>2111001100 Provisão de Gratificações  - CLT</v>
          </cell>
          <cell r="B265">
            <v>-3005640</v>
          </cell>
        </row>
        <row r="266">
          <cell r="A266" t="str">
            <v>2111001900 Provisoes Partic nos Lucros de Funcion (Realizado)</v>
          </cell>
          <cell r="B266">
            <v>0</v>
          </cell>
        </row>
        <row r="267">
          <cell r="A267" t="str">
            <v>INSS</v>
          </cell>
          <cell r="B267">
            <v>-2944283.87</v>
          </cell>
        </row>
        <row r="268">
          <cell r="A268" t="str">
            <v>2111005010 Contrib Prev a Recolher-INSS s/Folha (Realizado)</v>
          </cell>
          <cell r="B268">
            <v>-1247699.92</v>
          </cell>
        </row>
        <row r="269">
          <cell r="A269" t="str">
            <v>2111005020 Contrib Prev a Recolher-INSS s/Autonomos (Realiz)</v>
          </cell>
          <cell r="B269">
            <v>-16812.169999999998</v>
          </cell>
        </row>
        <row r="270">
          <cell r="A270" t="str">
            <v>2111005030 Contrib Prev a Recolher-INSS s/Cooperativas (Real)</v>
          </cell>
          <cell r="B270">
            <v>-220.85</v>
          </cell>
        </row>
        <row r="271">
          <cell r="A271" t="str">
            <v>2111005040 Contrib Prev a Recolher-INSS Termo Coop SENAI (R)</v>
          </cell>
          <cell r="B271">
            <v>-9364.17</v>
          </cell>
        </row>
        <row r="272">
          <cell r="A272" t="str">
            <v>2111005050 Prov de Contrib Prev-INSS sobre 13º Salario (R)</v>
          </cell>
          <cell r="B272">
            <v>-368246.23</v>
          </cell>
        </row>
        <row r="273">
          <cell r="A273" t="str">
            <v>2111005060 Prov de Contrib Prev-INSS sobre Ferias (Realizado)</v>
          </cell>
          <cell r="B273">
            <v>-1301940.53</v>
          </cell>
        </row>
        <row r="274">
          <cell r="A274" t="str">
            <v>FGTS</v>
          </cell>
          <cell r="B274">
            <v>-852388.62</v>
          </cell>
        </row>
        <row r="275">
          <cell r="A275" t="str">
            <v>2111006010 Contrib Prev a Recolher-FGTS s/Folha (Realizado)</v>
          </cell>
          <cell r="B275">
            <v>-309310.82</v>
          </cell>
        </row>
        <row r="276">
          <cell r="A276" t="str">
            <v>2111006050 Prov Contrib Prev-FGTS s/ 13º Salario (Realizado)</v>
          </cell>
          <cell r="B276">
            <v>-119630.39999999999</v>
          </cell>
        </row>
        <row r="277">
          <cell r="A277" t="str">
            <v>2111006060 Prov Contrib Prev-FGTS sobre Ferias (Realizado)</v>
          </cell>
          <cell r="B277">
            <v>-423447.4</v>
          </cell>
        </row>
        <row r="278">
          <cell r="A278" t="str">
            <v>IMPOSTOS DE RENDA E CONTRIBUIÇÃO SOCIAL</v>
          </cell>
          <cell r="B278">
            <v>-3062655.85</v>
          </cell>
        </row>
        <row r="279">
          <cell r="A279" t="str">
            <v>IRPJ e CSLL</v>
          </cell>
          <cell r="B279">
            <v>-3062655.85</v>
          </cell>
        </row>
        <row r="280">
          <cell r="A280" t="str">
            <v>1111001010 Antecipaçoes de CSLL (Realizado)</v>
          </cell>
          <cell r="B280">
            <v>2358554.42</v>
          </cell>
        </row>
        <row r="281">
          <cell r="A281" t="str">
            <v>1111001020 Antecipaçoes de IRPJ (Realizado)</v>
          </cell>
          <cell r="B281">
            <v>5806238.1699999999</v>
          </cell>
        </row>
        <row r="282">
          <cell r="A282" t="str">
            <v>2112001010 Prov p/ CSLL s/Resultado Operacional (Realizado)</v>
          </cell>
          <cell r="B282">
            <v>-6545894.9199999999</v>
          </cell>
        </row>
        <row r="283">
          <cell r="A283" t="str">
            <v>2112001020 Provisao p/ CSLL Diferida (Realizado)</v>
          </cell>
          <cell r="B283">
            <v>550669.69999999995</v>
          </cell>
        </row>
        <row r="284">
          <cell r="A284" t="str">
            <v>2112001030 Provisao p/ CSLL Diferida s/Depreciaçao Fiscal (R)</v>
          </cell>
          <cell r="B284">
            <v>1935338.66</v>
          </cell>
        </row>
        <row r="285">
          <cell r="A285" t="str">
            <v>2112001040 Contribuição Social s/Compensação Base Negativa (R</v>
          </cell>
          <cell r="B285">
            <v>1217965.97</v>
          </cell>
        </row>
        <row r="286">
          <cell r="A286" t="str">
            <v>2112002010 Prov p/  IR s/Resultando Operacional (Realizado)</v>
          </cell>
          <cell r="B286">
            <v>-18544651.5</v>
          </cell>
        </row>
        <row r="287">
          <cell r="A287" t="str">
            <v>2112002020 Provisao para IR Diferida (Realizado)</v>
          </cell>
          <cell r="B287">
            <v>1135074.06</v>
          </cell>
        </row>
        <row r="288">
          <cell r="A288" t="str">
            <v>2112002030 Provisao p/ IR Diferida s/Depreciaçao Fiscal (R)</v>
          </cell>
          <cell r="B288">
            <v>5375937.6100000003</v>
          </cell>
        </row>
        <row r="289">
          <cell r="A289" t="str">
            <v>2112002040 Imposto de Renda s/ Compensação Prejuízo Fiscal (R</v>
          </cell>
          <cell r="B289">
            <v>3648111.98</v>
          </cell>
        </row>
        <row r="290">
          <cell r="A290" t="str">
            <v>OUTROS IMPOSTOS E CONTRIBUIÇÕES A PAGAR</v>
          </cell>
          <cell r="B290">
            <v>-11277535.939999999</v>
          </cell>
        </row>
        <row r="291">
          <cell r="A291" t="str">
            <v>ICMS a recolher</v>
          </cell>
          <cell r="B291">
            <v>-7213354.9900000002</v>
          </cell>
        </row>
        <row r="292">
          <cell r="A292" t="str">
            <v>2113005300 ICMS a Recolher (Realizado)</v>
          </cell>
          <cell r="B292">
            <v>-7213354.9900000002</v>
          </cell>
        </row>
        <row r="293">
          <cell r="A293" t="str">
            <v>PIS a recolher</v>
          </cell>
          <cell r="B293">
            <v>-635054.72</v>
          </cell>
        </row>
        <row r="294">
          <cell r="A294" t="str">
            <v>2113005010 PIS a Recolher (Realizado)</v>
          </cell>
          <cell r="B294">
            <v>-635054.72</v>
          </cell>
        </row>
        <row r="295">
          <cell r="A295" t="str">
            <v>ISS a recolher</v>
          </cell>
          <cell r="B295">
            <v>-11175.31</v>
          </cell>
        </row>
        <row r="296">
          <cell r="A296" t="str">
            <v>2113005600 ISS a Recolher (Realizado)</v>
          </cell>
          <cell r="B296">
            <v>-11175.31</v>
          </cell>
        </row>
        <row r="297">
          <cell r="A297" t="str">
            <v>Cofins a recolher</v>
          </cell>
          <cell r="B297">
            <v>-2925125.12</v>
          </cell>
        </row>
        <row r="298">
          <cell r="A298" t="str">
            <v>2113005020 COFINS a Recolher (Realizado)</v>
          </cell>
          <cell r="B298">
            <v>-2925125.12</v>
          </cell>
        </row>
        <row r="299">
          <cell r="A299" t="str">
            <v>Obrigações tributárias s/ servs.de terceiros</v>
          </cell>
          <cell r="B299">
            <v>-491056.89</v>
          </cell>
        </row>
        <row r="300">
          <cell r="A300" t="str">
            <v>2113001010 IR de Funcionarios (Realizado)</v>
          </cell>
          <cell r="B300">
            <v>-156731.31</v>
          </cell>
        </row>
        <row r="301">
          <cell r="A301" t="str">
            <v>2113001200 Imposto Sindical de Funcionarios (Realizado)</v>
          </cell>
          <cell r="B301">
            <v>-2181.25</v>
          </cell>
        </row>
        <row r="302">
          <cell r="A302" t="str">
            <v>2113001300 Imposto de Renda s/Servs de Terceiros (Realizado)</v>
          </cell>
          <cell r="B302">
            <v>-43904.05</v>
          </cell>
        </row>
        <row r="303">
          <cell r="A303" t="str">
            <v>2113001310 INSS s/Serviços de Terceiros PF</v>
          </cell>
          <cell r="B303">
            <v>-4232.6899999999996</v>
          </cell>
        </row>
        <row r="304">
          <cell r="A304" t="str">
            <v>2113001320 INSS s/Serviços de Terceiros PJ</v>
          </cell>
          <cell r="B304">
            <v>-116344.67</v>
          </cell>
        </row>
        <row r="305">
          <cell r="A305" t="str">
            <v>2113001350 CSLL s/Serviços de Terceiros (Realizado)</v>
          </cell>
          <cell r="B305">
            <v>-12290.04</v>
          </cell>
        </row>
        <row r="306">
          <cell r="A306" t="str">
            <v>2113001360 PIS s/Serviços de Terceiros (Realizado)</v>
          </cell>
          <cell r="B306">
            <v>-8037.49</v>
          </cell>
        </row>
        <row r="307">
          <cell r="A307" t="str">
            <v>2113001370 COFINS s/Serviços de Terceiros (Realizado)</v>
          </cell>
          <cell r="B307">
            <v>-37095.93</v>
          </cell>
        </row>
        <row r="308">
          <cell r="A308" t="str">
            <v>2113001400 ISS s/Serviços de Terceiros (Realizado)</v>
          </cell>
          <cell r="B308">
            <v>-110239.46</v>
          </cell>
        </row>
        <row r="309">
          <cell r="A309" t="str">
            <v>Outros</v>
          </cell>
          <cell r="B309">
            <v>-1768.91</v>
          </cell>
        </row>
        <row r="310">
          <cell r="A310" t="str">
            <v>2113099010 CIDE s/Remessas ao Exterior a Recolher (Realizado)</v>
          </cell>
          <cell r="B310">
            <v>-1768.91</v>
          </cell>
        </row>
        <row r="311">
          <cell r="A311" t="str">
            <v>DIVIDENDOS E JUROS S/ CAPITAL PROPRIO A PAGAR</v>
          </cell>
          <cell r="B311">
            <v>-1711215.31</v>
          </cell>
        </row>
        <row r="312">
          <cell r="A312" t="str">
            <v>Dividendos a pagar</v>
          </cell>
          <cell r="B312">
            <v>-1711215.31</v>
          </cell>
        </row>
        <row r="313">
          <cell r="A313" t="str">
            <v>2114001010 Dividendos a Pagar (Realizado)</v>
          </cell>
          <cell r="B313">
            <v>-1711215.31</v>
          </cell>
        </row>
        <row r="314">
          <cell r="A314" t="str">
            <v>DEMANDAS JUDICIAIS</v>
          </cell>
          <cell r="B314">
            <v>-3280546.93</v>
          </cell>
        </row>
        <row r="315">
          <cell r="A315" t="str">
            <v>Fiscais</v>
          </cell>
          <cell r="B315">
            <v>-3280546.93</v>
          </cell>
        </row>
        <row r="316">
          <cell r="A316" t="str">
            <v>2119001010 Prov Nat Trib s/Dep Gar CP-Imp,Taxas Contr Fed (R)</v>
          </cell>
          <cell r="B316">
            <v>-3280546.93</v>
          </cell>
        </row>
        <row r="317">
          <cell r="A317" t="str">
            <v>ENERGIA ELÉTRICA</v>
          </cell>
          <cell r="B317">
            <v>-14873767.720000001</v>
          </cell>
        </row>
        <row r="318">
          <cell r="A318" t="str">
            <v>Energia elétrica provisionada</v>
          </cell>
          <cell r="B318">
            <v>-14873767.720000001</v>
          </cell>
        </row>
        <row r="319">
          <cell r="A319" t="str">
            <v>2118005010 Fornec e nao Faturado-Energia Eletrica (Realizado)</v>
          </cell>
          <cell r="B319">
            <v>-14873767.720000001</v>
          </cell>
        </row>
        <row r="320">
          <cell r="A320" t="str">
            <v>OUTROS PASSIVOS CIRCULANTES</v>
          </cell>
          <cell r="B320">
            <v>-12752943.880000001</v>
          </cell>
        </row>
        <row r="321">
          <cell r="A321" t="str">
            <v>Serviços Técnicos profissionais</v>
          </cell>
          <cell r="B321">
            <v>-105371.44</v>
          </cell>
        </row>
        <row r="322">
          <cell r="A322" t="str">
            <v>2119003020 Prov Nat Op Desp c/ Servs Tecn e Prof CP (Realiz)</v>
          </cell>
          <cell r="B322">
            <v>-105371.44</v>
          </cell>
        </row>
        <row r="323">
          <cell r="A323" t="str">
            <v>Fretes sobre vendas</v>
          </cell>
          <cell r="B323">
            <v>-4167553.07</v>
          </cell>
        </row>
        <row r="324">
          <cell r="A324" t="str">
            <v>2119003010 Prov Nat Op Desp c/ Fretes s/Vendas CP (Realizado)</v>
          </cell>
          <cell r="B324">
            <v>-4167553.07</v>
          </cell>
        </row>
        <row r="325">
          <cell r="A325" t="str">
            <v>Desembaraço alfandegário</v>
          </cell>
          <cell r="B325">
            <v>-5203156.21</v>
          </cell>
        </row>
        <row r="326">
          <cell r="A326" t="str">
            <v>2118005040 Fornec e nao Faturado-Materiais de Cons (Realiz)</v>
          </cell>
          <cell r="B326">
            <v>-5203156.21</v>
          </cell>
        </row>
        <row r="327">
          <cell r="A327" t="str">
            <v>Obrigações de natureza fiscais</v>
          </cell>
          <cell r="B327">
            <v>-1947773</v>
          </cell>
        </row>
        <row r="328">
          <cell r="A328" t="str">
            <v>2119001030 Prov Nat Trib s/Dep Gar CP-Imp,Taxas Cont Mun (R)</v>
          </cell>
          <cell r="B328">
            <v>-1947773</v>
          </cell>
        </row>
        <row r="329">
          <cell r="A329" t="str">
            <v>Outras obrigações e compromissos</v>
          </cell>
          <cell r="B329">
            <v>-1329090.1599999999</v>
          </cell>
        </row>
        <row r="330">
          <cell r="A330" t="str">
            <v>2118005020 Fornec e nao Faturado-Agua (Realizado)</v>
          </cell>
          <cell r="B330">
            <v>-41000</v>
          </cell>
        </row>
        <row r="331">
          <cell r="A331" t="str">
            <v>2118005090 Fornec e nao Faturado-Servs Prestados (Realizado)</v>
          </cell>
          <cell r="B331">
            <v>-91542.74</v>
          </cell>
        </row>
        <row r="332">
          <cell r="A332" t="str">
            <v>2118010010 Retençoes s/Contratos de Compras (Realizado)</v>
          </cell>
          <cell r="B332">
            <v>-16416.61</v>
          </cell>
        </row>
        <row r="333">
          <cell r="A333" t="str">
            <v>2118050010 Adiantamentos de Clientes (Realizado)</v>
          </cell>
          <cell r="B333">
            <v>-766550.48</v>
          </cell>
        </row>
        <row r="334">
          <cell r="A334" t="str">
            <v>2119003030 Prov Nat Op Desp c/Servs de Auditoria CP (Realiz)</v>
          </cell>
          <cell r="B334">
            <v>-297837.03999999998</v>
          </cell>
        </row>
        <row r="335">
          <cell r="A335" t="str">
            <v>2119003040 Prov Nat Op Desp c/Seguros Gerais CP (Realizado)</v>
          </cell>
          <cell r="B335">
            <v>-115743.29</v>
          </cell>
        </row>
        <row r="336">
          <cell r="A336" t="str">
            <v>NÃO CIRCULANTE</v>
          </cell>
          <cell r="B336">
            <v>-601290810.26999998</v>
          </cell>
        </row>
        <row r="337">
          <cell r="A337" t="str">
            <v>EMPRÉSTIMOS</v>
          </cell>
          <cell r="B337">
            <v>-495898896.05000001</v>
          </cell>
        </row>
        <row r="338">
          <cell r="A338" t="str">
            <v>Moeda nacional</v>
          </cell>
          <cell r="B338">
            <v>-490286631.30000001</v>
          </cell>
        </row>
        <row r="339">
          <cell r="A339" t="str">
            <v>2310502010 Emprest Finan Bancarios Moeda Nacional LP (R)</v>
          </cell>
          <cell r="B339">
            <v>-490286631.30000001</v>
          </cell>
        </row>
        <row r="340">
          <cell r="A340" t="str">
            <v>Moeda estrangeira</v>
          </cell>
          <cell r="B340">
            <v>-5612264.75</v>
          </cell>
        </row>
        <row r="341">
          <cell r="A341" t="str">
            <v>2310502600 Empr Financiamentos Moeda Estrangeira LP (Realiz)</v>
          </cell>
          <cell r="B341">
            <v>-5612264.75</v>
          </cell>
        </row>
        <row r="342">
          <cell r="A342" t="str">
            <v>IR E CONTRIBUIÇÃO SOCIAL DIFERIDOS</v>
          </cell>
          <cell r="B342">
            <v>-52893227.57</v>
          </cell>
        </row>
        <row r="343">
          <cell r="A343" t="str">
            <v>Ativo de imposto diferido</v>
          </cell>
          <cell r="B343">
            <v>87528066.510000005</v>
          </cell>
        </row>
        <row r="344">
          <cell r="A344" t="str">
            <v>1711505000 Cred Fisc CSLL-Bas de Cal Negativa LP (Real)</v>
          </cell>
          <cell r="B344">
            <v>6919119.9299999997</v>
          </cell>
        </row>
        <row r="345">
          <cell r="A345" t="str">
            <v>1711505010 Cred Fisc CSLL-Dif Temp (Real)</v>
          </cell>
          <cell r="B345">
            <v>16628959.300000001</v>
          </cell>
        </row>
        <row r="346">
          <cell r="A346" t="str">
            <v>1711506000 Cred Fisc IRPJL-Prejuizo Fiscal LP (Real)</v>
          </cell>
          <cell r="B346">
            <v>18338927.34</v>
          </cell>
        </row>
        <row r="347">
          <cell r="A347" t="str">
            <v>1711506010 Cred Fisc IRPJ-Dif Temp (Realizado)</v>
          </cell>
          <cell r="B347">
            <v>45641059.939999998</v>
          </cell>
        </row>
        <row r="348">
          <cell r="A348" t="str">
            <v>Passivo de imposto diferido</v>
          </cell>
          <cell r="B348">
            <v>-140421294.08000001</v>
          </cell>
        </row>
        <row r="349">
          <cell r="A349" t="str">
            <v>2312001030 Prov p/CSLL Diferida s/Depr Fiscal LP (Realiz)</v>
          </cell>
          <cell r="B349">
            <v>-37170342</v>
          </cell>
        </row>
        <row r="350">
          <cell r="A350" t="str">
            <v>2312002030 Prov p/IR Diferida s/Depr Fiscal LP (Realiz)</v>
          </cell>
          <cell r="B350">
            <v>-103250952.08</v>
          </cell>
        </row>
        <row r="351">
          <cell r="A351" t="str">
            <v>OBRIGAÇÕES COM BENEFICIOS AOS EMPREGADOS</v>
          </cell>
          <cell r="B351">
            <v>-20271115.949999999</v>
          </cell>
        </row>
        <row r="352">
          <cell r="A352" t="str">
            <v>Provisão para previdência privada</v>
          </cell>
          <cell r="B352">
            <v>-35238.97</v>
          </cell>
        </row>
        <row r="353">
          <cell r="A353" t="str">
            <v>2318001010 Previdencia Privada-CVM 371 LP (Realizado)</v>
          </cell>
          <cell r="B353">
            <v>-35238.97</v>
          </cell>
        </row>
        <row r="354">
          <cell r="A354" t="str">
            <v>Provisão para assistência médica</v>
          </cell>
          <cell r="B354">
            <v>-2256573.67</v>
          </cell>
        </row>
        <row r="355">
          <cell r="A355" t="str">
            <v>2319002150 Prov Nat Trab Assist Medica Aposent LP (Realizado)</v>
          </cell>
          <cell r="B355">
            <v>-2256573.67</v>
          </cell>
        </row>
        <row r="356">
          <cell r="A356" t="str">
            <v>Provisão para aposentadoria compulsória</v>
          </cell>
          <cell r="B356">
            <v>-16067963.85</v>
          </cell>
        </row>
        <row r="357">
          <cell r="A357" t="str">
            <v>2319002100 Prov Nat Trab FGTS Aviso Prev s/Aposen Comp LP (R)</v>
          </cell>
          <cell r="B357">
            <v>-16067963.85</v>
          </cell>
        </row>
        <row r="358">
          <cell r="A358" t="str">
            <v>Provisão para gratificação tempo de casa</v>
          </cell>
          <cell r="B358">
            <v>-1911339.46</v>
          </cell>
        </row>
        <row r="359">
          <cell r="A359" t="str">
            <v>2319002200 Prov Nat Trab Gratif Tempo Serv LP-Quinq (Realiz)</v>
          </cell>
          <cell r="B359">
            <v>-1911339.46</v>
          </cell>
        </row>
        <row r="360">
          <cell r="A360" t="str">
            <v>DEMANDAS JUDICIAIS</v>
          </cell>
          <cell r="B360">
            <v>-32227570.699999999</v>
          </cell>
        </row>
        <row r="361">
          <cell r="A361" t="str">
            <v>Fiscais</v>
          </cell>
          <cell r="B361">
            <v>-14554910.609999999</v>
          </cell>
        </row>
        <row r="362">
          <cell r="A362" t="str">
            <v>2319001010 Prov Nat Trib s/Dep Gar LP-Imp,Taxs Cont Fed (R)</v>
          </cell>
          <cell r="B362">
            <v>-665116.89</v>
          </cell>
        </row>
        <row r="363">
          <cell r="A363" t="str">
            <v>2319001020 Prov Nat Trib s/Dep Gar LP-Imp,Taxs Cont Est (R)</v>
          </cell>
          <cell r="B363">
            <v>-706557.47</v>
          </cell>
        </row>
        <row r="364">
          <cell r="A364" t="str">
            <v>2319101010 Prov Nat Trib c/Dep Gar LP-Imp,Taxas Cont Fed (R)</v>
          </cell>
          <cell r="B364">
            <v>-11418224.300000001</v>
          </cell>
        </row>
        <row r="365">
          <cell r="A365" t="str">
            <v>2319101030 Prov Nat Trib c/Dep em Gar LP-Imps Taxs Ctrb M (R)</v>
          </cell>
          <cell r="B365">
            <v>-1765011.95</v>
          </cell>
        </row>
        <row r="366">
          <cell r="A366" t="str">
            <v>Trabalhistas</v>
          </cell>
          <cell r="B366">
            <v>-7978425.5899999999</v>
          </cell>
        </row>
        <row r="367">
          <cell r="A367" t="str">
            <v>2319002010 Prov Nat Trab s/Dep em Gar LP-Recl Trabalh (Real)</v>
          </cell>
          <cell r="B367">
            <v>-7081355.2400000002</v>
          </cell>
        </row>
        <row r="368">
          <cell r="A368" t="str">
            <v>2319102030 Prov Nat Trab c/Dep em Gar LP - Previd (Realizado)</v>
          </cell>
          <cell r="B368">
            <v>-897070.35</v>
          </cell>
        </row>
        <row r="369">
          <cell r="A369" t="str">
            <v>Cíveis</v>
          </cell>
          <cell r="B369">
            <v>-23843334.359999999</v>
          </cell>
        </row>
        <row r="370">
          <cell r="A370" t="str">
            <v>2319000010 Prov Nat Cível s/Dep Gar LP (R)</v>
          </cell>
          <cell r="B370">
            <v>-23843334.359999999</v>
          </cell>
        </row>
        <row r="371">
          <cell r="A371" t="str">
            <v>Depósitos judiciais</v>
          </cell>
          <cell r="B371">
            <v>14149099.859999999</v>
          </cell>
        </row>
        <row r="372">
          <cell r="A372" t="str">
            <v>1719100010 Dep Jud c/ Reserv-Cíveis (Realiz)</v>
          </cell>
          <cell r="B372">
            <v>68793.259999999995</v>
          </cell>
        </row>
        <row r="373">
          <cell r="A373" t="str">
            <v>1719101010 Dep Jud c/ Reserv-Imp,Taxas e Contrib Fed (Realiz)</v>
          </cell>
          <cell r="B373">
            <v>11418224.300000001</v>
          </cell>
        </row>
        <row r="374">
          <cell r="A374" t="str">
            <v>1719101030 Dep Jud c/Res-Imp, Taxas e Contrib Munic (Realiz)</v>
          </cell>
          <cell r="B374">
            <v>1765011.95</v>
          </cell>
        </row>
        <row r="375">
          <cell r="A375" t="str">
            <v>1719102030 Dep Judiciais c/Res -Previdenciarios (Realizado)</v>
          </cell>
          <cell r="B375">
            <v>897070.35</v>
          </cell>
        </row>
        <row r="376">
          <cell r="A376" t="str">
            <v>PATRIMÔNIO LÍQUIDO</v>
          </cell>
          <cell r="B376">
            <v>-796848070.91999996</v>
          </cell>
        </row>
        <row r="377">
          <cell r="A377" t="str">
            <v>CAPITAL SOCIAL</v>
          </cell>
          <cell r="B377">
            <v>-384330953.12</v>
          </cell>
        </row>
        <row r="378">
          <cell r="A378" t="str">
            <v>Capital Subscrito</v>
          </cell>
          <cell r="B378">
            <v>-384330953.12</v>
          </cell>
        </row>
        <row r="379">
          <cell r="A379" t="str">
            <v>2710101010 Capital  Subs Domic e Resids no Pais (Realizado)</v>
          </cell>
          <cell r="B379">
            <v>-384330953.12</v>
          </cell>
        </row>
        <row r="380">
          <cell r="A380" t="str">
            <v>AÇÕES EM TESOURARIA</v>
          </cell>
          <cell r="B380">
            <v>14879117.300000001</v>
          </cell>
        </row>
        <row r="381">
          <cell r="A381" t="str">
            <v>Preferenciais</v>
          </cell>
          <cell r="B381">
            <v>14397516.449999999</v>
          </cell>
        </row>
        <row r="382">
          <cell r="A382" t="str">
            <v>2760101010 Acoes Preferenciais em Tesouraria</v>
          </cell>
          <cell r="B382">
            <v>14397516.449999999</v>
          </cell>
        </row>
        <row r="383">
          <cell r="A383" t="str">
            <v>Ordinárias</v>
          </cell>
          <cell r="B383">
            <v>481600.85</v>
          </cell>
        </row>
        <row r="384">
          <cell r="A384" t="str">
            <v>2760101020 Acoes Ordinarias em Tesouraria</v>
          </cell>
          <cell r="B384">
            <v>481600.85</v>
          </cell>
        </row>
        <row r="385">
          <cell r="A385" t="str">
            <v>RESERVA DE CAPITAL</v>
          </cell>
          <cell r="B385">
            <v>-79.84</v>
          </cell>
        </row>
        <row r="386">
          <cell r="A386" t="str">
            <v>Reserva de capital</v>
          </cell>
          <cell r="B386">
            <v>-79.84</v>
          </cell>
        </row>
        <row r="387">
          <cell r="A387" t="str">
            <v>2740101010 Reservas de Capital (Realizado)</v>
          </cell>
          <cell r="B387">
            <v>-79.84</v>
          </cell>
        </row>
        <row r="388">
          <cell r="A388" t="str">
            <v>RESERVAS DE LUCROS</v>
          </cell>
          <cell r="B388">
            <v>-418127013.91000003</v>
          </cell>
        </row>
        <row r="389">
          <cell r="A389" t="str">
            <v>Reserva legal</v>
          </cell>
          <cell r="B389">
            <v>-23131218.949999999</v>
          </cell>
        </row>
        <row r="390">
          <cell r="A390" t="str">
            <v>2740201010 Reserva Legal (Realizado)</v>
          </cell>
          <cell r="B390">
            <v>-23131218.949999999</v>
          </cell>
        </row>
        <row r="391">
          <cell r="A391" t="str">
            <v>Reserva especial para dividendos</v>
          </cell>
          <cell r="B391">
            <v>-23131218.949999999</v>
          </cell>
        </row>
        <row r="392">
          <cell r="A392" t="str">
            <v>2740203010 Reserva Especial p/Dividendos (Realizado)</v>
          </cell>
          <cell r="B392">
            <v>-23131218.949999999</v>
          </cell>
        </row>
        <row r="393">
          <cell r="A393" t="str">
            <v>Reserva de retenção de lucros</v>
          </cell>
          <cell r="B393">
            <v>-108955206.18000001</v>
          </cell>
        </row>
        <row r="394">
          <cell r="A394" t="str">
            <v>2740202100 Reserva Est-Ret de Lucros Exer de 2.014 (Realiz)</v>
          </cell>
          <cell r="B394">
            <v>-43454068.93</v>
          </cell>
        </row>
        <row r="395">
          <cell r="A395" t="str">
            <v>2740205010 Reserva de Lucros para Investimentos</v>
          </cell>
          <cell r="B395">
            <v>-65501137.25</v>
          </cell>
        </row>
        <row r="396">
          <cell r="A396" t="str">
            <v>Reserva de lucros a realizar</v>
          </cell>
          <cell r="B396">
            <v>-262909369.83000001</v>
          </cell>
        </row>
        <row r="397">
          <cell r="A397" t="str">
            <v>2740204010 Reserva de Lucros a Realizar (Realizado)</v>
          </cell>
          <cell r="B397">
            <v>-262909369.83000001</v>
          </cell>
        </row>
        <row r="398">
          <cell r="A398" t="str">
            <v>OUTROS RESULTADOS ABRANGENTES DO PERIODO</v>
          </cell>
          <cell r="B398">
            <v>25825486.719999999</v>
          </cell>
        </row>
        <row r="399">
          <cell r="A399" t="str">
            <v>Ajuste às normas internacionais de contab.</v>
          </cell>
          <cell r="B399">
            <v>25825486.719999999</v>
          </cell>
        </row>
        <row r="400">
          <cell r="A400" t="str">
            <v>2750101010 Ajs as Normas Internac de Contab (Realizado)</v>
          </cell>
          <cell r="B400">
            <v>-2092196</v>
          </cell>
        </row>
        <row r="401">
          <cell r="A401" t="str">
            <v>2750102010 (-)Ajs as Normas Internac de Contab (Realizado)</v>
          </cell>
          <cell r="B401">
            <v>27917682.719999999</v>
          </cell>
        </row>
        <row r="402">
          <cell r="A402" t="str">
            <v>LUCROS ACUMULADOS</v>
          </cell>
          <cell r="B402">
            <v>-35094628.07</v>
          </cell>
        </row>
        <row r="403">
          <cell r="A403" t="str">
            <v>Resultado líquido do periodo</v>
          </cell>
          <cell r="B403">
            <v>-35094628.07</v>
          </cell>
        </row>
        <row r="404">
          <cell r="A404" t="str">
            <v>Resultado antes dos tributos sobre o lucro</v>
          </cell>
          <cell r="B404">
            <v>-58417136.240000002</v>
          </cell>
        </row>
        <row r="405">
          <cell r="A405" t="str">
            <v>Resultado antes do resultado financeiro</v>
          </cell>
          <cell r="B405">
            <v>-82134630.480000004</v>
          </cell>
        </row>
        <row r="406">
          <cell r="A406" t="str">
            <v>Lucro bruto</v>
          </cell>
          <cell r="B406">
            <v>-163912510.31</v>
          </cell>
        </row>
        <row r="407">
          <cell r="A407" t="str">
            <v>Receita líquida de vendas</v>
          </cell>
          <cell r="B407">
            <v>-341090137.99000001</v>
          </cell>
        </row>
        <row r="408">
          <cell r="A408" t="str">
            <v>Receita bruta de vendas</v>
          </cell>
          <cell r="B408">
            <v>-444505541.12</v>
          </cell>
        </row>
        <row r="409">
          <cell r="A409" t="str">
            <v>Mercado interno</v>
          </cell>
          <cell r="B409">
            <v>-444505541.12</v>
          </cell>
        </row>
        <row r="410">
          <cell r="A410" t="str">
            <v>3110101030 Rec Brt-Vendas de Produtos no MI (Realizado)</v>
          </cell>
          <cell r="B410">
            <v>-434321715.86000001</v>
          </cell>
        </row>
        <row r="411">
          <cell r="A411" t="str">
            <v>3110105030 Rec Brt-Rev de Mercs Nacionais no MI (Realizado)</v>
          </cell>
          <cell r="B411">
            <v>-9570403.6400000006</v>
          </cell>
        </row>
        <row r="412">
          <cell r="A412" t="str">
            <v>3110106030 Rec Brt-Rev de Mercs Importadas MI ( Realizado)</v>
          </cell>
          <cell r="B412">
            <v>-832389.65</v>
          </cell>
        </row>
        <row r="413">
          <cell r="A413" t="str">
            <v>3110108030 Rec Brt-Rev de Mercs Diversas no MI (Realizado)</v>
          </cell>
          <cell r="B413">
            <v>-31114.62</v>
          </cell>
        </row>
        <row r="414">
          <cell r="A414" t="str">
            <v>3110130030 Rec Brt-Venda de Serviços no MI (Realizado)</v>
          </cell>
          <cell r="B414">
            <v>-223506.29</v>
          </cell>
        </row>
        <row r="415">
          <cell r="A415" t="str">
            <v>3110301030 (-)Vendas Canc e Dev de Prod no MI (Realizado)</v>
          </cell>
          <cell r="B415">
            <v>473588.94</v>
          </cell>
        </row>
        <row r="416">
          <cell r="A416" t="str">
            <v>Impostos incidentes s/ vendas e abatimentos</v>
          </cell>
          <cell r="B416">
            <v>103415403.13</v>
          </cell>
        </row>
        <row r="417">
          <cell r="A417" t="str">
            <v>3110401030 (-)Desc Incond s/Vend de Prod FP no MI (Realizado)</v>
          </cell>
          <cell r="B417">
            <v>269086.08000000002</v>
          </cell>
        </row>
        <row r="418">
          <cell r="A418" t="str">
            <v>3110405030 (-)Desc Incond s/Rev Merc Nacional no MI (Realiz)</v>
          </cell>
          <cell r="B418">
            <v>2300.87</v>
          </cell>
        </row>
        <row r="419">
          <cell r="A419" t="str">
            <v>3110408030 (-)Desc Incond s/Rev Merc Diversas no MI (Realiz)</v>
          </cell>
          <cell r="B419">
            <v>50.4</v>
          </cell>
        </row>
        <row r="420">
          <cell r="A420" t="str">
            <v>3110501030 (-)ICMS s/Vendas de Produtos FP no MI (Realiz)</v>
          </cell>
          <cell r="B420">
            <v>64306624.799999997</v>
          </cell>
        </row>
        <row r="421">
          <cell r="A421" t="str">
            <v>3110505030 (-)ICMS s/Rev de Mercs Nacionais no MI (Realiz)</v>
          </cell>
          <cell r="B421">
            <v>1566382.99</v>
          </cell>
        </row>
        <row r="422">
          <cell r="A422" t="str">
            <v>3110506030 (-)ICMS s/Rev de Merc Imports no MI (Realiz)</v>
          </cell>
          <cell r="B422">
            <v>146314.51999999999</v>
          </cell>
        </row>
        <row r="423">
          <cell r="A423" t="str">
            <v>3110508030 (-)ICMS s/Rev Mercadorias Divs no MI (Realizado)</v>
          </cell>
          <cell r="B423">
            <v>5508.4</v>
          </cell>
        </row>
        <row r="424">
          <cell r="A424" t="str">
            <v>3110590900 (-)ICMS s/Remessas Mercadorias Div no MI (Realiz)</v>
          </cell>
          <cell r="B424">
            <v>2457.94</v>
          </cell>
        </row>
        <row r="425">
          <cell r="A425" t="str">
            <v>3110601030 (-)Cofins s/Venda Produtos FP no MI (R)</v>
          </cell>
          <cell r="B425">
            <v>29699662.949999999</v>
          </cell>
        </row>
        <row r="426">
          <cell r="A426" t="str">
            <v>3110605030 (-)Cofins s/Revenda Merc Nacionais no MI (Realiz)</v>
          </cell>
          <cell r="B426">
            <v>704406.31</v>
          </cell>
        </row>
        <row r="427">
          <cell r="A427" t="str">
            <v>3110606030 (-)Cofins s/Revenda Merc Importadas no MI (Realiz)</v>
          </cell>
          <cell r="B427">
            <v>63261.65</v>
          </cell>
        </row>
        <row r="428">
          <cell r="A428" t="str">
            <v>3110608030 (-)Cofins s/Revenda Mercad Divs no MI (Realiz)</v>
          </cell>
          <cell r="B428">
            <v>2364.69</v>
          </cell>
        </row>
        <row r="429">
          <cell r="A429" t="str">
            <v>3110630030 (-)Cofins s/Venda de Serviços no MI (Realiz)</v>
          </cell>
          <cell r="B429">
            <v>16986.48</v>
          </cell>
        </row>
        <row r="430">
          <cell r="A430" t="str">
            <v>3110701030 (-)PIS/Pasep s/Vendas Produtos FP no MI (Realiz)</v>
          </cell>
          <cell r="B430">
            <v>6447953.8399999999</v>
          </cell>
        </row>
        <row r="431">
          <cell r="A431" t="str">
            <v>3110705030 (-)PIS/Pasep s/Rev Merc Nacionais no MI (Realiz)</v>
          </cell>
          <cell r="B431">
            <v>152930.22</v>
          </cell>
        </row>
        <row r="432">
          <cell r="A432" t="str">
            <v>3110706030 (-)PIS/Pasep s/Rev Merc Importadas no MI (Realiz)</v>
          </cell>
          <cell r="B432">
            <v>13734.44</v>
          </cell>
        </row>
        <row r="433">
          <cell r="A433" t="str">
            <v>3110708030 (-)PIS/Pasep s/Revenda Merc Divs no MI (Realiz)</v>
          </cell>
          <cell r="B433">
            <v>513.39</v>
          </cell>
        </row>
        <row r="434">
          <cell r="A434" t="str">
            <v>3110730030 (-)PIS/Pasep s/Venda Serviços no MI (Realiz)</v>
          </cell>
          <cell r="B434">
            <v>3687.85</v>
          </cell>
        </row>
        <row r="435">
          <cell r="A435" t="str">
            <v>3110830030 (-)ISS s/Venda de Serviços no MI (Realiz)</v>
          </cell>
          <cell r="B435">
            <v>11175.31</v>
          </cell>
        </row>
        <row r="436">
          <cell r="A436" t="str">
            <v>Custo dos bens e serviços vendidos</v>
          </cell>
          <cell r="B436">
            <v>177177627.68000001</v>
          </cell>
        </row>
        <row r="437">
          <cell r="A437" t="str">
            <v>Variações nos estoques de Materiais</v>
          </cell>
          <cell r="B437">
            <v>62522976.979999997</v>
          </cell>
        </row>
        <row r="438">
          <cell r="A438" t="str">
            <v>3130101012 Rev Prov p/ Desv de Exportaçao Direta de Produtos</v>
          </cell>
          <cell r="B438">
            <v>-8853462.6699999999</v>
          </cell>
        </row>
        <row r="439">
          <cell r="A439" t="str">
            <v>3130101015 Prov p/Desv de Exportaçao Direta de Produtos</v>
          </cell>
          <cell r="B439">
            <v>8468249.3300000001</v>
          </cell>
        </row>
        <row r="440">
          <cell r="A440" t="str">
            <v>3130101030 Custo das Vendas de Produtos MI (Realizado)</v>
          </cell>
          <cell r="B440">
            <v>174053146.41999999</v>
          </cell>
        </row>
        <row r="441">
          <cell r="A441" t="str">
            <v>3130101031 Custo Vendas de Produtos MI - AJ</v>
          </cell>
          <cell r="B441">
            <v>-116.37</v>
          </cell>
        </row>
        <row r="442">
          <cell r="A442" t="str">
            <v>3130101039 Custo das Vendas de Produtos MI Serv (Realizado)</v>
          </cell>
          <cell r="B442">
            <v>11225.59</v>
          </cell>
        </row>
        <row r="443">
          <cell r="A443" t="str">
            <v>3130105030 Custo das Revendas de Mercadorias no MI (Realiz)</v>
          </cell>
          <cell r="B443">
            <v>2856657.21</v>
          </cell>
        </row>
        <row r="444">
          <cell r="A444" t="str">
            <v>3130105031 Custo Revendas de Produtos MI - AJ</v>
          </cell>
          <cell r="B444">
            <v>-13998.06</v>
          </cell>
        </row>
        <row r="445">
          <cell r="A445" t="str">
            <v>3130106030 Custo da Revenda de Merc Importadas no MI (Realiz)</v>
          </cell>
          <cell r="B445">
            <v>624852.23</v>
          </cell>
        </row>
        <row r="446">
          <cell r="A446" t="str">
            <v>3130130030 Custo das Vendas de Serviços no MI (Realizado)</v>
          </cell>
          <cell r="B446">
            <v>31074</v>
          </cell>
        </row>
        <row r="447">
          <cell r="A447" t="str">
            <v>5110101010 Estoq Consumido Prod-Materia Prima SAL (Realizado)</v>
          </cell>
          <cell r="B447">
            <v>27985548.579999998</v>
          </cell>
        </row>
        <row r="448">
          <cell r="A448" t="str">
            <v>5110101011 Estoq Consumido Prod-Materia Prima SAL (Aj Real)</v>
          </cell>
          <cell r="B448">
            <v>2007448.45</v>
          </cell>
        </row>
        <row r="449">
          <cell r="A449" t="str">
            <v>5110101020 Estoq Consumido Prod-MP-Etileno (Realizado)</v>
          </cell>
          <cell r="B449">
            <v>12483963.35</v>
          </cell>
        </row>
        <row r="450">
          <cell r="A450" t="str">
            <v>5110101021 Estoq Consumido Prod-MP-Etileno (Aj Real)</v>
          </cell>
          <cell r="B450">
            <v>-2018743.58</v>
          </cell>
        </row>
        <row r="451">
          <cell r="A451" t="str">
            <v>5110101300 Estoq Consumido Prod-Mat Aux Gas Natural (Realiz)</v>
          </cell>
          <cell r="B451">
            <v>12339892.23</v>
          </cell>
        </row>
        <row r="452">
          <cell r="A452" t="str">
            <v>5110101301 Estoq Consumido Prod-Mat Aux Gas Natural (Aj Real)</v>
          </cell>
          <cell r="B452">
            <v>-1332094.6000000001</v>
          </cell>
        </row>
        <row r="453">
          <cell r="A453" t="str">
            <v>5110101310 Estoq Consumido Prod-M Aux Vapor Petroc (Realiz)</v>
          </cell>
          <cell r="B453">
            <v>5224032</v>
          </cell>
        </row>
        <row r="454">
          <cell r="A454" t="str">
            <v>5110101311 Estoq Consumido Prod-M Aux Vapor Petroc (Aj Real)</v>
          </cell>
          <cell r="B454">
            <v>-194725.77</v>
          </cell>
        </row>
        <row r="455">
          <cell r="A455" t="str">
            <v>5110101490 Estoq Consumido Prod-M Aux Demais (Realizado)</v>
          </cell>
          <cell r="B455">
            <v>3979132.02</v>
          </cell>
        </row>
        <row r="456">
          <cell r="A456" t="str">
            <v>5110101491 Estoq Consumido Prod-M Aux Demais (Aj Real)</v>
          </cell>
          <cell r="B456">
            <v>207144.51</v>
          </cell>
        </row>
        <row r="457">
          <cell r="A457" t="str">
            <v>5110101500 Estoq Consumido Prod-Embalagens (Realizado)</v>
          </cell>
          <cell r="B457">
            <v>1496566.32</v>
          </cell>
        </row>
        <row r="458">
          <cell r="A458" t="str">
            <v>5110101501 Estoq Consumido Prod-Embalagens (Aj Real)</v>
          </cell>
          <cell r="B458">
            <v>-67687.48</v>
          </cell>
        </row>
        <row r="459">
          <cell r="A459" t="str">
            <v>5110102010 Cons.Insumo-Revestimentos de Anodos (Realizado)</v>
          </cell>
          <cell r="B459">
            <v>455614.3</v>
          </cell>
        </row>
        <row r="460">
          <cell r="A460" t="str">
            <v>5110504070 Aj Preço-Var Preço Dif C Mud Nivel-Semi Acab (KDV)</v>
          </cell>
          <cell r="B460">
            <v>1.91</v>
          </cell>
        </row>
        <row r="461">
          <cell r="A461" t="str">
            <v>5110504080 Aj Preço-Var Preço Dif C Mud Nivel-Acabados (KDV)</v>
          </cell>
          <cell r="B461">
            <v>0.08</v>
          </cell>
        </row>
        <row r="462">
          <cell r="A462" t="str">
            <v>5110505010 Aj Preço-Dif Preço Nivel Único-Sal (PRD)</v>
          </cell>
          <cell r="B462">
            <v>1324827.32</v>
          </cell>
        </row>
        <row r="463">
          <cell r="A463" t="str">
            <v>5110505020 Aj Preço-Dif Preço Nivel Único-Etileno (PRD)</v>
          </cell>
          <cell r="B463">
            <v>-2018630.3</v>
          </cell>
        </row>
        <row r="464">
          <cell r="A464" t="str">
            <v>5110505030 Aj Preço-Dif Preço Nivel Único-Gás Natural (PRD)</v>
          </cell>
          <cell r="B464">
            <v>-1332094.6000000001</v>
          </cell>
        </row>
        <row r="465">
          <cell r="A465" t="str">
            <v>5110505040 Aj Preço-Dif Preço Nivel Único-Vapor (PRD)</v>
          </cell>
          <cell r="B465">
            <v>-194725.77</v>
          </cell>
        </row>
        <row r="466">
          <cell r="A466" t="str">
            <v>5110505050 Aj Preço-Dif Preço Nivel Único-Mat Auxiliares(PRD)</v>
          </cell>
          <cell r="B466">
            <v>385290.89</v>
          </cell>
        </row>
        <row r="467">
          <cell r="A467" t="str">
            <v>5110505060 Aj Preço-Dif Preço Nivel Único-Embalagens (PRD)</v>
          </cell>
          <cell r="B467">
            <v>-60016.46</v>
          </cell>
        </row>
        <row r="468">
          <cell r="A468" t="str">
            <v>5110505070 Aj Preço-Dif Preço Nivel Único-Semi Acabados (PRD)</v>
          </cell>
          <cell r="B468">
            <v>14965921.26</v>
          </cell>
        </row>
        <row r="469">
          <cell r="A469" t="str">
            <v>5110505080 Aj Preço-Dif Preço Nivel Único-Acabados (PRD)</v>
          </cell>
          <cell r="B469">
            <v>1129860.3799999999</v>
          </cell>
        </row>
        <row r="470">
          <cell r="A470" t="str">
            <v>5110505090 Aj Preço-Dif Preço Nivel Único-Revenda (PRD)</v>
          </cell>
          <cell r="B470">
            <v>156920.46</v>
          </cell>
        </row>
        <row r="471">
          <cell r="A471" t="str">
            <v>5110505100 Aj Preço-Dif Preço Nivel Único-Revenda Imp (PRD)</v>
          </cell>
          <cell r="B471">
            <v>58410.81</v>
          </cell>
        </row>
        <row r="472">
          <cell r="A472" t="str">
            <v>5110506070 Aj Preço-Dif Preço Multinivel-Semi Acabado (PRV)</v>
          </cell>
          <cell r="B472">
            <v>3.35</v>
          </cell>
        </row>
        <row r="473">
          <cell r="A473" t="str">
            <v>5110506080 Aj Preço-Dif Preço Multinivel-Acabado (PRV)</v>
          </cell>
          <cell r="B473">
            <v>-0.01</v>
          </cell>
        </row>
        <row r="474">
          <cell r="A474" t="str">
            <v>5110507010 Aj Preço-Dif Preço Fechamento ML-Sal (PRY)</v>
          </cell>
          <cell r="B474">
            <v>-1324827.32</v>
          </cell>
        </row>
        <row r="475">
          <cell r="A475" t="str">
            <v>5110507020 Aj Preço-Dif Preço Fechamento ML-Etileno (PRY)</v>
          </cell>
          <cell r="B475">
            <v>2018630.3</v>
          </cell>
        </row>
        <row r="476">
          <cell r="A476" t="str">
            <v>5110507030 Aj Preço-Dif Preço Fechamento ML-Gas Natural (PRY)</v>
          </cell>
          <cell r="B476">
            <v>1332094.6000000001</v>
          </cell>
        </row>
        <row r="477">
          <cell r="A477" t="str">
            <v>5110507040 Aj Preço-Dif Preço Fechamento ML-Vapor (PRY)</v>
          </cell>
          <cell r="B477">
            <v>194725.77</v>
          </cell>
        </row>
        <row r="478">
          <cell r="A478" t="str">
            <v>5110507050 Aj Preço-Dif Preço Fechamento ML-Mat Auxiliar(PRY)</v>
          </cell>
          <cell r="B478">
            <v>-385290.88</v>
          </cell>
        </row>
        <row r="479">
          <cell r="A479" t="str">
            <v>5110507060 Aj Preço-Dif Preço Fechamento ML-Embalagens (PRY)</v>
          </cell>
          <cell r="B479">
            <v>60016.46</v>
          </cell>
        </row>
        <row r="480">
          <cell r="A480" t="str">
            <v>5110507070 Aj Preço-Dif Preço Fechamento ML-Semi Acabad (PRY)</v>
          </cell>
          <cell r="B480">
            <v>-14965921.279999999</v>
          </cell>
        </row>
        <row r="481">
          <cell r="A481" t="str">
            <v>5110507080 Aj Preço-Dif Preço Fechamento ML-Acabados (PRY)</v>
          </cell>
          <cell r="B481">
            <v>-1129860.3799999999</v>
          </cell>
        </row>
        <row r="482">
          <cell r="A482" t="str">
            <v>5110507090 Aj Preço-Dif Preço Fechamento ML-Revenda (PRY)</v>
          </cell>
          <cell r="B482">
            <v>-156920.46</v>
          </cell>
        </row>
        <row r="483">
          <cell r="A483" t="str">
            <v>5110507100 Aj Preço-Dif Preço Fechamento ML-Revenda Imp (PRY)</v>
          </cell>
          <cell r="B483">
            <v>-58410.81</v>
          </cell>
        </row>
        <row r="484">
          <cell r="A484" t="str">
            <v>5110508080 Aj Preço-Var Preço Revaloriz Estoq-Acabados (UMB)</v>
          </cell>
          <cell r="B484">
            <v>-28.38</v>
          </cell>
        </row>
        <row r="485">
          <cell r="A485" t="str">
            <v>5110599010 Ajustes do Grupo Material Ledger - Realizado</v>
          </cell>
          <cell r="B485">
            <v>23.06</v>
          </cell>
        </row>
        <row r="486">
          <cell r="A486" t="str">
            <v>5110608010 Proj Inv.Est.Pesq-Mat Cons-Imobilizado (Realizado)</v>
          </cell>
          <cell r="B486">
            <v>2408193.41</v>
          </cell>
        </row>
        <row r="487">
          <cell r="A487" t="str">
            <v>5110620010 Proj Inv.Est.Pesq-S.Prest Terc-Imobiliz PJ(Realiz)</v>
          </cell>
          <cell r="B487">
            <v>3285874.71</v>
          </cell>
        </row>
        <row r="488">
          <cell r="A488" t="str">
            <v>5110620020 Proj Inv.Est.Pesq-S.Prest Terc-Estudo PJ (Realiz)</v>
          </cell>
          <cell r="B488">
            <v>20760</v>
          </cell>
        </row>
        <row r="489">
          <cell r="A489" t="str">
            <v>5110635010 Proj Inv.Est.Pesq-Encarg Financ-Imobiliz (Realiz)</v>
          </cell>
          <cell r="B489">
            <v>159104.57999999999</v>
          </cell>
        </row>
        <row r="490">
          <cell r="A490" t="str">
            <v>5110690050 (-)Proj Inv.Est.Pesq-Imp Aq-ICMS s/Aquis Imob (R)</v>
          </cell>
          <cell r="B490">
            <v>401728.05</v>
          </cell>
        </row>
        <row r="491">
          <cell r="A491" t="str">
            <v>5110690060 (-)Proj Inv.Est.Pesq-Imp Aq-COFINS Aquis Imob (R)</v>
          </cell>
          <cell r="B491">
            <v>470278.86</v>
          </cell>
        </row>
        <row r="492">
          <cell r="A492" t="str">
            <v>5110690070 (-)Proj Inv.Est.Pesq-Imp Aquis-PIS Aquis Imob (R)</v>
          </cell>
          <cell r="B492">
            <v>102099.89</v>
          </cell>
        </row>
        <row r="493">
          <cell r="A493" t="str">
            <v>5110699010 Proj Inv.Est.Pesq-Transf p/Imob em Andamento (R)</v>
          </cell>
          <cell r="B493">
            <v>-6827279.5</v>
          </cell>
        </row>
        <row r="494">
          <cell r="A494" t="str">
            <v>5110699020 Proj Inv.Est.Pesq-Transf p/Estudos/Pesq (Realiz)</v>
          </cell>
          <cell r="B494">
            <v>-20760</v>
          </cell>
        </row>
        <row r="495">
          <cell r="A495" t="str">
            <v>5120101010 Cst P.Fab Próp Transf p/S.Acabado(F.Fab)-(Aj.Real)</v>
          </cell>
          <cell r="B495">
            <v>-539879051.36000001</v>
          </cell>
        </row>
        <row r="496">
          <cell r="A496" t="str">
            <v>5120101011 Cst P.Fab Próp Transf p/S.Acab(AjOrdProd)-(Planej)</v>
          </cell>
          <cell r="B496">
            <v>-14965921.27</v>
          </cell>
        </row>
        <row r="497">
          <cell r="A497" t="str">
            <v>5120101012 Cst P.Fab Próp Transf p/S.Acab(Zerar Centro Cst)</v>
          </cell>
          <cell r="B497">
            <v>8266330.5899999999</v>
          </cell>
        </row>
        <row r="498">
          <cell r="A498" t="str">
            <v>5120101013 Cst P.Fab Próp Consumo S.Acab (Realizado)</v>
          </cell>
          <cell r="B498">
            <v>539481741.37</v>
          </cell>
        </row>
        <row r="499">
          <cell r="A499" t="str">
            <v>5120101020 Cst P.Fab Próp Transf p/P.Acabado(F.Fab)-(Aj.Real)</v>
          </cell>
          <cell r="B499">
            <v>-167022648.37</v>
          </cell>
        </row>
        <row r="500">
          <cell r="A500" t="str">
            <v>5120101021 Cst P.Fab Próp Transf p/P.Acabado(F.Fab)-(Planej)</v>
          </cell>
          <cell r="B500">
            <v>-1129860.3799999999</v>
          </cell>
        </row>
        <row r="501">
          <cell r="A501" t="str">
            <v>5120101022 Cst P.Fab Próp Transf p/P.Acabado(Zerar CentroCst)</v>
          </cell>
          <cell r="B501">
            <v>-3369970.11</v>
          </cell>
        </row>
        <row r="502">
          <cell r="A502" t="str">
            <v>5120101030 Cst P.Fab Próp Transf p/P.Acabado(Aj Cons Real)</v>
          </cell>
          <cell r="B502">
            <v>1398638.5</v>
          </cell>
        </row>
        <row r="503">
          <cell r="A503" t="str">
            <v>Energia Elétrica</v>
          </cell>
          <cell r="B503">
            <v>52799700.780000001</v>
          </cell>
        </row>
        <row r="504">
          <cell r="A504" t="str">
            <v>5110105010 Cons Insumo E Eletrica Cons Energia Eletrica (R)</v>
          </cell>
          <cell r="B504">
            <v>52799700.780000001</v>
          </cell>
        </row>
        <row r="505">
          <cell r="A505" t="str">
            <v>Despesas com salários e benefícios a empregad</v>
          </cell>
          <cell r="B505">
            <v>28388038.789999999</v>
          </cell>
        </row>
        <row r="506">
          <cell r="A506" t="str">
            <v>5111001030 FLPG-Ordena.Sal.Outras Remune Empreg(R)</v>
          </cell>
          <cell r="B506">
            <v>13676331.699999999</v>
          </cell>
        </row>
        <row r="507">
          <cell r="A507" t="str">
            <v>5111001040 FLPG-13º Salario (Realizado)</v>
          </cell>
          <cell r="B507">
            <v>94820.95</v>
          </cell>
        </row>
        <row r="508">
          <cell r="A508" t="str">
            <v>5111001041 FLPG-Provisao de 13º Salario</v>
          </cell>
          <cell r="B508">
            <v>1103201</v>
          </cell>
        </row>
        <row r="509">
          <cell r="A509" t="str">
            <v>5111001042 FLPG-Reversao da Provisao de 13º Salario</v>
          </cell>
          <cell r="B509">
            <v>-47512.13</v>
          </cell>
        </row>
        <row r="510">
          <cell r="A510" t="str">
            <v>5111001050 FLPG-Ferias (Realizado)</v>
          </cell>
          <cell r="B510">
            <v>3230370.42</v>
          </cell>
        </row>
        <row r="511">
          <cell r="A511" t="str">
            <v>5111001051 FLPG-Provisao de Ferias</v>
          </cell>
          <cell r="B511">
            <v>1363866.27</v>
          </cell>
        </row>
        <row r="512">
          <cell r="A512" t="str">
            <v>5111001052 FLPG-Reversao da Provisao de Ferias</v>
          </cell>
          <cell r="B512">
            <v>-1448904.5</v>
          </cell>
        </row>
        <row r="513">
          <cell r="A513" t="str">
            <v>5111001080 FLPG-Gratificaçoes de Ferias(Realizado)</v>
          </cell>
          <cell r="B513">
            <v>942761.67</v>
          </cell>
        </row>
        <row r="514">
          <cell r="A514" t="str">
            <v>5111001081 FLPG-Provisao de Gratificaçoes de Ferias</v>
          </cell>
          <cell r="B514">
            <v>886069.56</v>
          </cell>
        </row>
        <row r="515">
          <cell r="A515" t="str">
            <v>5111001082 FLPG-Rever Provi Gratificaçoes de Ferias</v>
          </cell>
          <cell r="B515">
            <v>-942761.67</v>
          </cell>
        </row>
        <row r="516">
          <cell r="A516" t="str">
            <v>5111001090 FLPG-Gratificaçoes (Realizado)</v>
          </cell>
          <cell r="B516">
            <v>363226.03</v>
          </cell>
        </row>
        <row r="517">
          <cell r="A517" t="str">
            <v>5111001091 FLPG-Provisao de Gratificaçoes</v>
          </cell>
          <cell r="B517">
            <v>1782372.84</v>
          </cell>
        </row>
        <row r="518">
          <cell r="A518" t="str">
            <v>5111001092 FLPG-Rever da Provisao de Gratificaçoes</v>
          </cell>
          <cell r="B518">
            <v>-185898.34</v>
          </cell>
        </row>
        <row r="519">
          <cell r="A519" t="str">
            <v>5111001100 FLPG-Gratificaçoes Quinquenios (Realizado)</v>
          </cell>
          <cell r="B519">
            <v>648699.78</v>
          </cell>
        </row>
        <row r="520">
          <cell r="A520" t="str">
            <v>5111001101 FLPG-Prov Gratificaçoes Quinquenios</v>
          </cell>
          <cell r="B520">
            <v>-152595.04999999999</v>
          </cell>
        </row>
        <row r="521">
          <cell r="A521" t="str">
            <v>5111001102 FLPG-Rever Prov Gratificaçoes Quinquenios</v>
          </cell>
          <cell r="B521">
            <v>-648699.78</v>
          </cell>
        </row>
        <row r="522">
          <cell r="A522" t="str">
            <v>5111001120 FLPG-Aviso Previo (Realizado)</v>
          </cell>
          <cell r="B522">
            <v>677621.35</v>
          </cell>
        </row>
        <row r="523">
          <cell r="A523" t="str">
            <v>5111001122 FLPG-Reversao da Provisao de Aviso Previo</v>
          </cell>
          <cell r="B523">
            <v>-677621.35</v>
          </cell>
        </row>
        <row r="524">
          <cell r="A524" t="str">
            <v>5111001240 FLPG-Auxilio Doença (Realizado)</v>
          </cell>
          <cell r="B524">
            <v>52233.5</v>
          </cell>
        </row>
        <row r="525">
          <cell r="A525" t="str">
            <v>5111001250 FLPG-Auxilio Ensino (Realizado)</v>
          </cell>
          <cell r="B525">
            <v>177319.88</v>
          </cell>
        </row>
        <row r="526">
          <cell r="A526" t="str">
            <v>5111001300 FLPG-Bolsa Estudos de Estagiarios (Realizado)</v>
          </cell>
          <cell r="B526">
            <v>109541.57</v>
          </cell>
        </row>
        <row r="527">
          <cell r="A527" t="str">
            <v>5111001990 Rateio da Mão de Obra da Manutenção</v>
          </cell>
          <cell r="B527">
            <v>-4989.1099999999997</v>
          </cell>
        </row>
        <row r="528">
          <cell r="A528" t="str">
            <v>5111002010 FGTS-Folha de Pagamento (Realizado)</v>
          </cell>
          <cell r="B528">
            <v>1143772.29</v>
          </cell>
        </row>
        <row r="529">
          <cell r="A529" t="str">
            <v>5111002020 FGTS-Ferias (Realizado)</v>
          </cell>
          <cell r="B529">
            <v>84736.34</v>
          </cell>
        </row>
        <row r="530">
          <cell r="A530" t="str">
            <v>5111002021 FGTS-Provisao de FGTS s/Ferias</v>
          </cell>
          <cell r="B530">
            <v>104016.72</v>
          </cell>
        </row>
        <row r="531">
          <cell r="A531" t="str">
            <v>5111002022 FGTS-Reversao da Provisao de FGTS s/Ferias</v>
          </cell>
          <cell r="B531">
            <v>-110482.53</v>
          </cell>
        </row>
        <row r="532">
          <cell r="A532" t="str">
            <v>5111002030 FGTS-13º Salario (Realizado)</v>
          </cell>
          <cell r="B532">
            <v>29422.57</v>
          </cell>
        </row>
        <row r="533">
          <cell r="A533" t="str">
            <v>5111002031 FGTS-Provisao de FGTS S/13º Salario</v>
          </cell>
          <cell r="B533">
            <v>117215.34</v>
          </cell>
        </row>
        <row r="534">
          <cell r="A534" t="str">
            <v>5111002032 FGTS-Reversao da Provisao FGTS S/13º Salario</v>
          </cell>
          <cell r="B534">
            <v>-33024.47</v>
          </cell>
        </row>
        <row r="535">
          <cell r="A535" t="str">
            <v>5111002040 FGTS-Desligamento de Funcionarios (Realizado)</v>
          </cell>
          <cell r="B535">
            <v>2109491.5499999998</v>
          </cell>
        </row>
        <row r="536">
          <cell r="A536" t="str">
            <v>5111002041 FGTS-Provisao FGTS s/Desligamento Funcionario</v>
          </cell>
          <cell r="B536">
            <v>839825</v>
          </cell>
        </row>
        <row r="537">
          <cell r="A537" t="str">
            <v>5111002042 FGTS-Rever Prov FGTS s/Desligamento Funcionario</v>
          </cell>
          <cell r="B537">
            <v>-2109491.5499999998</v>
          </cell>
        </row>
        <row r="538">
          <cell r="A538" t="str">
            <v>5111003010 INSS-Folha de Pagamento (Realizado)</v>
          </cell>
          <cell r="B538">
            <v>4552163.18</v>
          </cell>
        </row>
        <row r="539">
          <cell r="A539" t="str">
            <v>5111003021 INSS-Provisao de INSS s/Ferias</v>
          </cell>
          <cell r="B539">
            <v>77227.08</v>
          </cell>
        </row>
        <row r="540">
          <cell r="A540" t="str">
            <v>5111003022 INSS-Reversao da Provisao de INSS s/Ferias</v>
          </cell>
          <cell r="B540">
            <v>-231536.65</v>
          </cell>
        </row>
        <row r="541">
          <cell r="A541" t="str">
            <v>5111003031 INSS-Provisao de INSS s/13º Salario</v>
          </cell>
          <cell r="B541">
            <v>270070.42</v>
          </cell>
        </row>
        <row r="542">
          <cell r="A542" t="str">
            <v>5111003032 INSS-Reversao Provisao de INSS s/13º Salario</v>
          </cell>
          <cell r="B542">
            <v>-12525.59</v>
          </cell>
        </row>
        <row r="543">
          <cell r="A543" t="str">
            <v>5111503040 Desp Medicas Hospitalares (Realizado)</v>
          </cell>
          <cell r="B543">
            <v>147594.74</v>
          </cell>
        </row>
        <row r="544">
          <cell r="A544" t="str">
            <v>5111504020 Desenv Prof-Material de Consumo em Cursos (Realiz)</v>
          </cell>
          <cell r="B544">
            <v>38.9</v>
          </cell>
        </row>
        <row r="545">
          <cell r="A545" t="str">
            <v>5111504060 Desenv Prof-Refeiçoes em Cursos (Realizado)</v>
          </cell>
          <cell r="B545">
            <v>78.03</v>
          </cell>
        </row>
        <row r="546">
          <cell r="A546" t="str">
            <v>5111504070 Desenv Prof-Aprendiz de Menores em Cursos (Realiz)</v>
          </cell>
          <cell r="B546">
            <v>62409.61</v>
          </cell>
        </row>
        <row r="547">
          <cell r="A547" t="str">
            <v>5111505010 Desp Soc-Contrib Associaçao Desportiva (Realizado)</v>
          </cell>
          <cell r="B547">
            <v>175400</v>
          </cell>
        </row>
        <row r="548">
          <cell r="A548" t="str">
            <v>5111505020 Desp Soc-Comemoraçoes e Eventos (Realizado)</v>
          </cell>
          <cell r="B548">
            <v>9981.65</v>
          </cell>
        </row>
        <row r="549">
          <cell r="A549" t="str">
            <v>5111506030 Despesa Taxi e Conduçoes (Realizado)</v>
          </cell>
          <cell r="B549">
            <v>127842.25</v>
          </cell>
        </row>
        <row r="550">
          <cell r="A550" t="str">
            <v>5111506040 Despesa Aluguel de Veiculos (Realizado)</v>
          </cell>
          <cell r="B550">
            <v>252</v>
          </cell>
        </row>
        <row r="551">
          <cell r="A551" t="str">
            <v>5111507010 Despesa Refeiçoes Prontas (Realizado)</v>
          </cell>
          <cell r="B551">
            <v>1437.44</v>
          </cell>
        </row>
        <row r="552">
          <cell r="A552" t="str">
            <v>5111507030 Despesa Refeiçoes-Visita e Outras (Realizado)</v>
          </cell>
          <cell r="B552">
            <v>25304.68</v>
          </cell>
        </row>
        <row r="553">
          <cell r="A553" t="str">
            <v>5111507040 Despesa Refeiçoes-Lanches Externos (Realizado)</v>
          </cell>
          <cell r="B553">
            <v>7365.2</v>
          </cell>
        </row>
        <row r="554">
          <cell r="A554" t="str">
            <v>Encargos de depreciação e amortização</v>
          </cell>
          <cell r="B554">
            <v>16426459.59</v>
          </cell>
        </row>
        <row r="555">
          <cell r="A555" t="str">
            <v>5119001010 Encarg de Deprec e Amort-Depreciaçao (Realizado)</v>
          </cell>
          <cell r="B555">
            <v>10848373.66</v>
          </cell>
        </row>
        <row r="556">
          <cell r="A556" t="str">
            <v>5119001011 Encarg de Depreciaçao Mais Valia (Realizado)</v>
          </cell>
          <cell r="B556">
            <v>2683709.58</v>
          </cell>
        </row>
        <row r="557">
          <cell r="A557" t="str">
            <v>5119001012 Encarg de Depreciaçao Mais Valia CN (Realizado)</v>
          </cell>
          <cell r="B557">
            <v>2683709.58</v>
          </cell>
        </row>
        <row r="558">
          <cell r="A558" t="str">
            <v>5119001014 Encarg de Depreciaçao AVP (Realizado)</v>
          </cell>
          <cell r="B558">
            <v>194343.75</v>
          </cell>
        </row>
        <row r="559">
          <cell r="A559" t="str">
            <v>5119001050 Encarg de Deprec e Amort-Amortizaçao (Realizado)</v>
          </cell>
          <cell r="B559">
            <v>16237.51</v>
          </cell>
        </row>
        <row r="560">
          <cell r="A560" t="str">
            <v>5119001054 Amortizaçao AVP (Realizado)</v>
          </cell>
          <cell r="B560">
            <v>85.51</v>
          </cell>
        </row>
        <row r="561">
          <cell r="A561" t="str">
            <v>Serviços de terceiros</v>
          </cell>
          <cell r="B561">
            <v>9541309.5500000007</v>
          </cell>
        </row>
        <row r="562">
          <cell r="A562" t="str">
            <v>5112002010 Serviços Prestados Auditoria  p/PJ (Realizado)</v>
          </cell>
          <cell r="B562">
            <v>40142.379999999997</v>
          </cell>
        </row>
        <row r="563">
          <cell r="A563" t="str">
            <v>5112003010 Serviços Prestados Consultoria p/PJ (Realizado)</v>
          </cell>
          <cell r="B563">
            <v>292103.09000000003</v>
          </cell>
        </row>
        <row r="564">
          <cell r="A564" t="str">
            <v>5112003040 Serv Prest Consultoria p/PF s/Vinc Empr (Realiz)</v>
          </cell>
          <cell r="B564">
            <v>22443.68</v>
          </cell>
        </row>
        <row r="565">
          <cell r="A565" t="str">
            <v>5112008010 Serv Prest Propaganda e Publicidade p/PJ (Realiz)</v>
          </cell>
          <cell r="B565">
            <v>2500</v>
          </cell>
        </row>
        <row r="566">
          <cell r="A566" t="str">
            <v>5112010010 Serviços Prestados Temporario p/PJ (Realizado)</v>
          </cell>
          <cell r="B566">
            <v>13356.61</v>
          </cell>
        </row>
        <row r="567">
          <cell r="A567" t="str">
            <v>5112011010 Serviços Prestados Limpeza p/ PJ (Realizado)</v>
          </cell>
          <cell r="B567">
            <v>420106.99</v>
          </cell>
        </row>
        <row r="568">
          <cell r="A568" t="str">
            <v>5112012010 Serviços Prestados Vigilancia PJ (Realiz)</v>
          </cell>
          <cell r="B568">
            <v>690690.99</v>
          </cell>
        </row>
        <row r="569">
          <cell r="A569" t="str">
            <v>5112013010 Serviços Prestados Jardinagem p/PJ (Realizado)</v>
          </cell>
          <cell r="B569">
            <v>172776.63</v>
          </cell>
        </row>
        <row r="570">
          <cell r="A570" t="str">
            <v>5112014010 Serv Prest Estacionamento de Caminhoes PJ (Realiz)</v>
          </cell>
          <cell r="B570">
            <v>408375</v>
          </cell>
        </row>
        <row r="571">
          <cell r="A571" t="str">
            <v>5112015010 Serv Prest Fretes Carretos s/Compras p/PJ (Realiz)</v>
          </cell>
          <cell r="B571">
            <v>3862734.98</v>
          </cell>
        </row>
        <row r="572">
          <cell r="A572" t="str">
            <v>5112017010 Serviços Prestados Engenharia p/PJ (Realiz)</v>
          </cell>
          <cell r="B572">
            <v>5808</v>
          </cell>
        </row>
        <row r="573">
          <cell r="A573" t="str">
            <v>5112018010 Serv Prest Reparos Assist Tecnica p/PJ (Realiz)</v>
          </cell>
          <cell r="B573">
            <v>619374.18000000005</v>
          </cell>
        </row>
        <row r="574">
          <cell r="A574" t="str">
            <v>5112019010 Serv Prest Tratamento de Residuos p/PJ (Realiz)</v>
          </cell>
          <cell r="B574">
            <v>102197.25</v>
          </cell>
        </row>
        <row r="575">
          <cell r="A575" t="str">
            <v>5112099010 Prest Serv Tecnicos Profissionais p/PJ (Realiz)</v>
          </cell>
          <cell r="B575">
            <v>335760.27</v>
          </cell>
        </row>
        <row r="576">
          <cell r="A576" t="str">
            <v>5112099040 Serv Prest Tec Profissionais p/PF s/Vin Empr (R)</v>
          </cell>
          <cell r="B576">
            <v>10563</v>
          </cell>
        </row>
        <row r="577">
          <cell r="A577" t="str">
            <v>5112150010 Serv Prest Manutençao Civil p/PJ (Realizado)</v>
          </cell>
          <cell r="B577">
            <v>1264629.5</v>
          </cell>
        </row>
        <row r="578">
          <cell r="A578" t="str">
            <v>5112150015 Serv Prest Manutençao Civil p/PJ (Recuperado)</v>
          </cell>
          <cell r="B578">
            <v>-3750.73</v>
          </cell>
        </row>
        <row r="579">
          <cell r="A579" t="str">
            <v>5112151010 Serv Prest Manutençao Eletricos p/PJ (Realiz)</v>
          </cell>
          <cell r="B579">
            <v>284073.8</v>
          </cell>
        </row>
        <row r="580">
          <cell r="A580" t="str">
            <v>5112151015 Serv Prest Manutençao Eletricos p/PJ (Recuperado)</v>
          </cell>
          <cell r="B580">
            <v>-678974.92</v>
          </cell>
        </row>
        <row r="581">
          <cell r="A581" t="str">
            <v>5112152010 Serv Prest Manutençao Mecânicos p/PJ (Realizado)</v>
          </cell>
          <cell r="B581">
            <v>283109.05</v>
          </cell>
        </row>
        <row r="582">
          <cell r="A582" t="str">
            <v>5112153010 Serv Prest Manutençao Inspeçao PJ (Realizado)</v>
          </cell>
          <cell r="B582">
            <v>360956.91</v>
          </cell>
        </row>
        <row r="583">
          <cell r="A583" t="str">
            <v>5112154010 Serv Prest Manutençao Cald/Tubul PJ (Realzado)</v>
          </cell>
          <cell r="B583">
            <v>627220.05000000005</v>
          </cell>
        </row>
        <row r="584">
          <cell r="A584" t="str">
            <v>5112155010 Serv Prest Manut Instrumentaçao PJ (Realizado)</v>
          </cell>
          <cell r="B584">
            <v>279252.95</v>
          </cell>
        </row>
        <row r="585">
          <cell r="A585" t="str">
            <v>5112170010 Serv Prest Manutenaçao Cel HG-PJ (Realizado)</v>
          </cell>
          <cell r="B585">
            <v>389243.59</v>
          </cell>
        </row>
        <row r="586">
          <cell r="A586" t="str">
            <v>5112175010 Serv Prest Manutençao Cel Diafrag p/PJ (Realiz)</v>
          </cell>
          <cell r="B586">
            <v>100840.07</v>
          </cell>
        </row>
        <row r="587">
          <cell r="A587" t="str">
            <v>5112180010 Serv Prest Manutençao Cel Memb PJ (Realizado)</v>
          </cell>
          <cell r="B587">
            <v>366.66</v>
          </cell>
        </row>
        <row r="588">
          <cell r="A588" t="str">
            <v>5112199010 Serv Prest Manutençao Apoio-PJ (Realizado)</v>
          </cell>
          <cell r="B588">
            <v>150106.54999999999</v>
          </cell>
        </row>
        <row r="589">
          <cell r="A589" t="str">
            <v>5112199015 Serv Prest Manutençao Apoio-PJ (Recuperado)</v>
          </cell>
          <cell r="B589">
            <v>-1139635.6299999999</v>
          </cell>
        </row>
        <row r="590">
          <cell r="A590" t="str">
            <v>5112199410 Serv Prest Manutençao Pintura-PJ (Realizado)</v>
          </cell>
          <cell r="B590">
            <v>382541.12</v>
          </cell>
        </row>
        <row r="591">
          <cell r="A591" t="str">
            <v>5112199510 Serv Prest Manutençao Revestimentos-PJ (Realizado)</v>
          </cell>
          <cell r="B591">
            <v>81826.97</v>
          </cell>
        </row>
        <row r="592">
          <cell r="A592" t="str">
            <v>5112199610 Serv Prest Manutençao Isolamentos-PJ (Realizado)</v>
          </cell>
          <cell r="B592">
            <v>160570.56</v>
          </cell>
        </row>
        <row r="593">
          <cell r="A593" t="str">
            <v>Outras</v>
          </cell>
          <cell r="B593">
            <v>7499141.9900000002</v>
          </cell>
        </row>
        <row r="594">
          <cell r="A594" t="str">
            <v>5110801020 Mat Cons-Oper-Mat Processo Produtivo (Realiz)</v>
          </cell>
          <cell r="B594">
            <v>42880.33</v>
          </cell>
        </row>
        <row r="595">
          <cell r="A595" t="str">
            <v>5110801030 Mat Cons-Oper-Mat Tratamento Residuos (Realiz)</v>
          </cell>
          <cell r="B595">
            <v>14091.03</v>
          </cell>
        </row>
        <row r="596">
          <cell r="A596" t="str">
            <v>5110801040 Mat Cons-Oper-Mat Análises Quimicas (Realizado)</v>
          </cell>
          <cell r="B596">
            <v>126214.61</v>
          </cell>
        </row>
        <row r="597">
          <cell r="A597" t="str">
            <v>5110801060 Mat Cons-Oper-Ferramentas (Realizado)</v>
          </cell>
          <cell r="B597">
            <v>127110.72</v>
          </cell>
        </row>
        <row r="598">
          <cell r="A598" t="str">
            <v>5110801070 Mat Cons-Oper-Mat Reparo e Manutençao (Realizado)</v>
          </cell>
          <cell r="B598">
            <v>2354.0300000000002</v>
          </cell>
        </row>
        <row r="599">
          <cell r="A599" t="str">
            <v>5110801080 Mat Cons-Oper-Mat Conserv Ecológica (Realizado)</v>
          </cell>
          <cell r="B599">
            <v>3641.08</v>
          </cell>
        </row>
        <row r="600">
          <cell r="A600" t="str">
            <v>5110801090 Mat Cons-Oper-Mat Limpeza (Realizado)</v>
          </cell>
          <cell r="B600">
            <v>9223.84</v>
          </cell>
        </row>
        <row r="601">
          <cell r="A601" t="str">
            <v>5110801100 Mat Cons-Oper-Mat Segurança (Realizado)</v>
          </cell>
          <cell r="B601">
            <v>478256.35</v>
          </cell>
        </row>
        <row r="602">
          <cell r="A602" t="str">
            <v>5110801110 Mat Cons-Oper-Consumo de Água (Realizado)</v>
          </cell>
          <cell r="B602">
            <v>284345.96999999997</v>
          </cell>
        </row>
        <row r="603">
          <cell r="A603" t="str">
            <v>5110801130 Mat Cons-Oper-Mat Escritório (Realizado)</v>
          </cell>
          <cell r="B603">
            <v>16111.19</v>
          </cell>
        </row>
        <row r="604">
          <cell r="A604" t="str">
            <v>5110801140 Mat Cons-Oper-Mat Imobilizado (Realizado)</v>
          </cell>
          <cell r="B604">
            <v>2255.91</v>
          </cell>
        </row>
        <row r="605">
          <cell r="A605" t="str">
            <v>5110802020 Mat Cons-Manutençao-Eletrica (Realizado)</v>
          </cell>
          <cell r="B605">
            <v>264730.15000000002</v>
          </cell>
        </row>
        <row r="606">
          <cell r="A606" t="str">
            <v>5110802025 Consumo de Materiais de Manutenção Eletrica (Recup</v>
          </cell>
          <cell r="B606">
            <v>-612.87</v>
          </cell>
        </row>
        <row r="607">
          <cell r="A607" t="str">
            <v>5110802030 Mat Cons-Manutençao-Mecânica (Realizado)</v>
          </cell>
          <cell r="B607">
            <v>1454793.53</v>
          </cell>
        </row>
        <row r="608">
          <cell r="A608" t="str">
            <v>5110802040 Mat Cons-Manutençao-Manut Inspeçao (Realizado)</v>
          </cell>
          <cell r="B608">
            <v>0.01</v>
          </cell>
        </row>
        <row r="609">
          <cell r="A609" t="str">
            <v>5110802050 Mat Cons-Manutençao-Calderaria/Tubul (Realizado)</v>
          </cell>
          <cell r="B609">
            <v>1552227.48</v>
          </cell>
        </row>
        <row r="610">
          <cell r="A610" t="str">
            <v>5110802055 Mat Cons-Manutençao-Calderaria/Tubul (Recuperado)</v>
          </cell>
          <cell r="B610">
            <v>-9.15</v>
          </cell>
        </row>
        <row r="611">
          <cell r="A611" t="str">
            <v>5110802060 Mat Cons-Manutençao-Instrumentaçao (Realizado)</v>
          </cell>
          <cell r="B611">
            <v>1177184.26</v>
          </cell>
        </row>
        <row r="612">
          <cell r="A612" t="str">
            <v>5110802065 Mat Cons-Manutençao-Instrumentaçao (Recuperado)</v>
          </cell>
          <cell r="B612">
            <v>-83.02</v>
          </cell>
        </row>
        <row r="613">
          <cell r="A613" t="str">
            <v>5110802070 Mat Cons-Manutençao-Celula HG (Realizado)</v>
          </cell>
          <cell r="B613">
            <v>390339.6</v>
          </cell>
        </row>
        <row r="614">
          <cell r="A614" t="str">
            <v>5110802080 Mat Cons-Manutençao-Celula Diafragma (Realizado)</v>
          </cell>
          <cell r="B614">
            <v>185563.51</v>
          </cell>
        </row>
        <row r="615">
          <cell r="A615" t="str">
            <v>5110802090 Mat Cons-Manutençao-Celula Membrana (Realizado)</v>
          </cell>
          <cell r="B615">
            <v>261203.14</v>
          </cell>
        </row>
        <row r="616">
          <cell r="A616" t="str">
            <v>5110802990 Mat Cons-Manutençao-Geral (Realizado)</v>
          </cell>
          <cell r="B616">
            <v>410231.4</v>
          </cell>
        </row>
        <row r="617">
          <cell r="A617" t="str">
            <v>5110802995 Mat Cons-Manutençao-Geral (Recuperado)</v>
          </cell>
          <cell r="B617">
            <v>-11292.74</v>
          </cell>
        </row>
        <row r="618">
          <cell r="A618" t="str">
            <v>5110803220 Mat Cons-Proc Produtivo-Perda Estoq Almox (Realiz)</v>
          </cell>
          <cell r="B618">
            <v>36.659999999999997</v>
          </cell>
        </row>
        <row r="619">
          <cell r="A619" t="str">
            <v>5111902010 Despesa Viagens Nacionais (Realizado)</v>
          </cell>
          <cell r="B619">
            <v>8211.42</v>
          </cell>
        </row>
        <row r="620">
          <cell r="A620" t="str">
            <v>5111902020 Despesas Viagens Internacionais (Realizado)</v>
          </cell>
          <cell r="B620">
            <v>7367.1</v>
          </cell>
        </row>
        <row r="621">
          <cell r="A621" t="str">
            <v>5113501020 Desp Correspondencia-Postais (Realizado)</v>
          </cell>
          <cell r="B621">
            <v>281.92</v>
          </cell>
        </row>
        <row r="622">
          <cell r="A622" t="str">
            <v>5114001030 DLF-Desp Autenticidade Reconhecde Firmas (Realiz)</v>
          </cell>
          <cell r="B622">
            <v>206.48</v>
          </cell>
        </row>
        <row r="623">
          <cell r="A623" t="str">
            <v>5114002030 DITC-Licença e Funcionamento (Realizado)</v>
          </cell>
          <cell r="B623">
            <v>2293.3000000000002</v>
          </cell>
        </row>
        <row r="624">
          <cell r="A624" t="str">
            <v>5114002060 DITC-Txs Municipais,Estaduais,Federais (Realizado)</v>
          </cell>
          <cell r="B624">
            <v>8451.76</v>
          </cell>
        </row>
        <row r="625">
          <cell r="A625" t="str">
            <v>5114002105 Créditos de impostos recuperados - Reintegra</v>
          </cell>
          <cell r="B625">
            <v>-403211.71</v>
          </cell>
        </row>
        <row r="626">
          <cell r="A626" t="str">
            <v>5116001010 Desp Real Even-Semi Fora da Cia Gestao (Realizado)</v>
          </cell>
          <cell r="B626">
            <v>6200</v>
          </cell>
        </row>
        <row r="627">
          <cell r="A627" t="str">
            <v>5116001020 Desp Reali Eventos-Eventos Gestao (Realizado)</v>
          </cell>
          <cell r="B627">
            <v>525</v>
          </cell>
        </row>
        <row r="628">
          <cell r="A628" t="str">
            <v>5116002020 Desp c/Marketing-Relaçoes Publicas (Realizado)</v>
          </cell>
          <cell r="B628">
            <v>355</v>
          </cell>
        </row>
        <row r="629">
          <cell r="A629" t="str">
            <v>5118002050 DPC Ded-Contrib a Entidades de Classes (Realizado)</v>
          </cell>
          <cell r="B629">
            <v>5702.89</v>
          </cell>
        </row>
        <row r="630">
          <cell r="A630" t="str">
            <v>5119905010 Desp Alug/Loc.Oper-Locaçao Equip Operaçao (Realiz)</v>
          </cell>
          <cell r="B630">
            <v>674188.84</v>
          </cell>
        </row>
        <row r="631">
          <cell r="A631" t="str">
            <v>5119905050 Desp Alug/Loc.Oper-Loc de Equip Telefonia(Realiz)</v>
          </cell>
          <cell r="B631">
            <v>2495.63</v>
          </cell>
        </row>
        <row r="632">
          <cell r="A632" t="str">
            <v>5119906010 Desp Alug/Loc. Op-Equipamentos de Manut (Realiz)</v>
          </cell>
          <cell r="B632">
            <v>383598.71</v>
          </cell>
        </row>
        <row r="633">
          <cell r="A633" t="str">
            <v>5119906015 Desp Alug/Loc. Op-Equipamentos de Manut (Recup)</v>
          </cell>
          <cell r="B633">
            <v>-260.88</v>
          </cell>
        </row>
        <row r="634">
          <cell r="A634" t="str">
            <v>5119910010 Assin L.IT.J.R-Ass de Jornais e Revistas (Realiz)</v>
          </cell>
          <cell r="B634">
            <v>2259.42</v>
          </cell>
        </row>
        <row r="635">
          <cell r="A635" t="str">
            <v>5119920010 Desp c/Veiculos-Abastecimento (Realizado)</v>
          </cell>
          <cell r="B635">
            <v>1424.79</v>
          </cell>
        </row>
        <row r="636">
          <cell r="A636" t="str">
            <v>5119920050 Desp c/Veiculos-Pedagio e Estacionam (Realizado)</v>
          </cell>
          <cell r="B636">
            <v>3671.45</v>
          </cell>
        </row>
        <row r="637">
          <cell r="A637" t="str">
            <v>5119920060 Desp c/Veiculos-Licenciamento (Realizado)</v>
          </cell>
          <cell r="B637">
            <v>4583.8500000000004</v>
          </cell>
        </row>
        <row r="638">
          <cell r="A638" t="str">
            <v>Despesas / Receitas Operacionais</v>
          </cell>
          <cell r="B638">
            <v>81777879.829999998</v>
          </cell>
        </row>
        <row r="639">
          <cell r="A639" t="str">
            <v>Despesas com vendas</v>
          </cell>
          <cell r="B639">
            <v>32652481.949999999</v>
          </cell>
        </row>
        <row r="640">
          <cell r="A640" t="str">
            <v>Despesas com fretes sobre vendas</v>
          </cell>
          <cell r="B640">
            <v>32648417.59</v>
          </cell>
        </row>
        <row r="641">
          <cell r="A641" t="str">
            <v>3140101030 Fretes s/Vendas de Produtos no MI (Realizado)</v>
          </cell>
          <cell r="B641">
            <v>31676663.32</v>
          </cell>
        </row>
        <row r="642">
          <cell r="A642" t="str">
            <v>3140105030 Fretes s/Revendas de Mercadorias no MI (Realiz)</v>
          </cell>
          <cell r="B642">
            <v>971754.27</v>
          </cell>
        </row>
        <row r="643">
          <cell r="A643" t="str">
            <v>Outras despesas com vendas</v>
          </cell>
          <cell r="B643">
            <v>4064.36</v>
          </cell>
        </row>
        <row r="644">
          <cell r="A644" t="str">
            <v>3140501030 Desp c/Fretes de Remessas p/Armaz Prod FP (Realiz)</v>
          </cell>
          <cell r="B644">
            <v>4062.55</v>
          </cell>
        </row>
        <row r="645">
          <cell r="A645" t="str">
            <v>3140601030 Desp Remessas p/Testes Ensaios e Prod FP (Realiz)</v>
          </cell>
          <cell r="B645">
            <v>1.81</v>
          </cell>
        </row>
        <row r="646">
          <cell r="A646" t="str">
            <v>Despesas Gerais e Administrativas</v>
          </cell>
          <cell r="B646">
            <v>37333729.890000001</v>
          </cell>
        </row>
        <row r="647">
          <cell r="A647" t="str">
            <v>Energia Elétrica consumo administrativo</v>
          </cell>
          <cell r="B647">
            <v>36153.519999999997</v>
          </cell>
        </row>
        <row r="648">
          <cell r="A648" t="str">
            <v>3170801120 Mat Cons Oper-Luz (Realizado)</v>
          </cell>
          <cell r="B648">
            <v>36153.519999999997</v>
          </cell>
        </row>
        <row r="649">
          <cell r="A649" t="str">
            <v>Despesas com salários e benefícios a empreg</v>
          </cell>
          <cell r="B649">
            <v>21518723.57</v>
          </cell>
        </row>
        <row r="650">
          <cell r="A650" t="str">
            <v>3171001010 FLPG-Remuneraçao a Dirigentes Conselho Adm (Pgto)</v>
          </cell>
          <cell r="B650">
            <v>2528179.33</v>
          </cell>
        </row>
        <row r="651">
          <cell r="A651" t="str">
            <v>3171001020 FLPG-Gratifiçao a Dirigentes Conselho Adm (Pgto)</v>
          </cell>
          <cell r="B651">
            <v>3179664.51</v>
          </cell>
        </row>
        <row r="652">
          <cell r="A652" t="str">
            <v>3171001021 FLPG-Prov Gratificaçao a Dirigentes Conselho Adm</v>
          </cell>
          <cell r="B652">
            <v>1864438.51</v>
          </cell>
        </row>
        <row r="653">
          <cell r="A653" t="str">
            <v>3171001022 FLPG-Rev Prov Gratif a Dirigentes Conselho Adm</v>
          </cell>
          <cell r="B653">
            <v>-3179664.51</v>
          </cell>
        </row>
        <row r="654">
          <cell r="A654" t="str">
            <v>3171001030 FLPG-Ordenados, Salars e Outras Remun a Empreg (R)</v>
          </cell>
          <cell r="B654">
            <v>4808066.18</v>
          </cell>
        </row>
        <row r="655">
          <cell r="A655" t="str">
            <v>3171001040 FLPG-13º Salario (Realizado)</v>
          </cell>
          <cell r="B655">
            <v>71138.710000000006</v>
          </cell>
        </row>
        <row r="656">
          <cell r="A656" t="str">
            <v>3171001041 FLPG-Provisao de 13º Salario</v>
          </cell>
          <cell r="B656">
            <v>412526.43</v>
          </cell>
        </row>
        <row r="657">
          <cell r="A657" t="str">
            <v>3171001042 FLPG-Reversao Provisao de 13º Salario</v>
          </cell>
          <cell r="B657">
            <v>-43056.66</v>
          </cell>
        </row>
        <row r="658">
          <cell r="A658" t="str">
            <v>3171001050 FLPG-Ferias (Realizado)</v>
          </cell>
          <cell r="B658">
            <v>850395.67</v>
          </cell>
        </row>
        <row r="659">
          <cell r="A659" t="str">
            <v>3171001051 FLPG-Provisao de Ferias</v>
          </cell>
          <cell r="B659">
            <v>388997.53</v>
          </cell>
        </row>
        <row r="660">
          <cell r="A660" t="str">
            <v>3171001052 FLPG-Reversap da Provisao de Ferias</v>
          </cell>
          <cell r="B660">
            <v>-432277.29</v>
          </cell>
        </row>
        <row r="661">
          <cell r="A661" t="str">
            <v>3171001080 FLPG-Gratificaçao de Ferias (Realiz)</v>
          </cell>
          <cell r="B661">
            <v>279829.92</v>
          </cell>
        </row>
        <row r="662">
          <cell r="A662" t="str">
            <v>3171001081 FLPG-Provisao de Gratificaçao de Ferias</v>
          </cell>
          <cell r="B662">
            <v>248703.08</v>
          </cell>
        </row>
        <row r="663">
          <cell r="A663" t="str">
            <v>3171001082 FLPG-Reversao da Prov de Gratificaçao de Ferias</v>
          </cell>
          <cell r="B663">
            <v>-279829.92</v>
          </cell>
        </row>
        <row r="664">
          <cell r="A664" t="str">
            <v>3171001090 FLPG-Gratificaçoes (Realizado)</v>
          </cell>
          <cell r="B664">
            <v>1099378.08</v>
          </cell>
        </row>
        <row r="665">
          <cell r="A665" t="str">
            <v>3171001091 FLPG-Provisao de Gratificaçoes</v>
          </cell>
          <cell r="B665">
            <v>976013.2</v>
          </cell>
        </row>
        <row r="666">
          <cell r="A666" t="str">
            <v>3171001092 FLPG-Reversao da Provisao de Gratificacoes</v>
          </cell>
          <cell r="B666">
            <v>-924587.7</v>
          </cell>
        </row>
        <row r="667">
          <cell r="A667" t="str">
            <v>3171001100 FLPG-Gratificoes Quinquenios (Realizado)</v>
          </cell>
          <cell r="B667">
            <v>40348.300000000003</v>
          </cell>
        </row>
        <row r="668">
          <cell r="A668" t="str">
            <v>3171001101 FLPG-Provisao de Gratificaçoes Quinquenios</v>
          </cell>
          <cell r="B668">
            <v>-155676.38</v>
          </cell>
        </row>
        <row r="669">
          <cell r="A669" t="str">
            <v>3171001102 FLPG-Reversao Provisao Gratificacoes Quinquenios</v>
          </cell>
          <cell r="B669">
            <v>-40348.300000000003</v>
          </cell>
        </row>
        <row r="670">
          <cell r="A670" t="str">
            <v>3171001120 FLPG-Aviso Previo (Realizado)</v>
          </cell>
          <cell r="B670">
            <v>386721.54</v>
          </cell>
        </row>
        <row r="671">
          <cell r="A671" t="str">
            <v>3171001122 FLPG-Reversao da Provisao de Aviso Previo</v>
          </cell>
          <cell r="B671">
            <v>-386721.54</v>
          </cell>
        </row>
        <row r="672">
          <cell r="A672" t="str">
            <v>3171001130 FLPG-Indenizacoes (Realizado)</v>
          </cell>
          <cell r="B672">
            <v>55123.87</v>
          </cell>
        </row>
        <row r="673">
          <cell r="A673" t="str">
            <v>3171001240 FLPG-Auxilio Doença (Realizado)</v>
          </cell>
          <cell r="B673">
            <v>16210.25</v>
          </cell>
        </row>
        <row r="674">
          <cell r="A674" t="str">
            <v>3171001250 FLPG-Auxilio Ensino (Realizado)</v>
          </cell>
          <cell r="B674">
            <v>96265.11</v>
          </cell>
        </row>
        <row r="675">
          <cell r="A675" t="str">
            <v>3171001300 FLPG-Bolsa Estudos de Estagiarios (Realizado)</v>
          </cell>
          <cell r="B675">
            <v>47644.2</v>
          </cell>
        </row>
        <row r="676">
          <cell r="A676" t="str">
            <v>3171001990 Rateio da Mão de Obra da Manutenção</v>
          </cell>
          <cell r="B676">
            <v>4989.1099999999997</v>
          </cell>
        </row>
        <row r="677">
          <cell r="A677" t="str">
            <v>3171002010 FGTS s/Folha de Pagamento (Realizado)</v>
          </cell>
          <cell r="B677">
            <v>378660.07</v>
          </cell>
        </row>
        <row r="678">
          <cell r="A678" t="str">
            <v>3171002020 FGTS s/Ferias (Realizado)</v>
          </cell>
          <cell r="B678">
            <v>25417.49</v>
          </cell>
        </row>
        <row r="679">
          <cell r="A679" t="str">
            <v>3171002021 Provisao de FGTS s/Ferias</v>
          </cell>
          <cell r="B679">
            <v>40239.85</v>
          </cell>
        </row>
        <row r="680">
          <cell r="A680" t="str">
            <v>3171002022 Reversao da Provisao de FGTS s/Ferias</v>
          </cell>
          <cell r="B680">
            <v>-43654.35</v>
          </cell>
        </row>
        <row r="681">
          <cell r="A681" t="str">
            <v>3171002030 FGTS s/13º Salario (Realizado)</v>
          </cell>
          <cell r="B681">
            <v>11252.47</v>
          </cell>
        </row>
        <row r="682">
          <cell r="A682" t="str">
            <v>3171002031 Provisao de FGTS s/13º Salario</v>
          </cell>
          <cell r="B682">
            <v>43884.6</v>
          </cell>
        </row>
        <row r="683">
          <cell r="A683" t="str">
            <v>3171002032 Reversao da Provisao de FGTS s/13º Salario</v>
          </cell>
          <cell r="B683">
            <v>-14346.25</v>
          </cell>
        </row>
        <row r="684">
          <cell r="A684" t="str">
            <v>3171002040 FGTS s/Desligamento de Funcionario (Realizado)</v>
          </cell>
          <cell r="B684">
            <v>1081639.71</v>
          </cell>
        </row>
        <row r="685">
          <cell r="A685" t="str">
            <v>3171002041 Provisao de FGTS s/Desligamento de Funcionario</v>
          </cell>
          <cell r="B685">
            <v>457170</v>
          </cell>
        </row>
        <row r="686">
          <cell r="A686" t="str">
            <v>3171002042 Reversao Provisao de FGTS s/Desl Funcionario</v>
          </cell>
          <cell r="B686">
            <v>-1081639.71</v>
          </cell>
        </row>
        <row r="687">
          <cell r="A687" t="str">
            <v>3171003010 INSS s/Folha de Pagamento (Realizado)</v>
          </cell>
          <cell r="B687">
            <v>1965904.09</v>
          </cell>
        </row>
        <row r="688">
          <cell r="A688" t="str">
            <v>3171003021 Provisao de INSS s/Ferias</v>
          </cell>
          <cell r="B688">
            <v>67009.02</v>
          </cell>
        </row>
        <row r="689">
          <cell r="A689" t="str">
            <v>3171003022 Reversao da Provisao de INSS s/Ferias</v>
          </cell>
          <cell r="B689">
            <v>-134148.79</v>
          </cell>
        </row>
        <row r="690">
          <cell r="A690" t="str">
            <v>3171003031 Provisao de INSS s/13º Salario</v>
          </cell>
          <cell r="B690">
            <v>100821.67</v>
          </cell>
        </row>
        <row r="691">
          <cell r="A691" t="str">
            <v>3171003032 Reversao da Provisao de INSS s/13º Salario</v>
          </cell>
          <cell r="B691">
            <v>-10830.23</v>
          </cell>
        </row>
        <row r="692">
          <cell r="A692" t="str">
            <v>3171003051 Provisao de INSS s/Gratificações</v>
          </cell>
          <cell r="B692">
            <v>256148.49</v>
          </cell>
        </row>
        <row r="693">
          <cell r="A693" t="str">
            <v>3171501010 Prev Priv CD-Contribuicoes da Empresa (Realizado)</v>
          </cell>
          <cell r="B693">
            <v>2380605.69</v>
          </cell>
        </row>
        <row r="694">
          <cell r="A694" t="str">
            <v>3171501015 Prev Priv CD-Participaçao dos Empregados</v>
          </cell>
          <cell r="B694">
            <v>-761948.6</v>
          </cell>
        </row>
        <row r="695">
          <cell r="A695" t="str">
            <v>3171502011 Provisao Seguro de Vida em Grupo</v>
          </cell>
          <cell r="B695">
            <v>298752.63</v>
          </cell>
        </row>
        <row r="696">
          <cell r="A696" t="str">
            <v>3171503010 Assistencia Medica e Hospitalar (Realizado)</v>
          </cell>
          <cell r="B696">
            <v>2077319.78</v>
          </cell>
        </row>
        <row r="697">
          <cell r="A697" t="str">
            <v>3171503015 Partic dos Empregados Assistenc Medica e Hospit</v>
          </cell>
          <cell r="B697">
            <v>-119135.66</v>
          </cell>
        </row>
        <row r="698">
          <cell r="A698" t="str">
            <v>3171503020 Assistencia Medica e Hospitalar Aposent (Realiz)</v>
          </cell>
          <cell r="B698">
            <v>188974.33</v>
          </cell>
        </row>
        <row r="699">
          <cell r="A699" t="str">
            <v>3171503021 Provisao Assistencia Medica Hospitalar Aposentados</v>
          </cell>
          <cell r="B699">
            <v>137165</v>
          </cell>
        </row>
        <row r="700">
          <cell r="A700" t="str">
            <v>3171503022 Reversao Prov Assist Medica Hospitalar Aposentados</v>
          </cell>
          <cell r="B700">
            <v>-188974.33</v>
          </cell>
        </row>
        <row r="701">
          <cell r="A701" t="str">
            <v>3171503030 Assistencia Odontologica (Realizado)</v>
          </cell>
          <cell r="B701">
            <v>99964.52</v>
          </cell>
        </row>
        <row r="702">
          <cell r="A702" t="str">
            <v>3171503035 Participacao dos Empregados Assist Odontologica</v>
          </cell>
          <cell r="B702">
            <v>-9108.4599999999991</v>
          </cell>
        </row>
        <row r="703">
          <cell r="A703" t="str">
            <v>3171503040 Despesas Medicas e Hospitalares (Realizado)</v>
          </cell>
          <cell r="B703">
            <v>61221.18</v>
          </cell>
        </row>
        <row r="704">
          <cell r="A704" t="str">
            <v>3171504010 Desenv Prof-Cursos (Realizado)</v>
          </cell>
          <cell r="B704">
            <v>106314.54</v>
          </cell>
        </row>
        <row r="705">
          <cell r="A705" t="str">
            <v>3171504020 Desenv Prof-Material de Consumo em Cursos (Realiz)</v>
          </cell>
          <cell r="B705">
            <v>1564.9</v>
          </cell>
        </row>
        <row r="706">
          <cell r="A706" t="str">
            <v>3171504030 Desenv Prof-Serviços de Tercrs em Cursos (Realiz)</v>
          </cell>
          <cell r="B706">
            <v>1770</v>
          </cell>
        </row>
        <row r="707">
          <cell r="A707" t="str">
            <v>3171504040 Desenv Prof-Diarias em Cursos (Realizado)</v>
          </cell>
          <cell r="B707">
            <v>537.02</v>
          </cell>
        </row>
        <row r="708">
          <cell r="A708" t="str">
            <v>3171504050 Desenv Prof-Transportes em Cursos (Realizado)</v>
          </cell>
          <cell r="B708">
            <v>16037.95</v>
          </cell>
        </row>
        <row r="709">
          <cell r="A709" t="str">
            <v>3171504060 Desenv Prof-Refeiçoes em Cursos (Realizado)</v>
          </cell>
          <cell r="B709">
            <v>19282.490000000002</v>
          </cell>
        </row>
        <row r="710">
          <cell r="A710" t="str">
            <v>3171504070 Desenv Prof-Aprendiz de Menores em Cursos (Realiz)</v>
          </cell>
          <cell r="B710">
            <v>6138</v>
          </cell>
        </row>
        <row r="711">
          <cell r="A711" t="str">
            <v>3171505020 Desp Soc-Comemoraçoes e Eventos (Realizado)</v>
          </cell>
          <cell r="B711">
            <v>21081.32</v>
          </cell>
        </row>
        <row r="712">
          <cell r="A712" t="str">
            <v>3171505030 Desp Soc-Assistencia Social Funcionarios (Realiz)</v>
          </cell>
          <cell r="B712">
            <v>24789.66</v>
          </cell>
        </row>
        <row r="713">
          <cell r="A713" t="str">
            <v>3171505050 Desp Soc-Comunicaçao Interna (Realizado)</v>
          </cell>
          <cell r="B713">
            <v>3305</v>
          </cell>
        </row>
        <row r="714">
          <cell r="A714" t="str">
            <v>3171506010 Desp Transp-Conduçao Contratada (Realizado)</v>
          </cell>
          <cell r="B714">
            <v>1171726.2</v>
          </cell>
        </row>
        <row r="715">
          <cell r="A715" t="str">
            <v>3171506015 Participaçao dos Empregados-Conduçao Contratada</v>
          </cell>
          <cell r="B715">
            <v>-15558.45</v>
          </cell>
        </row>
        <row r="716">
          <cell r="A716" t="str">
            <v>3171506020 Despesa Vale Transporte (Realizado)</v>
          </cell>
          <cell r="B716">
            <v>28071.19</v>
          </cell>
        </row>
        <row r="717">
          <cell r="A717" t="str">
            <v>3171506025 Participaçao dos Empregados-Vale Transporte</v>
          </cell>
          <cell r="B717">
            <v>-1182.3599999999999</v>
          </cell>
        </row>
        <row r="718">
          <cell r="A718" t="str">
            <v>3171506030 Despesa Taxi e Conduçoes (Realizado)</v>
          </cell>
          <cell r="B718">
            <v>126250.74</v>
          </cell>
        </row>
        <row r="719">
          <cell r="A719" t="str">
            <v>3171506040 Despesa Aluguel de Veiculos (Realizado)</v>
          </cell>
          <cell r="B719">
            <v>13811.1</v>
          </cell>
        </row>
        <row r="720">
          <cell r="A720" t="str">
            <v>3171507010 Despesa Refeiçoes Prontas (Realizado)</v>
          </cell>
          <cell r="B720">
            <v>606977.28000000003</v>
          </cell>
        </row>
        <row r="721">
          <cell r="A721" t="str">
            <v>3171507015 Participaçao dos Empregados-Refeiçoes Prontas</v>
          </cell>
          <cell r="B721">
            <v>-62087.72</v>
          </cell>
        </row>
        <row r="722">
          <cell r="A722" t="str">
            <v>3171507020 Despesa Material de Consumo Refeitorio (Realiz)</v>
          </cell>
          <cell r="B722">
            <v>67578.710000000006</v>
          </cell>
        </row>
        <row r="723">
          <cell r="A723" t="str">
            <v>3171507025 Desp Material Consumo Refeitorio Descont Func-R</v>
          </cell>
          <cell r="B723">
            <v>8810.02</v>
          </cell>
        </row>
        <row r="724">
          <cell r="A724" t="str">
            <v>3171507030 Despesa Refeiçoes-Visita e Outras (Realizado)</v>
          </cell>
          <cell r="B724">
            <v>89204.94</v>
          </cell>
        </row>
        <row r="725">
          <cell r="A725" t="str">
            <v>3171507040 Despesa Refeiçoes-Lanches Externos (Realizado)</v>
          </cell>
          <cell r="B725">
            <v>63465.599999999999</v>
          </cell>
        </row>
        <row r="726">
          <cell r="A726" t="str">
            <v>Encargos de depreciação e amortização na DGA</v>
          </cell>
          <cell r="B726">
            <v>5008233.2300000004</v>
          </cell>
        </row>
        <row r="727">
          <cell r="A727" t="str">
            <v>3179001010 Encarg de Deprec e Amort-Depreciaçao (Realizado)</v>
          </cell>
          <cell r="B727">
            <v>538920.75</v>
          </cell>
        </row>
        <row r="728">
          <cell r="A728" t="str">
            <v>3179001011 Encarg de Depreciaçao Mais Valia (Realizado)</v>
          </cell>
          <cell r="B728">
            <v>92995.28</v>
          </cell>
        </row>
        <row r="729">
          <cell r="A729" t="str">
            <v>3179001012 Encs de Depreciaçao Mais Valia Comb Neg(Realizado)</v>
          </cell>
          <cell r="B729">
            <v>92995.28</v>
          </cell>
        </row>
        <row r="730">
          <cell r="A730" t="str">
            <v>3179001014 Encarg de Depreciaçao do AVP (Realizado)</v>
          </cell>
          <cell r="B730">
            <v>4043.83</v>
          </cell>
        </row>
        <row r="731">
          <cell r="A731" t="str">
            <v>3179001050 Encarg de Deprec e Amort-Amortizaçao (Realizado)</v>
          </cell>
          <cell r="B731">
            <v>1374047.59</v>
          </cell>
        </row>
        <row r="732">
          <cell r="A732" t="str">
            <v>3179001054 Encargs de Amortizaçao AVP (Realizado)</v>
          </cell>
          <cell r="B732">
            <v>5105.3</v>
          </cell>
        </row>
        <row r="733">
          <cell r="A733" t="str">
            <v>3179001104 Encargs de Amortizaçao Investimentos (Realizado)</v>
          </cell>
          <cell r="B733">
            <v>2900125.2</v>
          </cell>
        </row>
        <row r="734">
          <cell r="A734" t="str">
            <v>Serviços de terceiros nas DGAs</v>
          </cell>
          <cell r="B734">
            <v>6501788.4699999997</v>
          </cell>
        </row>
        <row r="735">
          <cell r="A735" t="str">
            <v>3172001010 Serviços Prestados Advocacia p/PJ (Realizado)</v>
          </cell>
          <cell r="B735">
            <v>2853870.54</v>
          </cell>
        </row>
        <row r="736">
          <cell r="A736" t="str">
            <v>3172001015 Rec Desps c/Honorarios Advocaticios (Realizado)</v>
          </cell>
          <cell r="B736">
            <v>-73206.73</v>
          </cell>
        </row>
        <row r="737">
          <cell r="A737" t="str">
            <v>3172002010 Serviços Prestados Auditoria  p/PJ (Realizado)</v>
          </cell>
          <cell r="B737">
            <v>133750</v>
          </cell>
        </row>
        <row r="738">
          <cell r="A738" t="str">
            <v>3172003010 Serviços Prestados Consultoria p/PJ (Realizado)</v>
          </cell>
          <cell r="B738">
            <v>1708169.75</v>
          </cell>
        </row>
        <row r="739">
          <cell r="A739" t="str">
            <v>3172003040 Serv Prest Consultoria p/PF s/Vinc Empr (Realiz)</v>
          </cell>
          <cell r="B739">
            <v>98337.07</v>
          </cell>
        </row>
        <row r="740">
          <cell r="A740" t="str">
            <v>3172007010 Serv Prest Informaçoes Cadastrais p/PJ (Realiz)</v>
          </cell>
          <cell r="B740">
            <v>89858.33</v>
          </cell>
        </row>
        <row r="741">
          <cell r="A741" t="str">
            <v>3172008010 Serv Prest Propaganda e Publicidade p/PJ (Realiz)</v>
          </cell>
          <cell r="B741">
            <v>29173</v>
          </cell>
        </row>
        <row r="742">
          <cell r="A742" t="str">
            <v>3172009010 Serv Prest Atualiz/Suporte Tecnico p/PJ (Realiz)</v>
          </cell>
          <cell r="B742">
            <v>570428.48</v>
          </cell>
        </row>
        <row r="743">
          <cell r="A743" t="str">
            <v>3172010010 Serviços Prestados Temporario p/PJ (Realizado)</v>
          </cell>
          <cell r="B743">
            <v>140311.60999999999</v>
          </cell>
        </row>
        <row r="744">
          <cell r="A744" t="str">
            <v>3172011010 Serviços Prestados Limpeza p/ PJ (Realizado)</v>
          </cell>
          <cell r="B744">
            <v>76673.210000000006</v>
          </cell>
        </row>
        <row r="745">
          <cell r="A745" t="str">
            <v>3172012010 Serviços Prestados Vigilancia PJ (Realiz)</v>
          </cell>
          <cell r="B745">
            <v>568488.23</v>
          </cell>
        </row>
        <row r="746">
          <cell r="A746" t="str">
            <v>3172018010 Serv Prest Reparos Assist Tecnica p/PJ (Realiz)</v>
          </cell>
          <cell r="B746">
            <v>58070.03</v>
          </cell>
        </row>
        <row r="747">
          <cell r="A747" t="str">
            <v>3172099010 Prest Serv Tecnicos Profissionais p/PJ (Realiz)</v>
          </cell>
          <cell r="B747">
            <v>216582.79</v>
          </cell>
        </row>
        <row r="748">
          <cell r="A748" t="str">
            <v>3172099040 Serv Prest Tec Profissionais p/PF s/Vin Empr (R)</v>
          </cell>
          <cell r="B748">
            <v>11790</v>
          </cell>
        </row>
        <row r="749">
          <cell r="A749" t="str">
            <v>3172150010 Serv Prest Manutençao Civil p/PJ (Realizado)</v>
          </cell>
          <cell r="B749">
            <v>8720.2199999999993</v>
          </cell>
        </row>
        <row r="750">
          <cell r="A750" t="str">
            <v>3172151010 Serv Prest Manutençao Eletricos p/PJ (Realiz)</v>
          </cell>
          <cell r="B750">
            <v>3834.16</v>
          </cell>
        </row>
        <row r="751">
          <cell r="A751" t="str">
            <v>3172199010 Serv Prest Manutençao Geral p/PJ (Realizado)</v>
          </cell>
          <cell r="B751">
            <v>6937.78</v>
          </cell>
        </row>
        <row r="752">
          <cell r="A752" t="str">
            <v>Outras despesas gerais administrativas</v>
          </cell>
          <cell r="B752">
            <v>4268831.0999999996</v>
          </cell>
        </row>
        <row r="753">
          <cell r="A753" t="str">
            <v>3170801070 Mat Cons Oper-Reparo e Manutençao (Realiz)</v>
          </cell>
          <cell r="B753">
            <v>593.87</v>
          </cell>
        </row>
        <row r="754">
          <cell r="A754" t="str">
            <v>3170801090 Mat Cons Oper-Limpeza (Realizado)</v>
          </cell>
          <cell r="B754">
            <v>14.79</v>
          </cell>
        </row>
        <row r="755">
          <cell r="A755" t="str">
            <v>3170801100 Mat Cons Oper-Segurança (Realizado)</v>
          </cell>
          <cell r="B755">
            <v>1682</v>
          </cell>
        </row>
        <row r="756">
          <cell r="A756" t="str">
            <v>3170801130 Mat Cons Oper-Escritorio (Realizado)</v>
          </cell>
          <cell r="B756">
            <v>24807.67</v>
          </cell>
        </row>
        <row r="757">
          <cell r="A757" t="str">
            <v>3170801140 Mat Cons Oper-Imobilizado (Realizado)</v>
          </cell>
          <cell r="B757">
            <v>938.2</v>
          </cell>
        </row>
        <row r="758">
          <cell r="A758" t="str">
            <v>3170802990 Materias Consumo-Manutencao em Geral (Realiz)</v>
          </cell>
          <cell r="B758">
            <v>8880.85</v>
          </cell>
        </row>
        <row r="759">
          <cell r="A759" t="str">
            <v>3171901010 Sel Recrut-Servs de Tercrs p/Seleçao e Recrut (R)</v>
          </cell>
          <cell r="B759">
            <v>1860</v>
          </cell>
        </row>
        <row r="760">
          <cell r="A760" t="str">
            <v>3171902010 Despesa Viagens Nacionais (Realizado)</v>
          </cell>
          <cell r="B760">
            <v>153580.79999999999</v>
          </cell>
        </row>
        <row r="761">
          <cell r="A761" t="str">
            <v>3171902020 Despesas Viagens Internacionais (Realizado)</v>
          </cell>
          <cell r="B761">
            <v>12232.98</v>
          </cell>
        </row>
        <row r="762">
          <cell r="A762" t="str">
            <v>3173501010 Desp Correspondencia-Malote (Realizado)</v>
          </cell>
          <cell r="B762">
            <v>67935.240000000005</v>
          </cell>
        </row>
        <row r="763">
          <cell r="A763" t="str">
            <v>3173501020 Desp Correspondencia-Postais (Realizado)</v>
          </cell>
          <cell r="B763">
            <v>9494.19</v>
          </cell>
        </row>
        <row r="764">
          <cell r="A764" t="str">
            <v>3173505010 Desp Telec-Desp c/Telefonia Fixa (Realizado)</v>
          </cell>
          <cell r="B764">
            <v>-8298.66</v>
          </cell>
        </row>
        <row r="765">
          <cell r="A765" t="str">
            <v>3173505020 Desp Telec-Desp c/Telefonia Movel (Realizado)</v>
          </cell>
          <cell r="B765">
            <v>64432.37</v>
          </cell>
        </row>
        <row r="766">
          <cell r="A766" t="str">
            <v>3173505030 Desp Telec-Desp Comun Dados EC/FC Internet(Realiz)</v>
          </cell>
          <cell r="B766">
            <v>71524.87</v>
          </cell>
        </row>
        <row r="767">
          <cell r="A767" t="str">
            <v>3173505040 Desp Telec-Desp Comum Dados Internet (Realizado)</v>
          </cell>
          <cell r="B767">
            <v>34261.910000000003</v>
          </cell>
        </row>
        <row r="768">
          <cell r="A768" t="str">
            <v>3173505060 Desp Telec-Desp Comum Dados Banda Larga(Realizado)</v>
          </cell>
          <cell r="B768">
            <v>2365.84</v>
          </cell>
        </row>
        <row r="769">
          <cell r="A769" t="str">
            <v>3173505070 Desp Telec-Desp Comum Dados Video Conferen(Realiz)</v>
          </cell>
          <cell r="B769">
            <v>3128.16</v>
          </cell>
        </row>
        <row r="770">
          <cell r="A770" t="str">
            <v>3174001010 DLF-Desp c/Publicidade Atas e Balanços (Realizado)</v>
          </cell>
          <cell r="B770">
            <v>26965.31</v>
          </cell>
        </row>
        <row r="771">
          <cell r="A771" t="str">
            <v>3174001020 DLF-Desp Escritur Procuraçoes e Contratos (Realiz)</v>
          </cell>
          <cell r="B771">
            <v>170</v>
          </cell>
        </row>
        <row r="772">
          <cell r="A772" t="str">
            <v>3174001030 DLF-Desp Autenticidade Reconhecde Firmas (Realiz)</v>
          </cell>
          <cell r="B772">
            <v>12452.61</v>
          </cell>
        </row>
        <row r="773">
          <cell r="A773" t="str">
            <v>3174001040 DLF-Desp c/ Custas Judiciais (Realizado)</v>
          </cell>
          <cell r="B773">
            <v>25204.63</v>
          </cell>
        </row>
        <row r="774">
          <cell r="A774" t="str">
            <v>3174001990 DLF-Outras Despesas Legais (Realizado)</v>
          </cell>
          <cell r="B774">
            <v>54128.65</v>
          </cell>
        </row>
        <row r="775">
          <cell r="A775" t="str">
            <v>3174002010 DITC-Contribuiçao Sindical Patronal (Realizado)</v>
          </cell>
          <cell r="B775">
            <v>3338.82</v>
          </cell>
        </row>
        <row r="776">
          <cell r="A776" t="str">
            <v>3174002020 DITC-Predial e Territorial (Realizado)</v>
          </cell>
          <cell r="B776">
            <v>938366.4</v>
          </cell>
        </row>
        <row r="777">
          <cell r="A777" t="str">
            <v>3174002021 DITC-Provisao Imposto Predial Territorial (Realiz)</v>
          </cell>
          <cell r="B777">
            <v>63670</v>
          </cell>
        </row>
        <row r="778">
          <cell r="A778" t="str">
            <v>3174002030 DITC-Licença e Funcionamento (Realizado)</v>
          </cell>
          <cell r="B778">
            <v>8008.8</v>
          </cell>
        </row>
        <row r="779">
          <cell r="A779" t="str">
            <v>3174002040 DITC-ICMS s/Aquisiçao de Imobilizado (Realizado)</v>
          </cell>
          <cell r="B779">
            <v>3260.28</v>
          </cell>
        </row>
        <row r="780">
          <cell r="A780" t="str">
            <v>3174002060 DITC-Txs Municipais,Estaduais,Federais (Realizado)</v>
          </cell>
          <cell r="B780">
            <v>4652.01</v>
          </cell>
        </row>
        <row r="781">
          <cell r="A781" t="str">
            <v>3174003010 Multas Fiscais Indedutiveis (Realizado)</v>
          </cell>
          <cell r="B781">
            <v>5128.2</v>
          </cell>
        </row>
        <row r="782">
          <cell r="A782" t="str">
            <v>3175001010 Desp Seguro-Automoveis (Realizado)</v>
          </cell>
          <cell r="B782">
            <v>16364.67</v>
          </cell>
        </row>
        <row r="783">
          <cell r="A783" t="str">
            <v>3175001020 Desp Seguro-Responsabilidade Civil (Realizado)</v>
          </cell>
          <cell r="B783">
            <v>284987.09999999998</v>
          </cell>
        </row>
        <row r="784">
          <cell r="A784" t="str">
            <v>3175001030 Desp Seguro-Risco Nomeado (Realizado)</v>
          </cell>
          <cell r="B784">
            <v>733386.25</v>
          </cell>
        </row>
        <row r="785">
          <cell r="A785" t="str">
            <v>3175001040 Desp Seguro-Riscos Diversos (Realizado)</v>
          </cell>
          <cell r="B785">
            <v>2590.6</v>
          </cell>
        </row>
        <row r="786">
          <cell r="A786" t="str">
            <v>3175001050 Desp Seguro-Ambiental (Realizado)</v>
          </cell>
          <cell r="B786">
            <v>84666.67</v>
          </cell>
        </row>
        <row r="787">
          <cell r="A787" t="str">
            <v>3176001010 Desp Real Even-Semi Fora da Cia Gestao (Realizado)</v>
          </cell>
          <cell r="B787">
            <v>8867.32</v>
          </cell>
        </row>
        <row r="788">
          <cell r="A788" t="str">
            <v>3176002010 Desp Eventos Marketing (Realizado)</v>
          </cell>
          <cell r="B788">
            <v>300</v>
          </cell>
        </row>
        <row r="789">
          <cell r="A789" t="str">
            <v>3176002020 Desp c/Marketing-Relaçoes Publicas (Realizado)</v>
          </cell>
          <cell r="B789">
            <v>115813.74</v>
          </cell>
        </row>
        <row r="790">
          <cell r="A790" t="str">
            <v>3176002030 Desp c/Marketing-Patrocinios (Realizado)</v>
          </cell>
          <cell r="B790">
            <v>13800</v>
          </cell>
        </row>
        <row r="791">
          <cell r="A791" t="str">
            <v>3176002040 Desp c/Marketing-Programa Fabrica Aberta (Realiz)</v>
          </cell>
          <cell r="B791">
            <v>19450</v>
          </cell>
        </row>
        <row r="792">
          <cell r="A792" t="str">
            <v>3177002020 EPCT-Estudos de Engenharia(Realizado)</v>
          </cell>
          <cell r="B792">
            <v>20760</v>
          </cell>
        </row>
        <row r="793">
          <cell r="A793" t="str">
            <v>3178001990 DPC Ind-Outras Contrib/Doaçoes Indeduts (Realiz)</v>
          </cell>
          <cell r="B793">
            <v>21500.29</v>
          </cell>
        </row>
        <row r="794">
          <cell r="A794" t="str">
            <v>3178002050 DPC Ded-Contrib a Entidades de Classes (Realizado)</v>
          </cell>
          <cell r="B794">
            <v>518380.93</v>
          </cell>
        </row>
        <row r="795">
          <cell r="A795" t="str">
            <v>3178002990 DPC Ded-Outras Contrib e Doaçoes Dedutivs (Realiz)</v>
          </cell>
          <cell r="B795">
            <v>35000</v>
          </cell>
        </row>
        <row r="796">
          <cell r="A796" t="str">
            <v>3179905040 Desp Alug/Loc.Oper-Equip Impressao/Copias(Realiz)</v>
          </cell>
          <cell r="B796">
            <v>98733.38</v>
          </cell>
        </row>
        <row r="797">
          <cell r="A797" t="str">
            <v>3179905050 Desp Alug/Loc.Oper-Loc de Equip Telefonia(Realiz)</v>
          </cell>
          <cell r="B797">
            <v>10938.81</v>
          </cell>
        </row>
        <row r="798">
          <cell r="A798" t="str">
            <v>3179905100 Desp Alug/Loc.Oper-Aluguel de Imovel (Realizado)</v>
          </cell>
          <cell r="B798">
            <v>513107.32</v>
          </cell>
        </row>
        <row r="799">
          <cell r="A799" t="str">
            <v>3179910010 Assin L.IT.J.R-Ass de Jornais e Revistas (Realiz)</v>
          </cell>
          <cell r="B799">
            <v>5710.38</v>
          </cell>
        </row>
        <row r="800">
          <cell r="A800" t="str">
            <v>3179910030 Assin L.IT.J.R-Ass Livros/Inform Tecnicos (Realiz)</v>
          </cell>
          <cell r="B800">
            <v>61712.19</v>
          </cell>
        </row>
        <row r="801">
          <cell r="A801" t="str">
            <v>3179915010 Desp c/Impressao e Copias fora da Cia (Realizado)</v>
          </cell>
          <cell r="B801">
            <v>10.8</v>
          </cell>
        </row>
        <row r="802">
          <cell r="A802" t="str">
            <v>3179920010 Desp c/Veiculos-Abastecimento (Realizado)</v>
          </cell>
          <cell r="B802">
            <v>22765.57</v>
          </cell>
        </row>
        <row r="803">
          <cell r="A803" t="str">
            <v>3179920020 Desp c/Veiculos-Reparos e Manutençoes (Realizado)</v>
          </cell>
          <cell r="B803">
            <v>3481.5</v>
          </cell>
        </row>
        <row r="804">
          <cell r="A804" t="str">
            <v>3179920030 Desp c/Veiculos-Peças e Acessorios (Realizado)</v>
          </cell>
          <cell r="B804">
            <v>5790.83</v>
          </cell>
        </row>
        <row r="805">
          <cell r="A805" t="str">
            <v>3179920040 Desp c/Veiculos-Lavagem e Lubrificaçao (Realizado)</v>
          </cell>
          <cell r="B805">
            <v>1210.0999999999999</v>
          </cell>
        </row>
        <row r="806">
          <cell r="A806" t="str">
            <v>3179920050 Desp c/Veiculos-Pedagio e Estacionam (Realizado)</v>
          </cell>
          <cell r="B806">
            <v>30045.21</v>
          </cell>
        </row>
        <row r="807">
          <cell r="A807" t="str">
            <v>3179920060 Desp c/Veiculos-Licenciamento (Realizado)</v>
          </cell>
          <cell r="B807">
            <v>44676.65</v>
          </cell>
        </row>
        <row r="808">
          <cell r="A808" t="str">
            <v>Outras despesas / receitas operacionais</v>
          </cell>
          <cell r="B808">
            <v>2868727.15</v>
          </cell>
        </row>
        <row r="809">
          <cell r="A809" t="str">
            <v>Outras receitas operacionais</v>
          </cell>
          <cell r="B809">
            <v>-36527.550000000003</v>
          </cell>
        </row>
        <row r="810">
          <cell r="A810" t="str">
            <v>3310101010 Receita c/Dividendos Recebidos (Realizado)</v>
          </cell>
          <cell r="B810">
            <v>-13081.58</v>
          </cell>
        </row>
        <row r="811">
          <cell r="A811" t="str">
            <v>3310105010 Res Liq Bx At Fixo-Rec Alienaç B/D At.Perman (R)</v>
          </cell>
          <cell r="B811">
            <v>-19313.330000000002</v>
          </cell>
        </row>
        <row r="812">
          <cell r="A812" t="str">
            <v>3310105020 (-)R Liq Bx At Fix-Vlr Contabil B/D Baixados (R)</v>
          </cell>
          <cell r="B812">
            <v>126146.32</v>
          </cell>
        </row>
        <row r="813">
          <cell r="A813" t="str">
            <v>3310105021 (-)R Liq Bx A Fix-Vr Contab B/D Baixados MV(R)</v>
          </cell>
          <cell r="B813">
            <v>17240.63</v>
          </cell>
        </row>
        <row r="814">
          <cell r="A814" t="str">
            <v>3310105022 (-)R Liq Bx A Fix-Vr Contab B/D Baixados MVCN(R)</v>
          </cell>
          <cell r="B814">
            <v>17240.63</v>
          </cell>
        </row>
        <row r="815">
          <cell r="A815" t="str">
            <v>3310109990 Multas Contratuais Aplicadas</v>
          </cell>
          <cell r="B815">
            <v>-164664</v>
          </cell>
        </row>
        <row r="816">
          <cell r="A816" t="str">
            <v>3310204010 Dividendos Próprios Não Realizados</v>
          </cell>
          <cell r="B816">
            <v>-96.22</v>
          </cell>
        </row>
        <row r="817">
          <cell r="A817" t="str">
            <v>Outras despesas operacionais</v>
          </cell>
          <cell r="B817">
            <v>2905254.7</v>
          </cell>
        </row>
        <row r="818">
          <cell r="A818" t="str">
            <v>3310110010 Desp c/Proc Jud-Tributarios (Realizado)</v>
          </cell>
          <cell r="B818">
            <v>150545.87</v>
          </cell>
        </row>
        <row r="819">
          <cell r="A819" t="str">
            <v>3310110020 Desp c/Proc Trabalhista (Realizado)</v>
          </cell>
          <cell r="B819">
            <v>2044.26</v>
          </cell>
        </row>
        <row r="820">
          <cell r="A820" t="str">
            <v>3310110021 Desp c/Proc Trab-Constit Contingenc Trabalhistas</v>
          </cell>
          <cell r="B820">
            <v>1803062.2</v>
          </cell>
        </row>
        <row r="821">
          <cell r="A821" t="str">
            <v>3310110031 Desp c/Proc Civeis-Constit Contingencias Civeis</v>
          </cell>
          <cell r="B821">
            <v>66427.03</v>
          </cell>
        </row>
        <row r="822">
          <cell r="A822" t="str">
            <v>3310140010 Desp n Cor Multas Indedutiveis (Realizado)</v>
          </cell>
          <cell r="B822">
            <v>346849.62</v>
          </cell>
        </row>
        <row r="823">
          <cell r="A823" t="str">
            <v>3310190010 Perdas Operacoes de Credito Incobraveis (Realiz)</v>
          </cell>
          <cell r="B823">
            <v>600895.57999999996</v>
          </cell>
        </row>
        <row r="824">
          <cell r="A824" t="str">
            <v>3310190011 Provisao Perdas em Opercao Credito-PCLD</v>
          </cell>
          <cell r="B824">
            <v>499064.62</v>
          </cell>
        </row>
        <row r="825">
          <cell r="A825" t="str">
            <v>3310190012 Reversap Provisao p/ Perdas Operacoes Cred-PCLD</v>
          </cell>
          <cell r="B825">
            <v>-563634.48</v>
          </cell>
        </row>
        <row r="826">
          <cell r="A826" t="str">
            <v>Resultado de equivalência patrimonial</v>
          </cell>
          <cell r="B826">
            <v>8922940.8399999999</v>
          </cell>
        </row>
        <row r="827">
          <cell r="A827" t="str">
            <v>3310201020 Result Negativo Paticipacoes Societarias (R)</v>
          </cell>
          <cell r="B827">
            <v>8922940.8399999999</v>
          </cell>
        </row>
        <row r="828">
          <cell r="A828" t="str">
            <v>Resultado financeiro</v>
          </cell>
          <cell r="B828">
            <v>23717494.239999998</v>
          </cell>
        </row>
        <row r="829">
          <cell r="A829" t="str">
            <v>Receitas financeiras</v>
          </cell>
          <cell r="B829">
            <v>-15950004.01</v>
          </cell>
        </row>
        <row r="830">
          <cell r="A830" t="str">
            <v>Receita de equivalentes de caixa e TVM</v>
          </cell>
          <cell r="B830">
            <v>-13927643.75</v>
          </cell>
        </row>
        <row r="831">
          <cell r="A831" t="str">
            <v>3510101010 Rec Financ-Juros s/Aplic Financeiras (Realizado)</v>
          </cell>
          <cell r="B831">
            <v>-13927643.75</v>
          </cell>
        </row>
        <row r="832">
          <cell r="A832" t="str">
            <v>Variações cambiais ativas s/contr camb exter</v>
          </cell>
          <cell r="B832">
            <v>-82448.63</v>
          </cell>
        </row>
        <row r="833">
          <cell r="A833" t="str">
            <v>3530101010 Var C Liq At-Ganho Var Camb s/Receb Exterior (R)</v>
          </cell>
          <cell r="B833">
            <v>-84408.29</v>
          </cell>
        </row>
        <row r="834">
          <cell r="A834" t="str">
            <v>3530101020 Var C Liq At-Perda Var Camb s/Receb Exterior (R)</v>
          </cell>
          <cell r="B834">
            <v>1959.66</v>
          </cell>
        </row>
        <row r="835">
          <cell r="A835" t="str">
            <v>Outras receitas financeiras</v>
          </cell>
          <cell r="B835">
            <v>-1939911.63</v>
          </cell>
        </row>
        <row r="836">
          <cell r="A836" t="str">
            <v>3510101090 Rec Financ-Juros s/Capital Proprio (Realizado)</v>
          </cell>
          <cell r="B836">
            <v>-43110.76</v>
          </cell>
        </row>
        <row r="837">
          <cell r="A837" t="str">
            <v>3510101990 Rec Financ-Juros s/Outros Ativos (Realizado)</v>
          </cell>
          <cell r="B837">
            <v>-4025.32</v>
          </cell>
        </row>
        <row r="838">
          <cell r="A838" t="str">
            <v>3510102010 Rec Financ-Var Monet s/Deposit Judic (Realizado)</v>
          </cell>
          <cell r="B838">
            <v>-2638.55</v>
          </cell>
        </row>
        <row r="839">
          <cell r="A839" t="str">
            <v>3510102011 Rec Financ-Prov Var Monet s/ Depositos Judiciais</v>
          </cell>
          <cell r="B839">
            <v>-1239279.67</v>
          </cell>
        </row>
        <row r="840">
          <cell r="A840" t="str">
            <v>3510102020 Rec Financ-Var Monet s/Impostos a Recup. (Realiza)</v>
          </cell>
          <cell r="B840">
            <v>-114924.14</v>
          </cell>
        </row>
        <row r="841">
          <cell r="A841" t="str">
            <v>3510102990 Rec Finan-Var Monetaria s/Outros Ativos(Realizado)</v>
          </cell>
          <cell r="B841">
            <v>-195621.24</v>
          </cell>
        </row>
        <row r="842">
          <cell r="A842" t="str">
            <v>3510103010 Rec Financ-Encargos s/Cobrança Duplic(Realizado)</v>
          </cell>
          <cell r="B842">
            <v>-124827.07</v>
          </cell>
        </row>
        <row r="843">
          <cell r="A843" t="str">
            <v>3510103030 Rec Financ-Descontos Obtidos (Realizado)</v>
          </cell>
          <cell r="B843">
            <v>-24666.06</v>
          </cell>
        </row>
        <row r="844">
          <cell r="A844" t="str">
            <v>3510105010 Rec Financ-Bonificaçoes s/Adm Apolice (Realizado)</v>
          </cell>
          <cell r="B844">
            <v>-623.98</v>
          </cell>
        </row>
        <row r="845">
          <cell r="A845" t="str">
            <v>3510106014 Rec Financ-Cont.AVP/ICMS Recup s/Aquis de At.Fixo</v>
          </cell>
          <cell r="B845">
            <v>-171174.85</v>
          </cell>
        </row>
        <row r="846">
          <cell r="A846" t="str">
            <v>3510199990 Rec Financ-Demais Receitas Financeiras (Realizado)</v>
          </cell>
          <cell r="B846">
            <v>-19019.990000000002</v>
          </cell>
        </row>
        <row r="847">
          <cell r="A847" t="str">
            <v>Despesas financeiras</v>
          </cell>
          <cell r="B847">
            <v>39667498.25</v>
          </cell>
        </row>
        <row r="848">
          <cell r="A848" t="str">
            <v>Juros de empréstimos e financiamentos</v>
          </cell>
          <cell r="B848">
            <v>36458041.469999999</v>
          </cell>
        </row>
        <row r="849">
          <cell r="A849" t="str">
            <v>3510201010 (-)Desp Financ-Juros s/Emprestimos (Realizado)</v>
          </cell>
          <cell r="B849">
            <v>36458041.469999999</v>
          </cell>
        </row>
        <row r="850">
          <cell r="A850" t="str">
            <v>Variações cambiais passivas sobre empréstimos</v>
          </cell>
          <cell r="B850">
            <v>1381015.31</v>
          </cell>
        </row>
        <row r="851">
          <cell r="A851" t="str">
            <v>3530102030 Var C Liq Pas-Ganho Var Camb s/Empres Exterior(R)</v>
          </cell>
          <cell r="B851">
            <v>-555520.74</v>
          </cell>
        </row>
        <row r="852">
          <cell r="A852" t="str">
            <v>3530102040 Var C Liq Pas-Perda Va rCamb s/Empres Exterior(R)</v>
          </cell>
          <cell r="B852">
            <v>1936536.05</v>
          </cell>
        </row>
        <row r="853">
          <cell r="A853" t="str">
            <v>Variações cambiais passivas s/ exig. exterior</v>
          </cell>
          <cell r="B853">
            <v>-484011.8</v>
          </cell>
        </row>
        <row r="854">
          <cell r="A854" t="str">
            <v>3530102010 Var C Liq Pas-Ganho Var Camb s/Exigiv Exterior(R)</v>
          </cell>
          <cell r="B854">
            <v>-681960.91</v>
          </cell>
        </row>
        <row r="855">
          <cell r="A855" t="str">
            <v>3530102020 Var C Liq Pas-Perda Var Camb s/Exigiv Exterior(R)</v>
          </cell>
          <cell r="B855">
            <v>197949.11</v>
          </cell>
        </row>
        <row r="856">
          <cell r="A856" t="str">
            <v>Outras despesas financeiras</v>
          </cell>
          <cell r="B856">
            <v>2312453.27</v>
          </cell>
        </row>
        <row r="857">
          <cell r="A857" t="str">
            <v>3510201020 (-)Desp Financ-Juros s/Pgtos em Atraso (Realizado)</v>
          </cell>
          <cell r="B857">
            <v>29195.15</v>
          </cell>
        </row>
        <row r="858">
          <cell r="A858" t="str">
            <v>3510201990 (-)Desp Financ-Juros s/Outros Passivos (Realizado)</v>
          </cell>
          <cell r="B858">
            <v>1299.83</v>
          </cell>
        </row>
        <row r="859">
          <cell r="A859" t="str">
            <v>3510202020 Desp Financ-Var Monet s/Pgto em Atraso (Realizado)</v>
          </cell>
          <cell r="B859">
            <v>91.44</v>
          </cell>
        </row>
        <row r="860">
          <cell r="A860" t="str">
            <v>3510202030 Desp Financ-Var Monet s/Pgto Imposto em Atraso(R)</v>
          </cell>
          <cell r="B860">
            <v>207.84</v>
          </cell>
        </row>
        <row r="861">
          <cell r="A861" t="str">
            <v>3510202990 Desp Financ-Var Monet s/Outros Passivos(Realizado)</v>
          </cell>
          <cell r="B861">
            <v>119.74</v>
          </cell>
        </row>
        <row r="862">
          <cell r="A862" t="str">
            <v>3510202991 Desp Financ-Prov Var Monetaria s/Contingencias</v>
          </cell>
          <cell r="B862">
            <v>1232616.24</v>
          </cell>
        </row>
        <row r="863">
          <cell r="A863" t="str">
            <v>3510203020 Desp Financ-Encarg/Outros-Custas Judiciais(Realiz)</v>
          </cell>
          <cell r="B863">
            <v>514.13</v>
          </cell>
        </row>
        <row r="864">
          <cell r="A864" t="str">
            <v>3510203500 Desp Financ-Encarg/Outros-I.O.C / I.O.F(Realizado)</v>
          </cell>
          <cell r="B864">
            <v>676.44</v>
          </cell>
        </row>
        <row r="865">
          <cell r="A865" t="str">
            <v>3510204010 Desp Financ-EFE-Comissoes s/Aquis Empres Amort(R)</v>
          </cell>
          <cell r="B865">
            <v>684497.42</v>
          </cell>
        </row>
        <row r="866">
          <cell r="A866" t="str">
            <v>3510204090 Desp Financ-EFE-Outros Enc s/Aquis Emprest(Realiz)</v>
          </cell>
          <cell r="B866">
            <v>99660.2</v>
          </cell>
        </row>
        <row r="867">
          <cell r="A867" t="str">
            <v>3510205020 Desp Financ-Bancarias-Corretagens (Realiz)</v>
          </cell>
          <cell r="B867">
            <v>1650.15</v>
          </cell>
        </row>
        <row r="868">
          <cell r="A868" t="str">
            <v>3510205030 Desp Financ-Bancarias-Comissoes Fiança (Realiz)</v>
          </cell>
          <cell r="B868">
            <v>229778.14</v>
          </cell>
        </row>
        <row r="869">
          <cell r="A869" t="str">
            <v>3510205040 Desp Financ-Bancaria-Txa Expediente (Realiz)</v>
          </cell>
          <cell r="B869">
            <v>32141.68</v>
          </cell>
        </row>
        <row r="870">
          <cell r="A870" t="str">
            <v>3510299990 Demais Despesas Financeiras (Realizado)</v>
          </cell>
          <cell r="B870">
            <v>4.87</v>
          </cell>
        </row>
        <row r="871">
          <cell r="A871" t="str">
            <v>Imposto de renda e constribuição social</v>
          </cell>
          <cell r="B871">
            <v>23322508.170000002</v>
          </cell>
        </row>
        <row r="872">
          <cell r="A872" t="str">
            <v>Corrente</v>
          </cell>
          <cell r="B872">
            <v>25258493.420000002</v>
          </cell>
        </row>
        <row r="873">
          <cell r="A873" t="str">
            <v>3910101011 (-)Prov CSLL/Exerc.Corrente-CSLL Ajustado (Realiz)</v>
          </cell>
          <cell r="B873">
            <v>6590351.9199999999</v>
          </cell>
        </row>
        <row r="874">
          <cell r="A874" t="str">
            <v>3920101011 (-)Prov IRPJ/Exerc.Correne-IRPJ s/Lucro Real</v>
          </cell>
          <cell r="B874">
            <v>18668141.5</v>
          </cell>
        </row>
        <row r="875">
          <cell r="A875" t="str">
            <v>Diferido</v>
          </cell>
          <cell r="B875">
            <v>-1935985.25</v>
          </cell>
        </row>
        <row r="876">
          <cell r="A876" t="str">
            <v>3910101021 (-)Prov CSLL/Exerc.Corrente-CSLL Diferido Ativos</v>
          </cell>
          <cell r="B876">
            <v>-512466.3</v>
          </cell>
        </row>
        <row r="877">
          <cell r="A877" t="str">
            <v>3920101021 (-)Prov IRPJ/Exerc.Corrente-IRPJ Diferido Ativos</v>
          </cell>
          <cell r="B877">
            <v>-1423518.95</v>
          </cell>
        </row>
        <row r="878">
          <cell r="A878"/>
        </row>
        <row r="879">
          <cell r="A879"/>
        </row>
        <row r="880">
          <cell r="A880"/>
        </row>
        <row r="881">
          <cell r="A881"/>
        </row>
        <row r="882">
          <cell r="A882"/>
        </row>
        <row r="883">
          <cell r="A883"/>
        </row>
        <row r="884">
          <cell r="A884"/>
        </row>
        <row r="885">
          <cell r="A885"/>
        </row>
        <row r="886">
          <cell r="A886"/>
        </row>
        <row r="887">
          <cell r="A887"/>
        </row>
        <row r="888">
          <cell r="A888"/>
        </row>
        <row r="889">
          <cell r="A889"/>
        </row>
        <row r="890">
          <cell r="A890"/>
        </row>
        <row r="891">
          <cell r="A891"/>
        </row>
        <row r="892">
          <cell r="A892"/>
        </row>
        <row r="893">
          <cell r="A893"/>
        </row>
        <row r="894">
          <cell r="A894"/>
        </row>
        <row r="895">
          <cell r="A895"/>
        </row>
        <row r="896">
          <cell r="A896"/>
        </row>
        <row r="897">
          <cell r="A897"/>
        </row>
        <row r="898">
          <cell r="A898"/>
        </row>
        <row r="899">
          <cell r="A899"/>
        </row>
        <row r="900">
          <cell r="A900"/>
        </row>
      </sheetData>
      <sheetData sheetId="25" refreshError="1"/>
      <sheetData sheetId="26" refreshError="1">
        <row r="10">
          <cell r="I10">
            <v>338950648.06</v>
          </cell>
          <cell r="J10">
            <v>14957742.85</v>
          </cell>
          <cell r="K10">
            <v>353908390.91000003</v>
          </cell>
        </row>
        <row r="11">
          <cell r="C11" t="str">
            <v>1.1.1 -   REALIZÁVEL A CURTO PRAZO</v>
          </cell>
          <cell r="I11">
            <v>338950648.06</v>
          </cell>
          <cell r="J11">
            <v>14957742.85</v>
          </cell>
          <cell r="K11">
            <v>353908390.91000003</v>
          </cell>
        </row>
        <row r="12">
          <cell r="D12" t="str">
            <v>1.1.1.01 - Caixa e Equivalentes de Caixa</v>
          </cell>
          <cell r="I12">
            <v>106852365.15000001</v>
          </cell>
          <cell r="J12">
            <v>4525419.54</v>
          </cell>
          <cell r="K12">
            <v>111377784.69</v>
          </cell>
        </row>
        <row r="13">
          <cell r="F13" t="str">
            <v>1.1.1.01.01 - Caixa</v>
          </cell>
          <cell r="I13">
            <v>0</v>
          </cell>
          <cell r="J13">
            <v>0</v>
          </cell>
          <cell r="K13">
            <v>0</v>
          </cell>
        </row>
        <row r="14">
          <cell r="G14" t="str">
            <v>1.1.1.01.01.01 - Caixa EC</v>
          </cell>
          <cell r="I14">
            <v>0</v>
          </cell>
          <cell r="J14">
            <v>0</v>
          </cell>
          <cell r="K14">
            <v>0</v>
          </cell>
        </row>
        <row r="15">
          <cell r="H15" t="str">
            <v>1110101010 Caixa EC (Realizado)</v>
          </cell>
          <cell r="I15">
            <v>0</v>
          </cell>
          <cell r="J15">
            <v>0</v>
          </cell>
          <cell r="K15">
            <v>0</v>
          </cell>
        </row>
        <row r="16">
          <cell r="G16" t="str">
            <v>1.1.1.01.01.02 - Caixa FC</v>
          </cell>
          <cell r="I16">
            <v>0</v>
          </cell>
          <cell r="J16">
            <v>0</v>
          </cell>
          <cell r="K16">
            <v>0</v>
          </cell>
        </row>
        <row r="17">
          <cell r="H17" t="str">
            <v>1110101020 Caixa FC (Realizado)</v>
          </cell>
          <cell r="I17">
            <v>0</v>
          </cell>
          <cell r="J17">
            <v>0</v>
          </cell>
          <cell r="K17">
            <v>0</v>
          </cell>
        </row>
        <row r="18">
          <cell r="F18" t="str">
            <v>1.1.1.01.02 - Bancos</v>
          </cell>
          <cell r="I18">
            <v>924815.17</v>
          </cell>
          <cell r="J18">
            <v>-534162.80000000005</v>
          </cell>
          <cell r="K18">
            <v>390652.37</v>
          </cell>
        </row>
        <row r="19">
          <cell r="G19" t="str">
            <v>1.1.1.01.02.01 - Banco do Brasil</v>
          </cell>
          <cell r="I19">
            <v>905.26</v>
          </cell>
          <cell r="J19">
            <v>92409.03</v>
          </cell>
          <cell r="K19">
            <v>93314.29</v>
          </cell>
        </row>
        <row r="20">
          <cell r="H20" t="str">
            <v>1110102010 Banco do Brasil  (Realizado)</v>
          </cell>
          <cell r="I20">
            <v>0</v>
          </cell>
          <cell r="J20">
            <v>0</v>
          </cell>
          <cell r="K20">
            <v>0</v>
          </cell>
        </row>
        <row r="21">
          <cell r="H21" t="str">
            <v>1110102011 Banco do Brasil  (Transitorias - Entradas)</v>
          </cell>
          <cell r="I21">
            <v>0</v>
          </cell>
          <cell r="J21">
            <v>0</v>
          </cell>
          <cell r="K21">
            <v>0</v>
          </cell>
        </row>
        <row r="22">
          <cell r="H22" t="str">
            <v>1110102012 Banco do Brasil  (Transitorias - Saidas)</v>
          </cell>
          <cell r="I22">
            <v>0</v>
          </cell>
          <cell r="J22">
            <v>0</v>
          </cell>
          <cell r="K22">
            <v>0</v>
          </cell>
        </row>
        <row r="23">
          <cell r="H23" t="str">
            <v>1110102210 Banco do Brasil  (Realizado)</v>
          </cell>
          <cell r="I23">
            <v>905.26</v>
          </cell>
          <cell r="J23">
            <v>92409.03</v>
          </cell>
          <cell r="K23">
            <v>93314.29</v>
          </cell>
        </row>
        <row r="24">
          <cell r="H24" t="str">
            <v>1110102211 Banco do Brasil  (Transitorias - Entradas)</v>
          </cell>
          <cell r="I24">
            <v>0</v>
          </cell>
          <cell r="J24">
            <v>0</v>
          </cell>
          <cell r="K24">
            <v>0</v>
          </cell>
        </row>
        <row r="25">
          <cell r="H25" t="str">
            <v>1110102212 Banco do Brasil  (Transitorias - Saidas)</v>
          </cell>
          <cell r="I25">
            <v>0</v>
          </cell>
          <cell r="J25">
            <v>0</v>
          </cell>
          <cell r="K25">
            <v>0</v>
          </cell>
        </row>
        <row r="26">
          <cell r="G26" t="str">
            <v>1.1.1.01.02.02 - Banco Bradesco</v>
          </cell>
          <cell r="I26">
            <v>2733.75</v>
          </cell>
          <cell r="J26">
            <v>-1437.27</v>
          </cell>
          <cell r="K26">
            <v>1296.48</v>
          </cell>
        </row>
        <row r="27">
          <cell r="H27" t="str">
            <v>1110102020 Banco Bradesco (Realizado)</v>
          </cell>
          <cell r="I27">
            <v>0</v>
          </cell>
          <cell r="J27">
            <v>0</v>
          </cell>
          <cell r="K27">
            <v>0</v>
          </cell>
        </row>
        <row r="28">
          <cell r="H28" t="str">
            <v>1110102021 Banco Bradesco (Transitorias - Entradas)</v>
          </cell>
          <cell r="I28">
            <v>0</v>
          </cell>
          <cell r="J28">
            <v>0</v>
          </cell>
          <cell r="K28">
            <v>0</v>
          </cell>
        </row>
        <row r="29">
          <cell r="H29" t="str">
            <v>1110102022 Banco Bradesco (Transitorias - Saidas)</v>
          </cell>
          <cell r="I29">
            <v>0</v>
          </cell>
          <cell r="J29">
            <v>0</v>
          </cell>
          <cell r="K29">
            <v>0</v>
          </cell>
        </row>
        <row r="30">
          <cell r="H30" t="str">
            <v>1110102220 Banco Bradesco (Realizado)</v>
          </cell>
          <cell r="I30">
            <v>796.32</v>
          </cell>
          <cell r="J30">
            <v>26.05</v>
          </cell>
          <cell r="K30">
            <v>822.37</v>
          </cell>
        </row>
        <row r="31">
          <cell r="H31" t="str">
            <v>1110102221 Banco Bradesco (Transitorias - Entradas)</v>
          </cell>
          <cell r="I31">
            <v>0</v>
          </cell>
          <cell r="J31">
            <v>0</v>
          </cell>
          <cell r="K31">
            <v>0</v>
          </cell>
        </row>
        <row r="32">
          <cell r="H32" t="str">
            <v>1110102222 Banco Bradesco (Transitorias - Saidas)</v>
          </cell>
          <cell r="I32">
            <v>0</v>
          </cell>
          <cell r="J32">
            <v>0</v>
          </cell>
          <cell r="K32">
            <v>0</v>
          </cell>
        </row>
        <row r="33">
          <cell r="H33" t="str">
            <v>1110102320 Banco Bradesco (Realizado)</v>
          </cell>
          <cell r="I33">
            <v>1937.43</v>
          </cell>
          <cell r="J33">
            <v>-1463.32</v>
          </cell>
          <cell r="K33">
            <v>474.11</v>
          </cell>
        </row>
        <row r="34">
          <cell r="H34" t="str">
            <v>1110102321 Banco Bradesco (Transitorias - Entradas)</v>
          </cell>
          <cell r="I34">
            <v>0</v>
          </cell>
          <cell r="J34">
            <v>0</v>
          </cell>
          <cell r="K34">
            <v>0</v>
          </cell>
        </row>
        <row r="35">
          <cell r="H35" t="str">
            <v>1110102322 Banco Bradesco (Transitorias - Saidas)</v>
          </cell>
          <cell r="I35">
            <v>0</v>
          </cell>
          <cell r="J35">
            <v>0</v>
          </cell>
          <cell r="K35">
            <v>0</v>
          </cell>
        </row>
        <row r="36">
          <cell r="G36" t="str">
            <v>1.1.1.01.02.03 - Banco Itau S/A</v>
          </cell>
          <cell r="I36">
            <v>806029.08</v>
          </cell>
          <cell r="J36">
            <v>-649846.87</v>
          </cell>
          <cell r="K36">
            <v>156182.21</v>
          </cell>
        </row>
        <row r="37">
          <cell r="H37" t="str">
            <v>1110102030 Banco Itau (Realizado)</v>
          </cell>
          <cell r="I37">
            <v>806029.08</v>
          </cell>
          <cell r="J37">
            <v>-649846.87</v>
          </cell>
          <cell r="K37">
            <v>156182.21</v>
          </cell>
        </row>
        <row r="38">
          <cell r="H38" t="str">
            <v>1110102031 Banco Itau (Transitorias - Entradas)</v>
          </cell>
          <cell r="I38">
            <v>0</v>
          </cell>
          <cell r="J38">
            <v>0</v>
          </cell>
          <cell r="K38">
            <v>0</v>
          </cell>
        </row>
        <row r="39">
          <cell r="H39" t="str">
            <v>1110102032 Banco Itau (Transitorias - Saidas)</v>
          </cell>
          <cell r="I39">
            <v>0</v>
          </cell>
          <cell r="J39">
            <v>0</v>
          </cell>
          <cell r="K39">
            <v>0</v>
          </cell>
        </row>
        <row r="40">
          <cell r="H40" t="str">
            <v>1110102230 Banco Itau (Realizado)</v>
          </cell>
          <cell r="I40">
            <v>0</v>
          </cell>
          <cell r="J40">
            <v>0</v>
          </cell>
          <cell r="K40">
            <v>0</v>
          </cell>
        </row>
        <row r="41">
          <cell r="H41" t="str">
            <v>1110102231 Banco Itau (Transitorias - Entradas)</v>
          </cell>
          <cell r="I41">
            <v>0</v>
          </cell>
          <cell r="J41">
            <v>0</v>
          </cell>
          <cell r="K41">
            <v>0</v>
          </cell>
        </row>
        <row r="42">
          <cell r="H42" t="str">
            <v>1110102232 Banco Itau (Transitorias - Saidas)</v>
          </cell>
          <cell r="I42">
            <v>0</v>
          </cell>
          <cell r="J42">
            <v>0</v>
          </cell>
          <cell r="K42">
            <v>0</v>
          </cell>
        </row>
        <row r="43">
          <cell r="G43" t="str">
            <v>1.1.1.01.02.04 - Banco Santander S/A</v>
          </cell>
          <cell r="I43">
            <v>103462.28</v>
          </cell>
          <cell r="J43">
            <v>24089.62</v>
          </cell>
          <cell r="K43">
            <v>127551.9</v>
          </cell>
        </row>
        <row r="44">
          <cell r="H44" t="str">
            <v>1110102040 Banco Santander (Realizado)</v>
          </cell>
          <cell r="I44">
            <v>96459.23</v>
          </cell>
          <cell r="J44">
            <v>22859.47</v>
          </cell>
          <cell r="K44">
            <v>119318.7</v>
          </cell>
        </row>
        <row r="45">
          <cell r="H45" t="str">
            <v>1110102041 Banco Santander (Transitorias - Entradas)</v>
          </cell>
          <cell r="I45">
            <v>0</v>
          </cell>
          <cell r="J45">
            <v>0</v>
          </cell>
          <cell r="K45">
            <v>0</v>
          </cell>
        </row>
        <row r="46">
          <cell r="H46" t="str">
            <v>1110102042 Banco Santander (Transitorias - Saidas)</v>
          </cell>
          <cell r="I46">
            <v>0</v>
          </cell>
          <cell r="J46">
            <v>0</v>
          </cell>
          <cell r="K46">
            <v>0</v>
          </cell>
        </row>
        <row r="47">
          <cell r="H47" t="str">
            <v>1110102240 Banco Santander (Realizado)</v>
          </cell>
          <cell r="I47">
            <v>7003.05</v>
          </cell>
          <cell r="J47">
            <v>1230.1500000000001</v>
          </cell>
          <cell r="K47">
            <v>8233.2000000000007</v>
          </cell>
        </row>
        <row r="48">
          <cell r="H48" t="str">
            <v>1110102241 Banco Santander (Transitorias - Entradas)</v>
          </cell>
          <cell r="I48">
            <v>0</v>
          </cell>
          <cell r="J48">
            <v>0</v>
          </cell>
          <cell r="K48">
            <v>0</v>
          </cell>
        </row>
        <row r="49">
          <cell r="H49" t="str">
            <v>1110102242 Banco Santander (Transitorias - Saidas)</v>
          </cell>
          <cell r="I49">
            <v>0</v>
          </cell>
          <cell r="J49">
            <v>0</v>
          </cell>
          <cell r="K49">
            <v>0</v>
          </cell>
        </row>
        <row r="50">
          <cell r="G50" t="str">
            <v>1.1.1.01.02.05 - Caixa Economica Federal S/A</v>
          </cell>
          <cell r="I50">
            <v>1232.72</v>
          </cell>
          <cell r="J50">
            <v>-28.43</v>
          </cell>
          <cell r="K50">
            <v>1204.29</v>
          </cell>
        </row>
        <row r="51">
          <cell r="H51" t="str">
            <v>1110102050 Caixa Economica Federal (Realizado)</v>
          </cell>
          <cell r="I51">
            <v>0</v>
          </cell>
          <cell r="J51">
            <v>0</v>
          </cell>
          <cell r="K51">
            <v>0</v>
          </cell>
        </row>
        <row r="52">
          <cell r="H52" t="str">
            <v>1110102051 Caixa Economica Federal (Transitorias - Entradas)</v>
          </cell>
          <cell r="I52">
            <v>0</v>
          </cell>
          <cell r="J52">
            <v>0</v>
          </cell>
          <cell r="K52">
            <v>0</v>
          </cell>
        </row>
        <row r="53">
          <cell r="H53" t="str">
            <v>1110102052 Caixa Economica Federal (Transitorias - Saidas)</v>
          </cell>
          <cell r="I53">
            <v>0</v>
          </cell>
          <cell r="J53">
            <v>0</v>
          </cell>
          <cell r="K53">
            <v>0</v>
          </cell>
        </row>
        <row r="54">
          <cell r="H54" t="str">
            <v>1110102250 Caixa Economica Federal (Realizado)</v>
          </cell>
          <cell r="I54">
            <v>463.43</v>
          </cell>
          <cell r="J54">
            <v>-7.13</v>
          </cell>
          <cell r="K54">
            <v>456.3</v>
          </cell>
        </row>
        <row r="55">
          <cell r="H55" t="str">
            <v>1110102251 Caixa Economica Federal (Transitorias - Entradas)</v>
          </cell>
          <cell r="I55">
            <v>0</v>
          </cell>
          <cell r="J55">
            <v>0</v>
          </cell>
          <cell r="K55">
            <v>0</v>
          </cell>
        </row>
        <row r="56">
          <cell r="H56" t="str">
            <v>1110102252 Caixa Economica Federal (Transitorias - Saidas)</v>
          </cell>
          <cell r="I56">
            <v>0</v>
          </cell>
          <cell r="J56">
            <v>0</v>
          </cell>
          <cell r="K56">
            <v>0</v>
          </cell>
        </row>
        <row r="57">
          <cell r="H57" t="str">
            <v>1110102350 Caixa Economica Federal (Realizado)</v>
          </cell>
          <cell r="I57">
            <v>769.29</v>
          </cell>
          <cell r="J57">
            <v>-21.3</v>
          </cell>
          <cell r="K57">
            <v>747.99</v>
          </cell>
        </row>
        <row r="58">
          <cell r="H58" t="str">
            <v>1110102351 Caixa Economica Federal (Transitorias - Entradas)</v>
          </cell>
          <cell r="I58">
            <v>0</v>
          </cell>
          <cell r="J58">
            <v>0</v>
          </cell>
          <cell r="K58">
            <v>0</v>
          </cell>
        </row>
        <row r="59">
          <cell r="H59" t="str">
            <v>1110102352 Caixa Economica Federal (Transitorias - Saidas)</v>
          </cell>
          <cell r="I59">
            <v>0</v>
          </cell>
          <cell r="J59">
            <v>0</v>
          </cell>
          <cell r="K59">
            <v>0</v>
          </cell>
        </row>
        <row r="60">
          <cell r="G60" t="str">
            <v>1.1.1.01.02.06 - Banco Fibra S/A</v>
          </cell>
          <cell r="I60">
            <v>0</v>
          </cell>
          <cell r="J60">
            <v>0</v>
          </cell>
          <cell r="K60">
            <v>0</v>
          </cell>
        </row>
        <row r="61">
          <cell r="H61" t="str">
            <v>1110102060 Banco Fibra (Realizado)</v>
          </cell>
          <cell r="I61">
            <v>0</v>
          </cell>
          <cell r="J61">
            <v>0</v>
          </cell>
          <cell r="K61">
            <v>0</v>
          </cell>
        </row>
        <row r="62">
          <cell r="H62" t="str">
            <v>1110102061 Banco Fibra (Transitorias - Entradas)</v>
          </cell>
          <cell r="I62">
            <v>0</v>
          </cell>
          <cell r="J62">
            <v>0</v>
          </cell>
          <cell r="K62">
            <v>0</v>
          </cell>
        </row>
        <row r="63">
          <cell r="H63" t="str">
            <v>1110102062 Banco Fibra (Transitorias - Saidas)</v>
          </cell>
          <cell r="I63">
            <v>0</v>
          </cell>
          <cell r="J63">
            <v>0</v>
          </cell>
          <cell r="K63">
            <v>0</v>
          </cell>
        </row>
        <row r="64">
          <cell r="G64" t="str">
            <v>1.1.1.01.02.07 - Banco Safra S/A</v>
          </cell>
          <cell r="I64">
            <v>1987.37</v>
          </cell>
          <cell r="J64">
            <v>151.12</v>
          </cell>
          <cell r="K64">
            <v>2138.4899999999998</v>
          </cell>
        </row>
        <row r="65">
          <cell r="H65" t="str">
            <v>1110102070 Banco Safra (Realizado)</v>
          </cell>
          <cell r="I65">
            <v>0</v>
          </cell>
          <cell r="J65">
            <v>0</v>
          </cell>
          <cell r="K65">
            <v>0</v>
          </cell>
        </row>
        <row r="66">
          <cell r="H66" t="str">
            <v>1110102071 Banco Safra (Transitorias - Entradas)</v>
          </cell>
          <cell r="I66">
            <v>0</v>
          </cell>
          <cell r="J66">
            <v>0</v>
          </cell>
          <cell r="K66">
            <v>0</v>
          </cell>
        </row>
        <row r="67">
          <cell r="H67" t="str">
            <v>1110102072 Banco Safra (Transitorias - Saidas)</v>
          </cell>
          <cell r="I67">
            <v>0</v>
          </cell>
          <cell r="J67">
            <v>0</v>
          </cell>
          <cell r="K67">
            <v>0</v>
          </cell>
        </row>
        <row r="68">
          <cell r="H68" t="str">
            <v>1110102270 Banco Safra (Realizado)</v>
          </cell>
          <cell r="I68">
            <v>1987.37</v>
          </cell>
          <cell r="J68">
            <v>151.12</v>
          </cell>
          <cell r="K68">
            <v>2138.4899999999998</v>
          </cell>
        </row>
        <row r="69">
          <cell r="H69" t="str">
            <v>1110102271 Banco Safra (Transitorias - Entradas)</v>
          </cell>
          <cell r="I69">
            <v>0</v>
          </cell>
          <cell r="J69">
            <v>0</v>
          </cell>
          <cell r="K69">
            <v>0</v>
          </cell>
        </row>
        <row r="70">
          <cell r="H70" t="str">
            <v>1110102272 Banco Safra (Transitorias - Saidas)</v>
          </cell>
          <cell r="I70">
            <v>0</v>
          </cell>
          <cell r="J70">
            <v>0</v>
          </cell>
          <cell r="K70">
            <v>0</v>
          </cell>
        </row>
        <row r="71">
          <cell r="G71" t="str">
            <v>1.1.1.01.02.08 - Banco Votorantin S/A</v>
          </cell>
          <cell r="I71">
            <v>308.85000000000002</v>
          </cell>
          <cell r="J71">
            <v>0</v>
          </cell>
          <cell r="K71">
            <v>308.85000000000002</v>
          </cell>
        </row>
        <row r="72">
          <cell r="H72" t="str">
            <v>1110102080 Banco Votorantin (Realizado)</v>
          </cell>
          <cell r="I72">
            <v>308.85000000000002</v>
          </cell>
          <cell r="J72">
            <v>0</v>
          </cell>
          <cell r="K72">
            <v>308.85000000000002</v>
          </cell>
        </row>
        <row r="73">
          <cell r="H73" t="str">
            <v>1110102081 Banco Votorantin (Transitorias - Entradas)</v>
          </cell>
          <cell r="I73">
            <v>0</v>
          </cell>
          <cell r="J73">
            <v>0</v>
          </cell>
          <cell r="K73">
            <v>0</v>
          </cell>
        </row>
        <row r="74">
          <cell r="H74" t="str">
            <v>1110102082 Banco Votorantin (Transitorias - Saidas)</v>
          </cell>
          <cell r="I74">
            <v>0</v>
          </cell>
          <cell r="J74">
            <v>0</v>
          </cell>
          <cell r="K74">
            <v>0</v>
          </cell>
        </row>
        <row r="75">
          <cell r="G75" t="str">
            <v>1.1.1.01.02.09 - Banco Paulista S/A</v>
          </cell>
          <cell r="I75">
            <v>624.41</v>
          </cell>
          <cell r="J75">
            <v>500</v>
          </cell>
          <cell r="K75">
            <v>1124.4100000000001</v>
          </cell>
        </row>
        <row r="76">
          <cell r="H76" t="str">
            <v>1110102090 Banco Paulista (Realizado)</v>
          </cell>
          <cell r="I76">
            <v>0</v>
          </cell>
          <cell r="J76">
            <v>0</v>
          </cell>
          <cell r="K76">
            <v>0</v>
          </cell>
        </row>
        <row r="77">
          <cell r="H77" t="str">
            <v>1110102091 Banco Paulista (Transitorias - Entradas)</v>
          </cell>
          <cell r="I77">
            <v>0</v>
          </cell>
          <cell r="J77">
            <v>0</v>
          </cell>
          <cell r="K77">
            <v>0</v>
          </cell>
        </row>
        <row r="78">
          <cell r="H78" t="str">
            <v>1110102092 Banco Paulista (Transitorias - Saidas)</v>
          </cell>
          <cell r="I78">
            <v>0</v>
          </cell>
          <cell r="J78">
            <v>0</v>
          </cell>
          <cell r="K78">
            <v>0</v>
          </cell>
        </row>
        <row r="79">
          <cell r="H79" t="str">
            <v>1110102290 Banco Paulista (Realizado)</v>
          </cell>
          <cell r="I79">
            <v>624.41</v>
          </cell>
          <cell r="J79">
            <v>500</v>
          </cell>
          <cell r="K79">
            <v>1124.4100000000001</v>
          </cell>
        </row>
        <row r="80">
          <cell r="H80" t="str">
            <v>1110102291 Banco Paulista (Transitorias - Entradas)</v>
          </cell>
          <cell r="I80">
            <v>0</v>
          </cell>
          <cell r="J80">
            <v>0</v>
          </cell>
          <cell r="K80">
            <v>0</v>
          </cell>
        </row>
        <row r="81">
          <cell r="H81" t="str">
            <v>1110102292 Banco Paulista (Transitorias - Saidas)</v>
          </cell>
          <cell r="I81">
            <v>0</v>
          </cell>
          <cell r="J81">
            <v>0</v>
          </cell>
          <cell r="K81">
            <v>0</v>
          </cell>
        </row>
        <row r="82">
          <cell r="G82" t="str">
            <v>1.1.1.01.02.10 - Banco Pactual S.A.</v>
          </cell>
          <cell r="I82">
            <v>1759.2</v>
          </cell>
          <cell r="J82">
            <v>0</v>
          </cell>
          <cell r="K82">
            <v>1759.2</v>
          </cell>
        </row>
        <row r="83">
          <cell r="H83" t="str">
            <v>1110102100 Banco Pactual S.A.(Realizado)</v>
          </cell>
          <cell r="I83">
            <v>1759.2</v>
          </cell>
          <cell r="J83">
            <v>0</v>
          </cell>
          <cell r="K83">
            <v>1759.2</v>
          </cell>
        </row>
        <row r="84">
          <cell r="H84" t="str">
            <v>1110102101 Banco Pactual S.A.(Transitorias - Entradas)</v>
          </cell>
          <cell r="I84">
            <v>0</v>
          </cell>
          <cell r="J84">
            <v>0</v>
          </cell>
          <cell r="K84">
            <v>0</v>
          </cell>
        </row>
        <row r="85">
          <cell r="H85" t="str">
            <v>1110102102 Banco Pactual S.A. (Transitorias - Saidas)</v>
          </cell>
          <cell r="I85">
            <v>0</v>
          </cell>
          <cell r="J85">
            <v>0</v>
          </cell>
          <cell r="K85">
            <v>0</v>
          </cell>
        </row>
        <row r="86">
          <cell r="G86" t="str">
            <v>1.1.1.01.02.11 - Banco Panamericano S.A</v>
          </cell>
          <cell r="I86">
            <v>0</v>
          </cell>
          <cell r="J86">
            <v>0</v>
          </cell>
          <cell r="K86">
            <v>0</v>
          </cell>
        </row>
        <row r="87">
          <cell r="H87" t="str">
            <v>1110102110 Banco Panamericano S.A (Realizado)</v>
          </cell>
          <cell r="I87">
            <v>0</v>
          </cell>
          <cell r="J87">
            <v>0</v>
          </cell>
          <cell r="K87">
            <v>0</v>
          </cell>
        </row>
        <row r="88">
          <cell r="H88" t="str">
            <v>1110102111 Banco Panamericano S.A  (Transitorias - Entradas)</v>
          </cell>
          <cell r="I88">
            <v>0</v>
          </cell>
          <cell r="J88">
            <v>0</v>
          </cell>
          <cell r="K88">
            <v>0</v>
          </cell>
        </row>
        <row r="89">
          <cell r="H89" t="str">
            <v>1110102112 Banco Panamericano S.A  (Transitorias - Saidas)</v>
          </cell>
          <cell r="I89">
            <v>0</v>
          </cell>
          <cell r="J89">
            <v>0</v>
          </cell>
          <cell r="K89">
            <v>0</v>
          </cell>
        </row>
        <row r="90">
          <cell r="G90" t="str">
            <v>1.1.1.01.02.12 - Banco Alfa de Investimentos</v>
          </cell>
          <cell r="I90">
            <v>5772.25</v>
          </cell>
          <cell r="J90">
            <v>0</v>
          </cell>
          <cell r="K90">
            <v>5772.25</v>
          </cell>
        </row>
        <row r="91">
          <cell r="H91" t="str">
            <v>1110102120 Banco Alfa de Investimentos S.A. (Realizado)</v>
          </cell>
          <cell r="I91">
            <v>5772.25</v>
          </cell>
          <cell r="J91">
            <v>0</v>
          </cell>
          <cell r="K91">
            <v>5772.25</v>
          </cell>
        </row>
        <row r="92">
          <cell r="H92" t="str">
            <v>1110102121 Banco Alfa de Investimentos S.A. (Trans - Entr)</v>
          </cell>
          <cell r="I92">
            <v>0</v>
          </cell>
          <cell r="J92">
            <v>0</v>
          </cell>
          <cell r="K92">
            <v>0</v>
          </cell>
        </row>
        <row r="93">
          <cell r="H93" t="str">
            <v>1110102122 Banco Alfa de Investimentos S.A. (Trans - Saidas)</v>
          </cell>
          <cell r="I93">
            <v>0</v>
          </cell>
          <cell r="J93">
            <v>0</v>
          </cell>
          <cell r="K93">
            <v>0</v>
          </cell>
        </row>
        <row r="94">
          <cell r="G94" t="str">
            <v>1.1.1.01.02.13 - Banco Fator S.A</v>
          </cell>
          <cell r="I94">
            <v>0</v>
          </cell>
          <cell r="J94">
            <v>0</v>
          </cell>
          <cell r="K94">
            <v>0</v>
          </cell>
        </row>
        <row r="95">
          <cell r="H95" t="str">
            <v>1110102130 Banco Fator S.A. (Realizado)</v>
          </cell>
          <cell r="I95">
            <v>0</v>
          </cell>
          <cell r="J95">
            <v>0</v>
          </cell>
          <cell r="K95">
            <v>0</v>
          </cell>
        </row>
        <row r="96">
          <cell r="H96" t="str">
            <v>1110102131 Banco Fator S.A. (Transitorias - Entradas)</v>
          </cell>
          <cell r="I96">
            <v>0</v>
          </cell>
          <cell r="J96">
            <v>0</v>
          </cell>
          <cell r="K96">
            <v>0</v>
          </cell>
        </row>
        <row r="97">
          <cell r="H97" t="str">
            <v>1110102132 Banco Fator S.A. (Transitorias - Saidas)</v>
          </cell>
          <cell r="I97">
            <v>0</v>
          </cell>
          <cell r="J97">
            <v>0</v>
          </cell>
          <cell r="K97">
            <v>0</v>
          </cell>
        </row>
        <row r="98">
          <cell r="G98" t="str">
            <v>1.1.1.01.02.14 - Banco Industrial e Comercial</v>
          </cell>
          <cell r="I98">
            <v>0</v>
          </cell>
          <cell r="J98">
            <v>0</v>
          </cell>
          <cell r="K98">
            <v>0</v>
          </cell>
        </row>
        <row r="99">
          <cell r="H99" t="str">
            <v>1110102140 Banco Industrial e Comercial S.A.  (Realizado)</v>
          </cell>
          <cell r="I99">
            <v>0</v>
          </cell>
          <cell r="J99">
            <v>0</v>
          </cell>
          <cell r="K99">
            <v>0</v>
          </cell>
        </row>
        <row r="100">
          <cell r="H100" t="str">
            <v>1110102141 Banco Industrial e Comercial S.A. (Trans - Entr)</v>
          </cell>
          <cell r="I100">
            <v>0</v>
          </cell>
          <cell r="J100">
            <v>0</v>
          </cell>
          <cell r="K100">
            <v>0</v>
          </cell>
        </row>
        <row r="101">
          <cell r="H101" t="str">
            <v>1110102142 Banco Industrial e Comercial S.A. (Trans - Saidas)</v>
          </cell>
          <cell r="I101">
            <v>0</v>
          </cell>
          <cell r="J101">
            <v>0</v>
          </cell>
          <cell r="K101">
            <v>0</v>
          </cell>
        </row>
        <row r="102">
          <cell r="G102" t="str">
            <v>1.1.1.01.02.15 - Banco Espírito Santo S.A.</v>
          </cell>
          <cell r="I102">
            <v>0</v>
          </cell>
          <cell r="J102">
            <v>0</v>
          </cell>
          <cell r="K102">
            <v>0</v>
          </cell>
        </row>
        <row r="103">
          <cell r="H103" t="str">
            <v>1110102150 Banco Espírito Santo S.A. - BES (Realizado)</v>
          </cell>
          <cell r="I103">
            <v>0</v>
          </cell>
          <cell r="J103">
            <v>0</v>
          </cell>
          <cell r="K103">
            <v>0</v>
          </cell>
        </row>
        <row r="104">
          <cell r="H104" t="str">
            <v>1110102151 Banco Espírito Santo S.A.- BES (Transit -Entradas)</v>
          </cell>
          <cell r="I104">
            <v>0</v>
          </cell>
          <cell r="J104">
            <v>0</v>
          </cell>
          <cell r="K104">
            <v>0</v>
          </cell>
        </row>
        <row r="105">
          <cell r="H105" t="str">
            <v>1110102152 Banco Espírito Santo S.A. - BES  (Transit -Saídas)</v>
          </cell>
          <cell r="I105">
            <v>0</v>
          </cell>
          <cell r="J105">
            <v>0</v>
          </cell>
          <cell r="K105">
            <v>0</v>
          </cell>
        </row>
        <row r="106">
          <cell r="F106" t="str">
            <v>1.1.1.01.03 - Recursos no Ext.Decorrente Exp</v>
          </cell>
          <cell r="I106">
            <v>0</v>
          </cell>
          <cell r="J106">
            <v>0</v>
          </cell>
          <cell r="K106">
            <v>0</v>
          </cell>
        </row>
        <row r="107">
          <cell r="G107" t="str">
            <v>1.1.1.01.03.03 - Banco Itau S/A</v>
          </cell>
          <cell r="I107">
            <v>0</v>
          </cell>
          <cell r="J107">
            <v>0</v>
          </cell>
          <cell r="K107">
            <v>0</v>
          </cell>
        </row>
        <row r="108">
          <cell r="H108" t="str">
            <v>1110103030 Recursos no Exterior - Bco Itau S/A (Realizado)</v>
          </cell>
          <cell r="I108">
            <v>0</v>
          </cell>
          <cell r="J108">
            <v>0</v>
          </cell>
          <cell r="K108">
            <v>0</v>
          </cell>
        </row>
        <row r="109">
          <cell r="H109" t="str">
            <v>1110103036 Var Cambial s/Recursos no Exter - Bco Itau S/A R</v>
          </cell>
          <cell r="I109">
            <v>0</v>
          </cell>
          <cell r="J109">
            <v>0</v>
          </cell>
          <cell r="K109">
            <v>0</v>
          </cell>
        </row>
        <row r="110">
          <cell r="F110" t="str">
            <v>1.1.1.01.05 - Aplicações Financeiras</v>
          </cell>
          <cell r="I110">
            <v>105927549.98</v>
          </cell>
          <cell r="J110">
            <v>5059582.34</v>
          </cell>
          <cell r="K110">
            <v>110987132.31999999</v>
          </cell>
        </row>
        <row r="111">
          <cell r="G111" t="str">
            <v>1.1.1.01.05.01 - Aplicações Financeiras</v>
          </cell>
          <cell r="I111">
            <v>105927549.98</v>
          </cell>
          <cell r="J111">
            <v>5059582.34</v>
          </cell>
          <cell r="K111">
            <v>110987132.31999999</v>
          </cell>
        </row>
        <row r="112">
          <cell r="H112" t="str">
            <v>1110105010 Aplicaçoes Financeiras (Realizado)</v>
          </cell>
          <cell r="I112">
            <v>105927549.98</v>
          </cell>
          <cell r="J112">
            <v>5059582.34</v>
          </cell>
          <cell r="K112">
            <v>110987132.31999999</v>
          </cell>
        </row>
        <row r="113">
          <cell r="F113" t="str">
            <v>1.1.1.01.99 - Outras Disponibilidades</v>
          </cell>
          <cell r="I113">
            <v>0</v>
          </cell>
          <cell r="J113">
            <v>0</v>
          </cell>
          <cell r="K113">
            <v>0</v>
          </cell>
        </row>
        <row r="114">
          <cell r="G114" t="str">
            <v>1.1.1.01.99.99 - Outras Disponibilidades</v>
          </cell>
          <cell r="I114">
            <v>0</v>
          </cell>
          <cell r="J114">
            <v>0</v>
          </cell>
          <cell r="K114">
            <v>0</v>
          </cell>
        </row>
        <row r="115">
          <cell r="H115" t="str">
            <v>1110199990 Outras Disponibilidades (Realizado)</v>
          </cell>
          <cell r="I115">
            <v>0</v>
          </cell>
          <cell r="J115">
            <v>0</v>
          </cell>
          <cell r="K115">
            <v>0</v>
          </cell>
        </row>
        <row r="116">
          <cell r="D116" t="str">
            <v>1.1.1.02 - Titulos e Valores Mobiliarios</v>
          </cell>
          <cell r="I116">
            <v>88533575.180000007</v>
          </cell>
          <cell r="J116">
            <v>4456210.66</v>
          </cell>
          <cell r="K116">
            <v>92989785.840000004</v>
          </cell>
        </row>
        <row r="117">
          <cell r="F117" t="str">
            <v>1.1.1.02.01 - Titulos e Valores Mobiliarios -</v>
          </cell>
          <cell r="I117">
            <v>88533575.180000007</v>
          </cell>
          <cell r="J117">
            <v>4456210.66</v>
          </cell>
          <cell r="K117">
            <v>92989785.840000004</v>
          </cell>
        </row>
        <row r="118">
          <cell r="G118" t="str">
            <v>1.1.1.02.01.01 - Titulos do Mercados de Capit</v>
          </cell>
          <cell r="I118">
            <v>88533575.180000007</v>
          </cell>
          <cell r="J118">
            <v>4456210.66</v>
          </cell>
          <cell r="K118">
            <v>92989785.840000004</v>
          </cell>
        </row>
        <row r="119">
          <cell r="H119" t="str">
            <v>1110201010 Tits do Merc de Cap Inter Mant p/ Neg (Realizado)</v>
          </cell>
          <cell r="I119">
            <v>88533575.180000007</v>
          </cell>
          <cell r="J119">
            <v>4456210.66</v>
          </cell>
          <cell r="K119">
            <v>92989785.840000004</v>
          </cell>
        </row>
        <row r="120">
          <cell r="H120" t="str">
            <v>1110201014 Tits do Merc de Cap Inter Mant p/ Neg-Aj 11.638</v>
          </cell>
          <cell r="I120">
            <v>0</v>
          </cell>
          <cell r="J120">
            <v>0</v>
          </cell>
          <cell r="K120">
            <v>0</v>
          </cell>
        </row>
        <row r="121">
          <cell r="G121" t="str">
            <v>1.1.1.02.01.02 - Titulos do Mercados de Capit</v>
          </cell>
          <cell r="I121">
            <v>0</v>
          </cell>
          <cell r="J121">
            <v>0</v>
          </cell>
          <cell r="K121">
            <v>0</v>
          </cell>
        </row>
        <row r="122">
          <cell r="H122" t="str">
            <v>1110201020 Tits do Merc de Cap Inter Mant ate Ven (Realizado)</v>
          </cell>
          <cell r="I122">
            <v>0</v>
          </cell>
          <cell r="J122">
            <v>0</v>
          </cell>
          <cell r="K122">
            <v>0</v>
          </cell>
        </row>
        <row r="123">
          <cell r="D123" t="str">
            <v>1.1.1.05 - Contas a Receber de Clientes</v>
          </cell>
          <cell r="I123">
            <v>81272527.689999998</v>
          </cell>
          <cell r="J123">
            <v>1240134.51</v>
          </cell>
          <cell r="K123">
            <v>82512662.200000003</v>
          </cell>
        </row>
        <row r="124">
          <cell r="F124" t="str">
            <v>1.1.1.05.01 - CR Vinculadas em Moeda Nacional</v>
          </cell>
          <cell r="I124">
            <v>81272527.689999998</v>
          </cell>
          <cell r="J124">
            <v>1240134.51</v>
          </cell>
          <cell r="K124">
            <v>82512662.200000003</v>
          </cell>
        </row>
        <row r="125">
          <cell r="G125" t="str">
            <v>1.1.1.05.01.01 - Duplicatas a Receber no MI</v>
          </cell>
          <cell r="I125">
            <v>95395666.400000006</v>
          </cell>
          <cell r="J125">
            <v>1073045.1399999999</v>
          </cell>
          <cell r="K125">
            <v>96468711.540000007</v>
          </cell>
        </row>
        <row r="126">
          <cell r="H126" t="str">
            <v>1110501010 Duplicatas a Receber no MI  (Realizado)</v>
          </cell>
          <cell r="I126">
            <v>96737316.519999996</v>
          </cell>
          <cell r="J126">
            <v>933103.14</v>
          </cell>
          <cell r="K126">
            <v>97670419.659999996</v>
          </cell>
        </row>
        <row r="127">
          <cell r="H127" t="str">
            <v>1110501011 Duplicatas a Receber no MI (Parcela de CP / LP)</v>
          </cell>
          <cell r="I127">
            <v>-1191619.8600000001</v>
          </cell>
          <cell r="J127">
            <v>124200</v>
          </cell>
          <cell r="K127">
            <v>-1067419.8600000001</v>
          </cell>
        </row>
        <row r="128">
          <cell r="H128" t="str">
            <v>1110501014 (-)Rec Financeira a apropriar s/Dups a Rec no MI</v>
          </cell>
          <cell r="I128">
            <v>-150030.26</v>
          </cell>
          <cell r="J128">
            <v>15742</v>
          </cell>
          <cell r="K128">
            <v>-134288.26</v>
          </cell>
        </row>
        <row r="129">
          <cell r="G129" t="str">
            <v>1.1.1.05.01.90 - (-) Provisões para Créditos</v>
          </cell>
          <cell r="I129">
            <v>-14123138.710000001</v>
          </cell>
          <cell r="J129">
            <v>167089.37</v>
          </cell>
          <cell r="K129">
            <v>-13956049.34</v>
          </cell>
        </row>
        <row r="130">
          <cell r="H130" t="str">
            <v>1110501900 (-) Provisões para Créditos de Liquidação Duvidosa</v>
          </cell>
          <cell r="I130">
            <v>-14123138.710000001</v>
          </cell>
          <cell r="J130">
            <v>167089.37</v>
          </cell>
          <cell r="K130">
            <v>-13956049.34</v>
          </cell>
        </row>
        <row r="131">
          <cell r="F131" t="str">
            <v>1.1.1.05.02 - CR Vinculadas em Moeda Estrange</v>
          </cell>
          <cell r="I131">
            <v>0</v>
          </cell>
          <cell r="J131">
            <v>0</v>
          </cell>
          <cell r="K131">
            <v>0</v>
          </cell>
        </row>
        <row r="132">
          <cell r="G132" t="str">
            <v>1.1.1.05.02.01 - Duplicatas a Receber no ME</v>
          </cell>
          <cell r="I132">
            <v>0</v>
          </cell>
          <cell r="J132">
            <v>0</v>
          </cell>
          <cell r="K132">
            <v>0</v>
          </cell>
        </row>
        <row r="133">
          <cell r="H133" t="str">
            <v>1110502010 Duplicatas a Receber no ME  (Realizado)</v>
          </cell>
          <cell r="I133">
            <v>0</v>
          </cell>
          <cell r="J133">
            <v>0</v>
          </cell>
          <cell r="K133">
            <v>0</v>
          </cell>
        </row>
        <row r="134">
          <cell r="H134" t="str">
            <v>1110502016 Variaçao Camb s/Duplic a Receber no ME (Realizado)</v>
          </cell>
          <cell r="I134">
            <v>0</v>
          </cell>
          <cell r="J134">
            <v>0</v>
          </cell>
          <cell r="K134">
            <v>0</v>
          </cell>
        </row>
        <row r="135">
          <cell r="G135" t="str">
            <v>1.1.1.05.02.80 - (-) Cambiais Descontadas</v>
          </cell>
          <cell r="I135">
            <v>0</v>
          </cell>
          <cell r="J135">
            <v>0</v>
          </cell>
          <cell r="K135">
            <v>0</v>
          </cell>
        </row>
        <row r="136">
          <cell r="H136" t="str">
            <v>1110502800 (-)Cambiais Descontadas (Realizado)</v>
          </cell>
          <cell r="I136">
            <v>0</v>
          </cell>
          <cell r="J136">
            <v>0</v>
          </cell>
          <cell r="K136">
            <v>0</v>
          </cell>
        </row>
        <row r="137">
          <cell r="F137" t="str">
            <v>1.1.1.05.99 - Contas a Receber - Caixa (Trans</v>
          </cell>
          <cell r="I137">
            <v>0</v>
          </cell>
          <cell r="J137">
            <v>0</v>
          </cell>
          <cell r="K137">
            <v>0</v>
          </cell>
        </row>
        <row r="138">
          <cell r="G138" t="str">
            <v>1110599011 Contas a Receber - Caixa (Transitoria)</v>
          </cell>
          <cell r="I138">
            <v>0</v>
          </cell>
          <cell r="J138">
            <v>0</v>
          </cell>
          <cell r="K138">
            <v>0</v>
          </cell>
        </row>
        <row r="139">
          <cell r="D139" t="str">
            <v>1.1.1.10 - Antecipação de Impostos</v>
          </cell>
          <cell r="I139">
            <v>8164792.5899999999</v>
          </cell>
          <cell r="J139">
            <v>1340827.3</v>
          </cell>
          <cell r="K139">
            <v>9505619.8900000006</v>
          </cell>
        </row>
        <row r="140">
          <cell r="F140" t="str">
            <v>1.1.1.10.01 - Exercicio Corrente</v>
          </cell>
          <cell r="I140">
            <v>8164792.5899999999</v>
          </cell>
          <cell r="J140">
            <v>1340827.3</v>
          </cell>
          <cell r="K140">
            <v>9505619.8900000006</v>
          </cell>
        </row>
        <row r="141">
          <cell r="G141" t="str">
            <v>1.1.1.10.01.01 - CSLL</v>
          </cell>
          <cell r="I141">
            <v>2358554.42</v>
          </cell>
          <cell r="J141">
            <v>483366.17</v>
          </cell>
          <cell r="K141">
            <v>2841920.59</v>
          </cell>
        </row>
        <row r="142">
          <cell r="H142" t="str">
            <v>1111001010 Antecipaçoes de CSLL (Realizado)</v>
          </cell>
          <cell r="I142">
            <v>2358554.42</v>
          </cell>
          <cell r="J142">
            <v>483366.17</v>
          </cell>
          <cell r="K142">
            <v>2841920.59</v>
          </cell>
        </row>
        <row r="143">
          <cell r="G143" t="str">
            <v>1.1.1.10.01.02 - IRPJ</v>
          </cell>
          <cell r="I143">
            <v>5806238.1699999999</v>
          </cell>
          <cell r="J143">
            <v>857461.13</v>
          </cell>
          <cell r="K143">
            <v>6663699.2999999998</v>
          </cell>
        </row>
        <row r="144">
          <cell r="H144" t="str">
            <v>1111001020 Antecipaçoes de IRPJ (Realizado)</v>
          </cell>
          <cell r="I144">
            <v>5806238.1699999999</v>
          </cell>
          <cell r="J144">
            <v>857461.13</v>
          </cell>
          <cell r="K144">
            <v>6663699.2999999998</v>
          </cell>
        </row>
        <row r="145">
          <cell r="D145" t="str">
            <v>1.1.1.15 - Impostos e Contribuições a Recuper</v>
          </cell>
          <cell r="I145">
            <v>13525037.949999999</v>
          </cell>
          <cell r="J145">
            <v>1383661.84</v>
          </cell>
          <cell r="K145">
            <v>14908699.789999999</v>
          </cell>
        </row>
        <row r="146">
          <cell r="F146" t="str">
            <v>1.1.1.15.05 - CSLL</v>
          </cell>
          <cell r="I146">
            <v>0</v>
          </cell>
          <cell r="J146">
            <v>0</v>
          </cell>
          <cell r="K146">
            <v>0</v>
          </cell>
        </row>
        <row r="147">
          <cell r="G147" t="str">
            <v>1.1.1.15.05.01 - Créditos Fiscais CSLL - Dife</v>
          </cell>
          <cell r="I147">
            <v>0</v>
          </cell>
          <cell r="J147">
            <v>0</v>
          </cell>
          <cell r="K147">
            <v>0</v>
          </cell>
        </row>
        <row r="148">
          <cell r="H148" t="str">
            <v>1111505010 Cred Fisc CSLL-Difs Temps e B de Calc Neg (Realiz)</v>
          </cell>
          <cell r="I148">
            <v>0</v>
          </cell>
          <cell r="J148">
            <v>0</v>
          </cell>
          <cell r="K148">
            <v>0</v>
          </cell>
        </row>
        <row r="149">
          <cell r="H149" t="str">
            <v>1111505014 Ajustes Temporarios Aliq Efetiva CSLL (Realiz)</v>
          </cell>
          <cell r="I149">
            <v>0</v>
          </cell>
          <cell r="J149">
            <v>0</v>
          </cell>
          <cell r="K149">
            <v>0</v>
          </cell>
        </row>
        <row r="150">
          <cell r="G150" t="str">
            <v>1.1.1.15.05.05 -CSLL sobre Serviços Prestados</v>
          </cell>
          <cell r="I150">
            <v>0</v>
          </cell>
          <cell r="J150">
            <v>0</v>
          </cell>
          <cell r="K150">
            <v>0</v>
          </cell>
        </row>
        <row r="151">
          <cell r="H151" t="str">
            <v>1111505050 CSLL sobre Serviços Prestados a Terceiros</v>
          </cell>
          <cell r="I151">
            <v>0</v>
          </cell>
          <cell r="J151">
            <v>0</v>
          </cell>
          <cell r="K151">
            <v>0</v>
          </cell>
        </row>
        <row r="152">
          <cell r="G152" t="str">
            <v>1.1.1.15.05.99 - CSLL Saldos Negativos period</v>
          </cell>
          <cell r="I152">
            <v>0</v>
          </cell>
          <cell r="J152">
            <v>0</v>
          </cell>
          <cell r="K152">
            <v>0</v>
          </cell>
        </row>
        <row r="153">
          <cell r="H153" t="str">
            <v>1111505990 Cred Fisc CSLL- Sdo Negativo Per Anterior (Realiz)</v>
          </cell>
          <cell r="I153">
            <v>0</v>
          </cell>
          <cell r="J153">
            <v>0</v>
          </cell>
          <cell r="K153">
            <v>0</v>
          </cell>
        </row>
        <row r="154">
          <cell r="F154" t="str">
            <v>1.1.1.15.06 - IRPJ</v>
          </cell>
          <cell r="I154">
            <v>1761241.08</v>
          </cell>
          <cell r="J154">
            <v>1617847.45</v>
          </cell>
          <cell r="K154">
            <v>3379088.53</v>
          </cell>
        </row>
        <row r="155">
          <cell r="G155" t="str">
            <v>1.1.1.15.06.01 - Créditos Fiscais IRPJ - Dife</v>
          </cell>
          <cell r="I155">
            <v>0</v>
          </cell>
          <cell r="J155">
            <v>0</v>
          </cell>
          <cell r="K155">
            <v>0</v>
          </cell>
        </row>
        <row r="156">
          <cell r="H156" t="str">
            <v>1111506010 Cred Fisc IRPJ - Difs Temps e Prej Fisc (Realiz)</v>
          </cell>
          <cell r="I156">
            <v>0</v>
          </cell>
          <cell r="J156">
            <v>0</v>
          </cell>
          <cell r="K156">
            <v>0</v>
          </cell>
        </row>
        <row r="157">
          <cell r="H157" t="str">
            <v>1111506014 Ajustes Temps Aliq Efetiva IRPJ (Realiz)</v>
          </cell>
          <cell r="I157">
            <v>0</v>
          </cell>
          <cell r="J157">
            <v>0</v>
          </cell>
          <cell r="K157">
            <v>0</v>
          </cell>
        </row>
        <row r="158">
          <cell r="G158" t="str">
            <v>1.1.1.15.06.02 - IRRF sobre Aplicações Financ</v>
          </cell>
          <cell r="I158">
            <v>1721828.55</v>
          </cell>
          <cell r="J158">
            <v>1617847.45</v>
          </cell>
          <cell r="K158">
            <v>3339676</v>
          </cell>
        </row>
        <row r="159">
          <cell r="H159" t="str">
            <v>1111506020 IRRF sobre Aplicaçoes Financeiras (Realizado)</v>
          </cell>
          <cell r="I159">
            <v>1721828.55</v>
          </cell>
          <cell r="J159">
            <v>1617847.45</v>
          </cell>
          <cell r="K159">
            <v>3339676</v>
          </cell>
        </row>
        <row r="160">
          <cell r="G160" t="str">
            <v>1.1.1.15.06.03 - IRRF sobre Depósitos Judicia</v>
          </cell>
          <cell r="I160">
            <v>0</v>
          </cell>
          <cell r="J160">
            <v>0</v>
          </cell>
          <cell r="K160">
            <v>0</v>
          </cell>
        </row>
        <row r="161">
          <cell r="H161" t="str">
            <v>1111506030 IRRF sobre Depositos Judiciais (Realizado)</v>
          </cell>
          <cell r="I161">
            <v>0</v>
          </cell>
          <cell r="J161">
            <v>0</v>
          </cell>
          <cell r="K161">
            <v>0</v>
          </cell>
        </row>
        <row r="162">
          <cell r="G162" t="str">
            <v>1.1.1.15.06.04 - IRRF sobre Juros sobre Capit</v>
          </cell>
          <cell r="I162">
            <v>0</v>
          </cell>
          <cell r="J162">
            <v>0</v>
          </cell>
          <cell r="K162">
            <v>0</v>
          </cell>
        </row>
        <row r="163">
          <cell r="H163" t="str">
            <v>1111506040 IRRF sobre Juros sobre Capital Proprio (Realizado)</v>
          </cell>
          <cell r="I163">
            <v>0</v>
          </cell>
          <cell r="J163">
            <v>0</v>
          </cell>
          <cell r="K163">
            <v>0</v>
          </cell>
        </row>
        <row r="164">
          <cell r="G164" t="str">
            <v>1.1.1.15.06.05 -IRRF sobre Serviços Prestados</v>
          </cell>
          <cell r="I164">
            <v>0</v>
          </cell>
          <cell r="J164">
            <v>0</v>
          </cell>
          <cell r="K164">
            <v>0</v>
          </cell>
        </row>
        <row r="165">
          <cell r="H165" t="str">
            <v>1111506050 IRRF sobre Serviços Prestados a Terceiros</v>
          </cell>
          <cell r="I165">
            <v>0</v>
          </cell>
          <cell r="J165">
            <v>0</v>
          </cell>
          <cell r="K165">
            <v>0</v>
          </cell>
        </row>
        <row r="166">
          <cell r="G166" t="str">
            <v>1.1.1.15.06.99 - IRPJ Saldos Negativos period</v>
          </cell>
          <cell r="I166">
            <v>39412.53</v>
          </cell>
          <cell r="J166">
            <v>0</v>
          </cell>
          <cell r="K166">
            <v>39412.53</v>
          </cell>
        </row>
        <row r="167">
          <cell r="H167" t="str">
            <v>1111506990 Cred Fisc IRPJ Sdo Negativo Per Anterior (Realiz)</v>
          </cell>
          <cell r="I167">
            <v>39412.53</v>
          </cell>
          <cell r="J167">
            <v>0</v>
          </cell>
          <cell r="K167">
            <v>39412.53</v>
          </cell>
        </row>
        <row r="168">
          <cell r="F168" t="str">
            <v>1.1.1.15.07 - ICMS a Recuperar</v>
          </cell>
          <cell r="I168">
            <v>1996945.78</v>
          </cell>
          <cell r="J168">
            <v>-51093.14</v>
          </cell>
          <cell r="K168">
            <v>1945852.64</v>
          </cell>
        </row>
        <row r="169">
          <cell r="G169" t="str">
            <v>1.1.1.15.07.01 - ICMS Recuperar s/ Ativo Perm</v>
          </cell>
          <cell r="I169">
            <v>1996945.78</v>
          </cell>
          <cell r="J169">
            <v>-51093.14</v>
          </cell>
          <cell r="K169">
            <v>1945852.64</v>
          </cell>
        </row>
        <row r="170">
          <cell r="H170" t="str">
            <v>1111507010 ICMS a Recup sobre Ativo Permanente (Realizado)</v>
          </cell>
          <cell r="I170">
            <v>2284957.7200000002</v>
          </cell>
          <cell r="J170">
            <v>-72380.740000000005</v>
          </cell>
          <cell r="K170">
            <v>2212576.98</v>
          </cell>
        </row>
        <row r="171">
          <cell r="H171" t="str">
            <v>1111507014 (-)AVP sobre ICMS a Recup sobre Ativo Permanente</v>
          </cell>
          <cell r="I171">
            <v>-288011.94</v>
          </cell>
          <cell r="J171">
            <v>21287.599999999999</v>
          </cell>
          <cell r="K171">
            <v>-266724.34000000003</v>
          </cell>
        </row>
        <row r="172">
          <cell r="G172" t="str">
            <v>1.1.1.15.07.05 - ICMS Recuperar Aquis Ent Fut</v>
          </cell>
          <cell r="I172">
            <v>0</v>
          </cell>
          <cell r="J172">
            <v>0</v>
          </cell>
          <cell r="K172">
            <v>0</v>
          </cell>
        </row>
        <row r="173">
          <cell r="H173" t="str">
            <v>1111507050 ICMS a Recuperar s/Aquisição Entrega Futura (R)</v>
          </cell>
          <cell r="I173">
            <v>0</v>
          </cell>
          <cell r="J173">
            <v>0</v>
          </cell>
          <cell r="K173">
            <v>0</v>
          </cell>
        </row>
        <row r="174">
          <cell r="G174" t="str">
            <v>1.1.1.15.07.02 - ICMS Antecip. s/ Out. Saídas</v>
          </cell>
          <cell r="I174">
            <v>0</v>
          </cell>
          <cell r="J174">
            <v>0</v>
          </cell>
          <cell r="K174">
            <v>0</v>
          </cell>
        </row>
        <row r="175">
          <cell r="H175" t="str">
            <v>1111507020 ICMS Antecipado s/ Outras Saídas</v>
          </cell>
          <cell r="I175">
            <v>0</v>
          </cell>
          <cell r="J175">
            <v>0</v>
          </cell>
          <cell r="K175">
            <v>0</v>
          </cell>
        </row>
        <row r="176">
          <cell r="F176" t="str">
            <v>1.1.1.15.08 - PIS a Recuperar</v>
          </cell>
          <cell r="I176">
            <v>0</v>
          </cell>
          <cell r="J176">
            <v>0</v>
          </cell>
          <cell r="K176">
            <v>0</v>
          </cell>
        </row>
        <row r="177">
          <cell r="G177" t="str">
            <v>1.1.1.15.08.01 - PIS a Recuperar s/ Ativo Per</v>
          </cell>
          <cell r="I177">
            <v>0</v>
          </cell>
          <cell r="J177">
            <v>0</v>
          </cell>
          <cell r="K177">
            <v>0</v>
          </cell>
        </row>
        <row r="178">
          <cell r="H178" t="str">
            <v>1111508010 PIS a Recuperar sobre Ativo Permanente (Realizado)</v>
          </cell>
          <cell r="I178">
            <v>0</v>
          </cell>
          <cell r="J178">
            <v>0</v>
          </cell>
          <cell r="K178">
            <v>0</v>
          </cell>
        </row>
        <row r="179">
          <cell r="G179" t="str">
            <v>1.1.1.15.08.02 - PIS a Recuperar</v>
          </cell>
          <cell r="I179">
            <v>0</v>
          </cell>
          <cell r="J179">
            <v>0</v>
          </cell>
          <cell r="K179">
            <v>0</v>
          </cell>
        </row>
        <row r="180">
          <cell r="H180" t="str">
            <v>1111508020 PIS a Recuperar (Realizado)</v>
          </cell>
          <cell r="I180">
            <v>0</v>
          </cell>
          <cell r="J180">
            <v>0</v>
          </cell>
          <cell r="K180">
            <v>0</v>
          </cell>
        </row>
        <row r="181">
          <cell r="G181" t="str">
            <v>1.1.1.15.08.05 - PIS sobre Serviços Prestados</v>
          </cell>
          <cell r="I181">
            <v>0</v>
          </cell>
          <cell r="J181">
            <v>0</v>
          </cell>
          <cell r="K181">
            <v>0</v>
          </cell>
        </row>
        <row r="182">
          <cell r="H182" t="str">
            <v>1111508050 PIS sobre Serviços Prestados a Terceiros</v>
          </cell>
          <cell r="I182">
            <v>0</v>
          </cell>
          <cell r="J182">
            <v>0</v>
          </cell>
          <cell r="K182">
            <v>0</v>
          </cell>
        </row>
        <row r="183">
          <cell r="F183" t="str">
            <v>1.1.1.15.09 - COFINS a Recuperar</v>
          </cell>
          <cell r="I183">
            <v>0</v>
          </cell>
          <cell r="J183">
            <v>0</v>
          </cell>
          <cell r="K183">
            <v>0</v>
          </cell>
        </row>
        <row r="184">
          <cell r="G184" t="str">
            <v>1.1.1.15.09.01 - COFINS a Recuperar sobre Ati</v>
          </cell>
          <cell r="I184">
            <v>0</v>
          </cell>
          <cell r="J184">
            <v>0</v>
          </cell>
          <cell r="K184">
            <v>0</v>
          </cell>
        </row>
        <row r="185">
          <cell r="H185" t="str">
            <v>1111509010 COFINS a Recup sobre Ativo Permanente (Realizado)</v>
          </cell>
          <cell r="I185">
            <v>0</v>
          </cell>
          <cell r="J185">
            <v>0</v>
          </cell>
          <cell r="K185">
            <v>0</v>
          </cell>
        </row>
        <row r="186">
          <cell r="G186" t="str">
            <v>1.1.1.15.09.02 - COFINS a Recuperar</v>
          </cell>
          <cell r="I186">
            <v>0</v>
          </cell>
          <cell r="J186">
            <v>0</v>
          </cell>
          <cell r="K186">
            <v>0</v>
          </cell>
        </row>
        <row r="187">
          <cell r="H187" t="str">
            <v>1111509020 COFINS a Recuperar (Realizado)</v>
          </cell>
          <cell r="I187">
            <v>0</v>
          </cell>
          <cell r="J187">
            <v>0</v>
          </cell>
          <cell r="K187">
            <v>0</v>
          </cell>
        </row>
        <row r="188">
          <cell r="G188" t="str">
            <v>1.1.1.15.09.05 -COFINS sobre Serviço Prestado</v>
          </cell>
          <cell r="I188">
            <v>0</v>
          </cell>
          <cell r="J188">
            <v>0</v>
          </cell>
          <cell r="K188">
            <v>0</v>
          </cell>
        </row>
        <row r="189">
          <cell r="H189" t="str">
            <v>1111509050 COFINS sobre Serviços Prestados a Terceiros</v>
          </cell>
          <cell r="I189">
            <v>0</v>
          </cell>
          <cell r="J189">
            <v>0</v>
          </cell>
          <cell r="K189">
            <v>0</v>
          </cell>
        </row>
        <row r="190">
          <cell r="F190" t="str">
            <v>1.1.1.15.99 - Outros Impostos e Contribuições</v>
          </cell>
          <cell r="I190">
            <v>9766851.0899999999</v>
          </cell>
          <cell r="J190">
            <v>-183092.47</v>
          </cell>
          <cell r="K190">
            <v>9583758.6199999992</v>
          </cell>
        </row>
        <row r="191">
          <cell r="G191" t="str">
            <v>1.1.1.15.99.00 - PIS a compensar - Inconst Le</v>
          </cell>
          <cell r="I191">
            <v>3152929.1</v>
          </cell>
          <cell r="J191">
            <v>11564.63</v>
          </cell>
          <cell r="K191">
            <v>3164493.73</v>
          </cell>
        </row>
        <row r="192">
          <cell r="H192" t="str">
            <v>1111599000 PIS a Compensar Lei 9715 (Realizado)</v>
          </cell>
          <cell r="I192">
            <v>3152929.1</v>
          </cell>
          <cell r="J192">
            <v>11564.63</v>
          </cell>
          <cell r="K192">
            <v>3164493.73</v>
          </cell>
        </row>
        <row r="193">
          <cell r="G193" t="str">
            <v>1.1.1.15.99.01 - Imposto de Importação - Reco</v>
          </cell>
          <cell r="I193">
            <v>232231.19</v>
          </cell>
          <cell r="J193">
            <v>0</v>
          </cell>
          <cell r="K193">
            <v>232231.19</v>
          </cell>
        </row>
        <row r="194">
          <cell r="H194" t="str">
            <v>1111599010 Imp Import a Rec-Recolhimento em Dupl (Realiz)</v>
          </cell>
          <cell r="I194">
            <v>232231.19</v>
          </cell>
          <cell r="J194">
            <v>0</v>
          </cell>
          <cell r="K194">
            <v>232231.19</v>
          </cell>
        </row>
        <row r="195">
          <cell r="G195" t="str">
            <v>1.1.1.15.99.02 - INSS - Recolhimento em Dupli</v>
          </cell>
          <cell r="I195">
            <v>343643.14</v>
          </cell>
          <cell r="J195">
            <v>0</v>
          </cell>
          <cell r="K195">
            <v>343643.14</v>
          </cell>
        </row>
        <row r="196">
          <cell r="H196" t="str">
            <v>1111599020 INSS a Rec-Recolhimento em Duplicidade (Realizado)</v>
          </cell>
          <cell r="I196">
            <v>343643.14</v>
          </cell>
          <cell r="J196">
            <v>0</v>
          </cell>
          <cell r="K196">
            <v>343643.14</v>
          </cell>
        </row>
        <row r="197">
          <cell r="G197" t="str">
            <v>1.1.1.15.99.03 - Adicional Estadual do Impost</v>
          </cell>
          <cell r="I197">
            <v>1251533.5</v>
          </cell>
          <cell r="J197">
            <v>0</v>
          </cell>
          <cell r="K197">
            <v>1251533.5</v>
          </cell>
        </row>
        <row r="198">
          <cell r="H198" t="str">
            <v>1111599030 Adic Estadual doImposto de Renda a Rec (Realizado)</v>
          </cell>
          <cell r="I198">
            <v>1251533.5</v>
          </cell>
          <cell r="J198">
            <v>0</v>
          </cell>
          <cell r="K198">
            <v>1251533.5</v>
          </cell>
        </row>
        <row r="199">
          <cell r="G199" t="str">
            <v>1.1.1.15.99.04 - FINSOCIAL 1982/83</v>
          </cell>
          <cell r="I199">
            <v>67054.64</v>
          </cell>
          <cell r="J199">
            <v>0</v>
          </cell>
          <cell r="K199">
            <v>67054.64</v>
          </cell>
        </row>
        <row r="200">
          <cell r="H200" t="str">
            <v>1111599040 FINSOCIAL 1982/83 (Realizado)</v>
          </cell>
          <cell r="I200">
            <v>67054.64</v>
          </cell>
          <cell r="J200">
            <v>0</v>
          </cell>
          <cell r="K200">
            <v>67054.64</v>
          </cell>
        </row>
        <row r="201">
          <cell r="G201" t="str">
            <v>1.1.1.15.99.05 - IRRF Tercs Ret a maior</v>
          </cell>
          <cell r="I201">
            <v>0</v>
          </cell>
          <cell r="J201">
            <v>0</v>
          </cell>
          <cell r="K201">
            <v>0</v>
          </cell>
        </row>
        <row r="202">
          <cell r="H202" t="str">
            <v>1111599050 IRRF Tercs Ret a Maior (Realizado)</v>
          </cell>
          <cell r="I202">
            <v>0</v>
          </cell>
          <cell r="J202">
            <v>0</v>
          </cell>
          <cell r="K202">
            <v>0</v>
          </cell>
        </row>
        <row r="203">
          <cell r="G203" t="str">
            <v>1.1.1.15.99.06 - PIS/COFINS /CSLL Tercs Ret a</v>
          </cell>
          <cell r="I203">
            <v>0</v>
          </cell>
          <cell r="J203">
            <v>0</v>
          </cell>
          <cell r="K203">
            <v>0</v>
          </cell>
        </row>
        <row r="204">
          <cell r="H204" t="str">
            <v>1111599060 PIS/COF/COF Ret a maior (Realizado)</v>
          </cell>
          <cell r="I204">
            <v>0</v>
          </cell>
          <cell r="J204">
            <v>0</v>
          </cell>
          <cell r="K204">
            <v>0</v>
          </cell>
        </row>
        <row r="205">
          <cell r="G205" t="str">
            <v>1.1.1.15.99.07 - INSS a Comp Dec. Judicial</v>
          </cell>
          <cell r="I205">
            <v>4713719.95</v>
          </cell>
          <cell r="J205">
            <v>-194657.05</v>
          </cell>
          <cell r="K205">
            <v>4519062.9000000004</v>
          </cell>
        </row>
        <row r="206">
          <cell r="H206" t="str">
            <v>1111599070 INSS a Compensar  - Decisão Judicial (Realizado)</v>
          </cell>
          <cell r="I206">
            <v>4713719.95</v>
          </cell>
          <cell r="J206">
            <v>-194657.05</v>
          </cell>
          <cell r="K206">
            <v>4519062.9000000004</v>
          </cell>
        </row>
        <row r="207">
          <cell r="G207" t="str">
            <v>1.1.1.15.99.08 ISS a recuperar - Recolh Dupl</v>
          </cell>
          <cell r="I207">
            <v>5739.52</v>
          </cell>
          <cell r="J207">
            <v>0</v>
          </cell>
          <cell r="K207">
            <v>5739.52</v>
          </cell>
        </row>
        <row r="208">
          <cell r="H208" t="str">
            <v>1111599080 ISS a restituir</v>
          </cell>
          <cell r="I208">
            <v>5739.52</v>
          </cell>
          <cell r="J208">
            <v>0</v>
          </cell>
          <cell r="K208">
            <v>5739.52</v>
          </cell>
        </row>
        <row r="209">
          <cell r="G209" t="str">
            <v>1.1.1.15.99.09 INSS a Compensar - Planej Trib</v>
          </cell>
          <cell r="I209">
            <v>0</v>
          </cell>
          <cell r="J209">
            <v>0</v>
          </cell>
          <cell r="K209">
            <v>0</v>
          </cell>
        </row>
        <row r="210">
          <cell r="H210" t="str">
            <v>1111599090 INSS a Compensar  - Planej Tribut (Realizado)</v>
          </cell>
          <cell r="I210">
            <v>0</v>
          </cell>
          <cell r="J210">
            <v>0</v>
          </cell>
          <cell r="K210">
            <v>0</v>
          </cell>
        </row>
        <row r="211">
          <cell r="G211" t="str">
            <v>1.1.1.15.99.10 Rec de Impostos Feds Reintegra</v>
          </cell>
          <cell r="I211">
            <v>0.05</v>
          </cell>
          <cell r="J211">
            <v>-0.05</v>
          </cell>
          <cell r="K211">
            <v>0</v>
          </cell>
        </row>
        <row r="212">
          <cell r="H212" t="str">
            <v>1111599100 Recuperação de Impostos Federais - Reintegra</v>
          </cell>
          <cell r="I212">
            <v>0.05</v>
          </cell>
          <cell r="J212">
            <v>-0.05</v>
          </cell>
          <cell r="K212">
            <v>0</v>
          </cell>
        </row>
        <row r="213">
          <cell r="D213" t="str">
            <v>1.1.1.20 - Estoques</v>
          </cell>
          <cell r="I213">
            <v>27504467.949999999</v>
          </cell>
          <cell r="J213">
            <v>3425945.63</v>
          </cell>
          <cell r="K213">
            <v>30930413.579999998</v>
          </cell>
        </row>
        <row r="214">
          <cell r="F214" t="str">
            <v>1.1.1.20.01 - Matérias Primas</v>
          </cell>
          <cell r="I214">
            <v>0</v>
          </cell>
          <cell r="J214">
            <v>0</v>
          </cell>
          <cell r="K214">
            <v>0</v>
          </cell>
        </row>
        <row r="215">
          <cell r="G215" t="str">
            <v>1.1.1.20.01.01 - Estoques de Matérias Primas</v>
          </cell>
          <cell r="I215">
            <v>0</v>
          </cell>
          <cell r="J215">
            <v>0</v>
          </cell>
          <cell r="K215">
            <v>0</v>
          </cell>
        </row>
        <row r="216">
          <cell r="H216" t="str">
            <v>1112001010 Estoques de Materias Primas (Realizado)</v>
          </cell>
          <cell r="I216">
            <v>0</v>
          </cell>
          <cell r="J216">
            <v>0</v>
          </cell>
          <cell r="K216">
            <v>0</v>
          </cell>
        </row>
        <row r="217">
          <cell r="F217" t="str">
            <v>1.1.1.20.03 - Produtos em Elaboração - Semi A</v>
          </cell>
          <cell r="I217">
            <v>14667233.029999999</v>
          </cell>
          <cell r="J217">
            <v>3166780.15</v>
          </cell>
          <cell r="K217">
            <v>17834013.18</v>
          </cell>
        </row>
        <row r="218">
          <cell r="G218" t="str">
            <v>1.1.1.20.03.01 - Estoques de Produtos em Elab</v>
          </cell>
          <cell r="I218">
            <v>14667233.029999999</v>
          </cell>
          <cell r="J218">
            <v>3166780.15</v>
          </cell>
          <cell r="K218">
            <v>17834013.18</v>
          </cell>
        </row>
        <row r="219">
          <cell r="H219" t="str">
            <v>1112003010 Estoques de Produtos em Elaboraçao (Realizado)</v>
          </cell>
          <cell r="I219">
            <v>14667233.029999999</v>
          </cell>
          <cell r="J219">
            <v>3166780.15</v>
          </cell>
          <cell r="K219">
            <v>17834013.18</v>
          </cell>
        </row>
        <row r="220">
          <cell r="F220" t="str">
            <v>1.1.1.20.05 - Estoques de Insumos (Materiais</v>
          </cell>
          <cell r="I220">
            <v>2329840.42</v>
          </cell>
          <cell r="J220">
            <v>439860.13</v>
          </cell>
          <cell r="K220">
            <v>2769700.55</v>
          </cell>
        </row>
        <row r="221">
          <cell r="G221" t="str">
            <v>1.1.1.20.05.01 - Estoques de Insumos (Materia</v>
          </cell>
          <cell r="I221">
            <v>2329840.42</v>
          </cell>
          <cell r="J221">
            <v>439860.13</v>
          </cell>
          <cell r="K221">
            <v>2769700.55</v>
          </cell>
        </row>
        <row r="222">
          <cell r="H222" t="str">
            <v>1112005010 Estoques de Insumos (Mat-Aux) (Realiz)</v>
          </cell>
          <cell r="I222">
            <v>2329840.42</v>
          </cell>
          <cell r="J222">
            <v>439860.13</v>
          </cell>
          <cell r="K222">
            <v>2769700.55</v>
          </cell>
        </row>
        <row r="223">
          <cell r="F223" t="str">
            <v>1.1.1.20.08 - Estoques de Materiais de Embala</v>
          </cell>
          <cell r="I223">
            <v>124055.94</v>
          </cell>
          <cell r="J223">
            <v>144234.35</v>
          </cell>
          <cell r="K223">
            <v>268290.28999999998</v>
          </cell>
        </row>
        <row r="224">
          <cell r="G224" t="str">
            <v>1.1.1.20.08.01 - Estoques de Materiais de Emb</v>
          </cell>
          <cell r="I224">
            <v>124055.94</v>
          </cell>
          <cell r="J224">
            <v>144234.35</v>
          </cell>
          <cell r="K224">
            <v>268290.28999999998</v>
          </cell>
        </row>
        <row r="225">
          <cell r="H225" t="str">
            <v>1112008010 Estoques de Materiais de Embalagens (Realizado)</v>
          </cell>
          <cell r="I225">
            <v>124055.94</v>
          </cell>
          <cell r="J225">
            <v>144234.35</v>
          </cell>
          <cell r="K225">
            <v>268290.28999999998</v>
          </cell>
        </row>
        <row r="226">
          <cell r="F226" t="str">
            <v>1.1.1.20.10 - Estoques de Produtos Acabados</v>
          </cell>
          <cell r="I226">
            <v>4618069.9800000004</v>
          </cell>
          <cell r="J226">
            <v>-480709.46</v>
          </cell>
          <cell r="K226">
            <v>4137360.52</v>
          </cell>
        </row>
        <row r="227">
          <cell r="G227" t="str">
            <v>1.1.1.20.10.01 - Estoques de Produtos Acabado</v>
          </cell>
          <cell r="I227">
            <v>4618069.9800000004</v>
          </cell>
          <cell r="J227">
            <v>-480709.46</v>
          </cell>
          <cell r="K227">
            <v>4137360.52</v>
          </cell>
        </row>
        <row r="228">
          <cell r="H228" t="str">
            <v>1112010010 Estoques de Produtos Acabados (Realizado)</v>
          </cell>
          <cell r="I228">
            <v>5101726.6100000003</v>
          </cell>
          <cell r="J228">
            <v>607494.46</v>
          </cell>
          <cell r="K228">
            <v>5709221.0700000003</v>
          </cell>
        </row>
        <row r="229">
          <cell r="H229" t="str">
            <v>1112010014 (-)Prov p/ Aj. do Est ao Vlr de Merc - Prods Acab</v>
          </cell>
          <cell r="I229">
            <v>-483656.63</v>
          </cell>
          <cell r="J229">
            <v>-1088203.92</v>
          </cell>
          <cell r="K229">
            <v>-1571860.55</v>
          </cell>
        </row>
        <row r="230">
          <cell r="F230" t="str">
            <v>1.1.1.20.20 - Estoques de Almoxarifado CP</v>
          </cell>
          <cell r="I230">
            <v>5578955.2800000003</v>
          </cell>
          <cell r="J230">
            <v>154912.44</v>
          </cell>
          <cell r="K230">
            <v>5733867.7199999997</v>
          </cell>
        </row>
        <row r="231">
          <cell r="G231" t="str">
            <v>1.1.1.20.20.01 - Estoques de Manutenção Civil</v>
          </cell>
          <cell r="I231">
            <v>0</v>
          </cell>
          <cell r="J231">
            <v>0</v>
          </cell>
          <cell r="K231">
            <v>0</v>
          </cell>
        </row>
        <row r="232">
          <cell r="H232" t="str">
            <v>1112020010 Estoque Almoxarifado CP-Manut Civil (Realizado)</v>
          </cell>
          <cell r="I232">
            <v>0</v>
          </cell>
          <cell r="J232">
            <v>0</v>
          </cell>
          <cell r="K232">
            <v>0</v>
          </cell>
        </row>
        <row r="233">
          <cell r="G233" t="str">
            <v>1.1.1.20.20.02 - Estoques de Manutenção Eletr</v>
          </cell>
          <cell r="I233">
            <v>1794102.66</v>
          </cell>
          <cell r="J233">
            <v>20776.080000000002</v>
          </cell>
          <cell r="K233">
            <v>1814878.74</v>
          </cell>
        </row>
        <row r="234">
          <cell r="H234" t="str">
            <v>1112020020 Estoque Almoxarif CP-Manutençao Eletrica (Realiz)</v>
          </cell>
          <cell r="I234">
            <v>1794102.66</v>
          </cell>
          <cell r="J234">
            <v>20776.080000000002</v>
          </cell>
          <cell r="K234">
            <v>1814878.74</v>
          </cell>
        </row>
        <row r="235">
          <cell r="G235" t="str">
            <v>1.1.1.20.20.03 - Estoques de Manutenção Mecan</v>
          </cell>
          <cell r="I235">
            <v>5664112.9100000001</v>
          </cell>
          <cell r="J235">
            <v>167648.54</v>
          </cell>
          <cell r="K235">
            <v>5831761.4500000002</v>
          </cell>
        </row>
        <row r="236">
          <cell r="H236" t="str">
            <v>1112020030 Estoque Almoxarif CP-Manutençao Mecanica (Realiz)</v>
          </cell>
          <cell r="I236">
            <v>5664112.9100000001</v>
          </cell>
          <cell r="J236">
            <v>167648.54</v>
          </cell>
          <cell r="K236">
            <v>5831761.4500000002</v>
          </cell>
        </row>
        <row r="237">
          <cell r="G237" t="str">
            <v>1.1.1.20.20.04 - Estoques de Manutenção Inspe</v>
          </cell>
          <cell r="I237">
            <v>0</v>
          </cell>
          <cell r="J237">
            <v>0</v>
          </cell>
          <cell r="K237">
            <v>0</v>
          </cell>
        </row>
        <row r="238">
          <cell r="H238" t="str">
            <v>1112020040 Estoque Almoxarif CP-Manutençao Inspeçao (Realiz)</v>
          </cell>
          <cell r="I238">
            <v>0</v>
          </cell>
          <cell r="J238">
            <v>0</v>
          </cell>
          <cell r="K238">
            <v>0</v>
          </cell>
        </row>
        <row r="239">
          <cell r="G239" t="str">
            <v>1.1.1.20.20.05 - Estoques de Manutenção Calde</v>
          </cell>
          <cell r="I239">
            <v>4602352.26</v>
          </cell>
          <cell r="J239">
            <v>48675.8</v>
          </cell>
          <cell r="K239">
            <v>4651028.0599999996</v>
          </cell>
        </row>
        <row r="240">
          <cell r="H240" t="str">
            <v>1112020050 Estoq Alm CP-Manut Calderaria e Tubulaçao (Realiz)</v>
          </cell>
          <cell r="I240">
            <v>4602352.26</v>
          </cell>
          <cell r="J240">
            <v>48675.8</v>
          </cell>
          <cell r="K240">
            <v>4651028.0599999996</v>
          </cell>
        </row>
        <row r="241">
          <cell r="G241" t="str">
            <v>1.1.1.20.20.06 - Estoques de Manutenção Instr</v>
          </cell>
          <cell r="I241">
            <v>4239586.8600000003</v>
          </cell>
          <cell r="J241">
            <v>274686.37</v>
          </cell>
          <cell r="K241">
            <v>4514273.2300000004</v>
          </cell>
        </row>
        <row r="242">
          <cell r="H242" t="str">
            <v>1112020060 Estoque Alm CP-Manutençao Instrumentaçao (Realiz)</v>
          </cell>
          <cell r="I242">
            <v>4239586.8600000003</v>
          </cell>
          <cell r="J242">
            <v>274686.37</v>
          </cell>
          <cell r="K242">
            <v>4514273.2300000004</v>
          </cell>
        </row>
        <row r="243">
          <cell r="G243" t="str">
            <v>1.1.1.20.20.07 - Estoques de Manutenção Celul</v>
          </cell>
          <cell r="I243">
            <v>511435.12</v>
          </cell>
          <cell r="J243">
            <v>128960.52</v>
          </cell>
          <cell r="K243">
            <v>640395.64</v>
          </cell>
        </row>
        <row r="244">
          <cell r="H244" t="str">
            <v>1112020070 Estoque Alm CP-Manutençao Celula HG (Realizado)</v>
          </cell>
          <cell r="I244">
            <v>511435.12</v>
          </cell>
          <cell r="J244">
            <v>128960.52</v>
          </cell>
          <cell r="K244">
            <v>640395.64</v>
          </cell>
        </row>
        <row r="245">
          <cell r="G245" t="str">
            <v>1.1.1.20.20.08 - Estoques de Manutenção Celul</v>
          </cell>
          <cell r="I245">
            <v>1326494.5900000001</v>
          </cell>
          <cell r="J245">
            <v>-254154.81</v>
          </cell>
          <cell r="K245">
            <v>1072339.78</v>
          </cell>
        </row>
        <row r="246">
          <cell r="H246" t="str">
            <v>1112020080 Estoque Almo CP-Manut Celula Diafragma (Realizado)</v>
          </cell>
          <cell r="I246">
            <v>1326494.5900000001</v>
          </cell>
          <cell r="J246">
            <v>-254154.81</v>
          </cell>
          <cell r="K246">
            <v>1072339.78</v>
          </cell>
        </row>
        <row r="247">
          <cell r="G247" t="str">
            <v>1.1.1.20.20.09 - Estoques de Manutenção Celul</v>
          </cell>
          <cell r="I247">
            <v>11832.75</v>
          </cell>
          <cell r="J247">
            <v>695.6</v>
          </cell>
          <cell r="K247">
            <v>12528.35</v>
          </cell>
        </row>
        <row r="248">
          <cell r="H248" t="str">
            <v>1112020090 Estoque Alm CP-Manutençao Celula Membrana (Realiz)</v>
          </cell>
          <cell r="I248">
            <v>11832.75</v>
          </cell>
          <cell r="J248">
            <v>695.6</v>
          </cell>
          <cell r="K248">
            <v>12528.35</v>
          </cell>
        </row>
        <row r="249">
          <cell r="G249" t="str">
            <v>1.1.1.20.20.10 - Estoques de Manutenção de Ci</v>
          </cell>
          <cell r="I249">
            <v>131286.65</v>
          </cell>
          <cell r="J249">
            <v>2772.53</v>
          </cell>
          <cell r="K249">
            <v>134059.18</v>
          </cell>
        </row>
        <row r="250">
          <cell r="H250" t="str">
            <v>1112020100 Estoque Alm CP-Manut.de Cilindros e Carretas R</v>
          </cell>
          <cell r="I250">
            <v>131286.65</v>
          </cell>
          <cell r="J250">
            <v>2772.53</v>
          </cell>
          <cell r="K250">
            <v>134059.18</v>
          </cell>
        </row>
        <row r="251">
          <cell r="G251" t="str">
            <v>1.1.1.20.20.49 - Estoques de Manutenção em Ge</v>
          </cell>
          <cell r="I251">
            <v>651.25</v>
          </cell>
          <cell r="J251">
            <v>671.06</v>
          </cell>
          <cell r="K251">
            <v>1322.31</v>
          </cell>
        </row>
        <row r="252">
          <cell r="H252" t="str">
            <v>1112020490 Estoque Almo CP-Manutençao em Geral (Realizado)</v>
          </cell>
          <cell r="I252">
            <v>651.25</v>
          </cell>
          <cell r="J252">
            <v>671.06</v>
          </cell>
          <cell r="K252">
            <v>1322.31</v>
          </cell>
        </row>
        <row r="253">
          <cell r="H253" t="str">
            <v>1112020495 Provisao p/ Perda - Estoques de Manut. em Geral</v>
          </cell>
          <cell r="I253">
            <v>0</v>
          </cell>
          <cell r="J253">
            <v>0</v>
          </cell>
          <cell r="K253">
            <v>0</v>
          </cell>
        </row>
        <row r="254">
          <cell r="G254" t="str">
            <v>1.1.1.20.20.50 - Estoques de Almoxarifado de</v>
          </cell>
          <cell r="I254">
            <v>305857.89</v>
          </cell>
          <cell r="J254">
            <v>11123.84</v>
          </cell>
          <cell r="K254">
            <v>316981.73</v>
          </cell>
        </row>
        <row r="255">
          <cell r="H255" t="str">
            <v>1112020500 Estoque Alm CP-Almoxarifado de Uso Geral (Realiz)</v>
          </cell>
          <cell r="I255">
            <v>305857.89</v>
          </cell>
          <cell r="J255">
            <v>11123.84</v>
          </cell>
          <cell r="K255">
            <v>316981.73</v>
          </cell>
        </row>
        <row r="256">
          <cell r="G256" t="str">
            <v>1.1.1.20.20.99 - Estoques de Manutenção em Ge</v>
          </cell>
          <cell r="I256">
            <v>-13008757.66</v>
          </cell>
          <cell r="J256">
            <v>-246943.09</v>
          </cell>
          <cell r="K256">
            <v>-13255700.75</v>
          </cell>
        </row>
        <row r="257">
          <cell r="H257" t="str">
            <v>1112020990 Estoques de Manutenção em Geral (Realizado)</v>
          </cell>
          <cell r="I257">
            <v>0</v>
          </cell>
          <cell r="J257">
            <v>0</v>
          </cell>
          <cell r="K257">
            <v>0</v>
          </cell>
        </row>
        <row r="258">
          <cell r="H258" t="str">
            <v>1112020991 Estoque Almoxarifado Transf. Parcela Realizada L.P</v>
          </cell>
          <cell r="I258">
            <v>-13008757.66</v>
          </cell>
          <cell r="J258">
            <v>-246943.09</v>
          </cell>
          <cell r="K258">
            <v>-13255700.75</v>
          </cell>
        </row>
        <row r="259">
          <cell r="F259" t="str">
            <v>1.1.1.20.50 - Estoques de Mercadorias - Reven</v>
          </cell>
          <cell r="I259">
            <v>34300.870000000003</v>
          </cell>
          <cell r="J259">
            <v>868.02</v>
          </cell>
          <cell r="K259">
            <v>35168.89</v>
          </cell>
        </row>
        <row r="260">
          <cell r="G260" t="str">
            <v>1.1.1.20.50.01 - Mercadorias Nacionais</v>
          </cell>
          <cell r="I260">
            <v>33228.15</v>
          </cell>
          <cell r="J260">
            <v>868.02</v>
          </cell>
          <cell r="K260">
            <v>34096.17</v>
          </cell>
        </row>
        <row r="261">
          <cell r="H261" t="str">
            <v>1112050010 Estoques de Mercadorias Rev Nacionais (Realizado)</v>
          </cell>
          <cell r="I261">
            <v>33228.15</v>
          </cell>
          <cell r="J261">
            <v>868.02</v>
          </cell>
          <cell r="K261">
            <v>34096.17</v>
          </cell>
        </row>
        <row r="262">
          <cell r="G262" t="str">
            <v>1.1.1.20.50.02 - Mercadorias Importadas (Real</v>
          </cell>
          <cell r="I262">
            <v>1072.72</v>
          </cell>
          <cell r="J262">
            <v>0</v>
          </cell>
          <cell r="K262">
            <v>1072.72</v>
          </cell>
        </row>
        <row r="263">
          <cell r="H263" t="str">
            <v>1112050020 Estoques de Mercadorias Rev Importadas (Realizado)</v>
          </cell>
          <cell r="I263">
            <v>1072.72</v>
          </cell>
          <cell r="J263">
            <v>0</v>
          </cell>
          <cell r="K263">
            <v>1072.72</v>
          </cell>
        </row>
        <row r="264">
          <cell r="F264" t="str">
            <v>1.1.1.20.70 - Inventário em Trânsito</v>
          </cell>
          <cell r="I264">
            <v>0</v>
          </cell>
          <cell r="J264">
            <v>0</v>
          </cell>
          <cell r="K264">
            <v>0</v>
          </cell>
        </row>
        <row r="265">
          <cell r="G265" t="str">
            <v>1.1.1.20.70.01 - Inventário em Trânsito de Ma</v>
          </cell>
          <cell r="I265">
            <v>0</v>
          </cell>
          <cell r="J265">
            <v>0</v>
          </cell>
          <cell r="K265">
            <v>0</v>
          </cell>
        </row>
        <row r="266">
          <cell r="H266" t="str">
            <v>1112070010 Invent em Transito de Materias Primas (Realizado)</v>
          </cell>
          <cell r="I266">
            <v>0</v>
          </cell>
          <cell r="J266">
            <v>0</v>
          </cell>
          <cell r="K266">
            <v>0</v>
          </cell>
        </row>
        <row r="267">
          <cell r="F267" t="str">
            <v>1.1.1.20.75 - Estoques de Materiais Faturados</v>
          </cell>
          <cell r="I267">
            <v>0</v>
          </cell>
          <cell r="J267">
            <v>0</v>
          </cell>
          <cell r="K267">
            <v>0</v>
          </cell>
        </row>
        <row r="268">
          <cell r="G268" t="str">
            <v>1.1.1.20.75.01 - Estoques de Materias Primas</v>
          </cell>
          <cell r="I268">
            <v>0</v>
          </cell>
          <cell r="J268">
            <v>0</v>
          </cell>
          <cell r="K268">
            <v>0</v>
          </cell>
        </row>
        <row r="269">
          <cell r="H269" t="str">
            <v>1112075010 Estoques de Mats Fats e nao Rec (Realizado)</v>
          </cell>
          <cell r="I269">
            <v>0</v>
          </cell>
          <cell r="J269">
            <v>0</v>
          </cell>
          <cell r="K269">
            <v>0</v>
          </cell>
        </row>
        <row r="270">
          <cell r="F270" t="str">
            <v>1.1.1.20.80 - Estoques em Poder de Terceiros</v>
          </cell>
          <cell r="I270">
            <v>103340.34</v>
          </cell>
          <cell r="J270">
            <v>0</v>
          </cell>
          <cell r="K270">
            <v>103340.34</v>
          </cell>
        </row>
        <row r="271">
          <cell r="G271" t="str">
            <v>1.1.1.20.80.20 - Estoques de Outros Materiais</v>
          </cell>
          <cell r="I271">
            <v>103340.34</v>
          </cell>
          <cell r="J271">
            <v>0</v>
          </cell>
          <cell r="K271">
            <v>103340.34</v>
          </cell>
        </row>
        <row r="272">
          <cell r="H272" t="str">
            <v>1112080200 Etq de Outros Mats-Almox em Poder de Ters (Realiz)</v>
          </cell>
          <cell r="I272">
            <v>103340.34</v>
          </cell>
          <cell r="J272">
            <v>0</v>
          </cell>
          <cell r="K272">
            <v>103340.34</v>
          </cell>
        </row>
        <row r="273">
          <cell r="F273" t="str">
            <v>1.1.1.20.85 - Estoques de Terceiros</v>
          </cell>
          <cell r="I273">
            <v>0</v>
          </cell>
          <cell r="J273">
            <v>0</v>
          </cell>
          <cell r="K273">
            <v>0</v>
          </cell>
        </row>
        <row r="274">
          <cell r="G274" t="str">
            <v>1.1.1.20.85.01 - Estoques de Materias Primas</v>
          </cell>
          <cell r="I274">
            <v>0</v>
          </cell>
          <cell r="J274">
            <v>0</v>
          </cell>
          <cell r="K274">
            <v>0</v>
          </cell>
        </row>
        <row r="275">
          <cell r="H275" t="str">
            <v>1112085010 Estoques de Mats Primas de Terceiros (Realizado)</v>
          </cell>
          <cell r="I275">
            <v>0</v>
          </cell>
          <cell r="J275">
            <v>0</v>
          </cell>
          <cell r="K275">
            <v>0</v>
          </cell>
        </row>
        <row r="276">
          <cell r="F276" t="str">
            <v>1.1.1.20.90 - Importações em Andamento</v>
          </cell>
          <cell r="I276">
            <v>48672.09</v>
          </cell>
          <cell r="J276">
            <v>0</v>
          </cell>
          <cell r="K276">
            <v>48672.09</v>
          </cell>
        </row>
        <row r="277">
          <cell r="G277" t="str">
            <v>1.1.1.20.90.01 - Importações em Andamento de</v>
          </cell>
          <cell r="I277">
            <v>48672.09</v>
          </cell>
          <cell r="J277">
            <v>0</v>
          </cell>
          <cell r="K277">
            <v>48672.09</v>
          </cell>
        </row>
        <row r="278">
          <cell r="H278" t="str">
            <v>1112090010 Importaçoes em And de Materias Primas (Realizado)</v>
          </cell>
          <cell r="I278">
            <v>48672.09</v>
          </cell>
          <cell r="J278">
            <v>0</v>
          </cell>
          <cell r="K278">
            <v>48672.09</v>
          </cell>
        </row>
        <row r="279">
          <cell r="G279" t="str">
            <v>1.1.1.20.90.20 - Importações em Andamento de</v>
          </cell>
          <cell r="I279">
            <v>0</v>
          </cell>
          <cell r="J279">
            <v>0</v>
          </cell>
          <cell r="K279">
            <v>0</v>
          </cell>
        </row>
        <row r="280">
          <cell r="H280" t="str">
            <v>1112090200 Importaçoes em And de Outros Mats - Almox (Realiz)</v>
          </cell>
          <cell r="I280">
            <v>0</v>
          </cell>
          <cell r="J280">
            <v>0</v>
          </cell>
          <cell r="K280">
            <v>0</v>
          </cell>
        </row>
        <row r="281">
          <cell r="G281" t="str">
            <v>1.1.1.20.90.50 - Importações em Andamento de</v>
          </cell>
          <cell r="I281">
            <v>0</v>
          </cell>
          <cell r="J281">
            <v>0</v>
          </cell>
          <cell r="K281">
            <v>0</v>
          </cell>
        </row>
        <row r="282">
          <cell r="H282" t="str">
            <v>1112090500 Importaçoes em And de Mercs - Revenda (Realizado)</v>
          </cell>
          <cell r="I282">
            <v>0</v>
          </cell>
          <cell r="J282">
            <v>0</v>
          </cell>
          <cell r="K282">
            <v>0</v>
          </cell>
        </row>
        <row r="283">
          <cell r="G283" t="str">
            <v>1.1.1.20.90.90 - Importações em Andamento de</v>
          </cell>
          <cell r="I283">
            <v>0</v>
          </cell>
          <cell r="J283">
            <v>0</v>
          </cell>
          <cell r="K283">
            <v>0</v>
          </cell>
        </row>
        <row r="284">
          <cell r="H284" t="str">
            <v>1112090900 Importaçoes em And de Mats de Cosumo (Realizado)</v>
          </cell>
          <cell r="I284">
            <v>0</v>
          </cell>
          <cell r="J284">
            <v>0</v>
          </cell>
          <cell r="K284">
            <v>0</v>
          </cell>
        </row>
        <row r="285">
          <cell r="D285" t="str">
            <v>1.1.1.80 - Outros Ativos Circulantes</v>
          </cell>
          <cell r="I285">
            <v>10324167.09</v>
          </cell>
          <cell r="J285">
            <v>-1183225.71</v>
          </cell>
          <cell r="K285">
            <v>9140941.3800000008</v>
          </cell>
        </row>
        <row r="286">
          <cell r="F286" t="str">
            <v>1.1.1.80.01 - Adiantamentos a Fornecedores</v>
          </cell>
          <cell r="I286">
            <v>4270793.0199999996</v>
          </cell>
          <cell r="J286">
            <v>-1225740.2</v>
          </cell>
          <cell r="K286">
            <v>3045052.82</v>
          </cell>
        </row>
        <row r="287">
          <cell r="G287" t="str">
            <v>1.1.1.80.01.01 - Adto Fornecedores Serviços</v>
          </cell>
          <cell r="I287">
            <v>287219.23</v>
          </cell>
          <cell r="J287">
            <v>-177267.17</v>
          </cell>
          <cell r="K287">
            <v>109952.06</v>
          </cell>
        </row>
        <row r="288">
          <cell r="H288" t="str">
            <v>1118001010 Adiantamentos a Fornec de Serviços (Realizado)</v>
          </cell>
          <cell r="I288">
            <v>287219.23</v>
          </cell>
          <cell r="J288">
            <v>-177267.17</v>
          </cell>
          <cell r="K288">
            <v>109952.06</v>
          </cell>
        </row>
        <row r="289">
          <cell r="G289" t="str">
            <v>1.1.1.80.01.02 - Adto Fornecedores de MP</v>
          </cell>
          <cell r="I289">
            <v>3719842.62</v>
          </cell>
          <cell r="J289">
            <v>-1022715.34</v>
          </cell>
          <cell r="K289">
            <v>2697127.28</v>
          </cell>
        </row>
        <row r="290">
          <cell r="H290" t="str">
            <v>1118001020 Adiantamentos a Fornecedores de MP (Realizado)</v>
          </cell>
          <cell r="I290">
            <v>3719842.62</v>
          </cell>
          <cell r="J290">
            <v>-1022715.34</v>
          </cell>
          <cell r="K290">
            <v>2697127.28</v>
          </cell>
        </row>
        <row r="291">
          <cell r="G291" t="str">
            <v>1.1.1.80.01.03 - Adto Fornecedores de Energia</v>
          </cell>
          <cell r="I291">
            <v>0</v>
          </cell>
          <cell r="J291">
            <v>0</v>
          </cell>
          <cell r="K291">
            <v>0</v>
          </cell>
        </row>
        <row r="292">
          <cell r="H292" t="str">
            <v>1118001030 Adiantamentos a Fornecedores de Energ (Realizado)</v>
          </cell>
          <cell r="I292">
            <v>0</v>
          </cell>
          <cell r="J292">
            <v>0</v>
          </cell>
          <cell r="K292">
            <v>0</v>
          </cell>
        </row>
        <row r="293">
          <cell r="G293" t="str">
            <v>1.1.1.80.01.04 - Adto Fornecedores de Mat.Con</v>
          </cell>
          <cell r="I293">
            <v>142086.67000000001</v>
          </cell>
          <cell r="J293">
            <v>0</v>
          </cell>
          <cell r="K293">
            <v>142086.67000000001</v>
          </cell>
        </row>
        <row r="294">
          <cell r="H294" t="str">
            <v>1118001040 Adiant  Fornecs de Materias de Consumo (Realizado)</v>
          </cell>
          <cell r="I294">
            <v>142086.67000000001</v>
          </cell>
          <cell r="J294">
            <v>0</v>
          </cell>
          <cell r="K294">
            <v>142086.67000000001</v>
          </cell>
        </row>
        <row r="295">
          <cell r="G295" t="str">
            <v>1.1.1.80.01.05 - Adto Fornecedores de Funcion</v>
          </cell>
          <cell r="I295">
            <v>16946.64</v>
          </cell>
          <cell r="J295">
            <v>-14404.14</v>
          </cell>
          <cell r="K295">
            <v>2542.5</v>
          </cell>
        </row>
        <row r="296">
          <cell r="H296" t="str">
            <v>1118001050 Adiant Fornecs de Funcionarios (Realizado)</v>
          </cell>
          <cell r="I296">
            <v>16946.64</v>
          </cell>
          <cell r="J296">
            <v>-14404.14</v>
          </cell>
          <cell r="K296">
            <v>2542.5</v>
          </cell>
        </row>
        <row r="297">
          <cell r="G297" t="str">
            <v>1.1.1.80.01.06 - Adiantamentos a Fornecedores</v>
          </cell>
          <cell r="I297">
            <v>41473.279999999999</v>
          </cell>
          <cell r="J297">
            <v>-41473.279999999999</v>
          </cell>
          <cell r="K297">
            <v>0</v>
          </cell>
        </row>
        <row r="298">
          <cell r="H298" t="str">
            <v>1118001060 Adiantamentos a Fornecedores de Fretes</v>
          </cell>
          <cell r="I298">
            <v>41473.279999999999</v>
          </cell>
          <cell r="J298">
            <v>-41473.279999999999</v>
          </cell>
          <cell r="K298">
            <v>0</v>
          </cell>
        </row>
        <row r="299">
          <cell r="G299" t="str">
            <v>1.1.1.80.01.07 - Adiantamentos a Forn. Exteri</v>
          </cell>
          <cell r="I299">
            <v>60369.11</v>
          </cell>
          <cell r="J299">
            <v>32975.199999999997</v>
          </cell>
          <cell r="K299">
            <v>93344.31</v>
          </cell>
        </row>
        <row r="300">
          <cell r="H300" t="str">
            <v>1118001070 Adiantamentos a Fornecedores do Exterior</v>
          </cell>
          <cell r="I300">
            <v>60369.11</v>
          </cell>
          <cell r="J300">
            <v>32975.199999999997</v>
          </cell>
          <cell r="K300">
            <v>93344.31</v>
          </cell>
        </row>
        <row r="301">
          <cell r="G301" t="str">
            <v>1.1.1.80.01.08 - Adiantamentos a Fornc. Imp.</v>
          </cell>
          <cell r="I301">
            <v>2855.47</v>
          </cell>
          <cell r="J301">
            <v>-2855.47</v>
          </cell>
          <cell r="K301">
            <v>0</v>
          </cell>
        </row>
        <row r="302">
          <cell r="H302" t="str">
            <v>1118001080 Adiantamentos a Fornecedores Impostos e Contribuiç</v>
          </cell>
          <cell r="I302">
            <v>2855.47</v>
          </cell>
          <cell r="J302">
            <v>-2855.47</v>
          </cell>
          <cell r="K302">
            <v>0</v>
          </cell>
        </row>
        <row r="303">
          <cell r="F303" t="str">
            <v>1.1.1.80.02 - Adiantamentos a Empregados</v>
          </cell>
          <cell r="I303">
            <v>559373.68999999994</v>
          </cell>
          <cell r="J303">
            <v>4811.18</v>
          </cell>
          <cell r="K303">
            <v>564184.87</v>
          </cell>
        </row>
        <row r="304">
          <cell r="G304" t="str">
            <v>1.1.1.80.02.01 - Adto Empregados Salarios</v>
          </cell>
          <cell r="I304">
            <v>0</v>
          </cell>
          <cell r="J304">
            <v>0</v>
          </cell>
          <cell r="K304">
            <v>0</v>
          </cell>
        </row>
        <row r="305">
          <cell r="H305" t="str">
            <v>1118002010 Adiantamentos a Empregados Salarios (Realizado)</v>
          </cell>
          <cell r="I305">
            <v>0</v>
          </cell>
          <cell r="J305">
            <v>0</v>
          </cell>
          <cell r="K305">
            <v>0</v>
          </cell>
        </row>
        <row r="306">
          <cell r="G306" t="str">
            <v>1.1.1.80.02.02 - Adto Empregados 13º Salário</v>
          </cell>
          <cell r="I306">
            <v>365680.33</v>
          </cell>
          <cell r="J306">
            <v>76224.350000000006</v>
          </cell>
          <cell r="K306">
            <v>441904.68</v>
          </cell>
        </row>
        <row r="307">
          <cell r="H307" t="str">
            <v>1118002020 Adiantamentos a Empregados 13º Salario (Realizado)</v>
          </cell>
          <cell r="I307">
            <v>365680.33</v>
          </cell>
          <cell r="J307">
            <v>76224.350000000006</v>
          </cell>
          <cell r="K307">
            <v>441904.68</v>
          </cell>
        </row>
        <row r="308">
          <cell r="G308" t="str">
            <v>1.1.1.80.02.03 - Adto Empregados Férias</v>
          </cell>
          <cell r="I308">
            <v>170373.83</v>
          </cell>
          <cell r="J308">
            <v>-75527.740000000005</v>
          </cell>
          <cell r="K308">
            <v>94846.09</v>
          </cell>
        </row>
        <row r="309">
          <cell r="H309" t="str">
            <v>1118002030 Adiantamentos a Empregados Ferias (Realizado)</v>
          </cell>
          <cell r="I309">
            <v>170373.83</v>
          </cell>
          <cell r="J309">
            <v>-75527.740000000005</v>
          </cell>
          <cell r="K309">
            <v>94846.09</v>
          </cell>
        </row>
        <row r="310">
          <cell r="G310" t="str">
            <v>1.1.1.80.02.04 - Adto Empregados Rescisões Co</v>
          </cell>
          <cell r="I310">
            <v>0</v>
          </cell>
          <cell r="J310">
            <v>0</v>
          </cell>
          <cell r="K310">
            <v>0</v>
          </cell>
        </row>
        <row r="311">
          <cell r="H311" t="str">
            <v>1118002040 Adiant a Empregados Rescisoes Contratuais (Realiz)</v>
          </cell>
          <cell r="I311">
            <v>0</v>
          </cell>
          <cell r="J311">
            <v>0</v>
          </cell>
          <cell r="K311">
            <v>0</v>
          </cell>
        </row>
        <row r="312">
          <cell r="G312" t="str">
            <v>1.1.1.80.02.05 - Adto Empregados Cobertura de</v>
          </cell>
          <cell r="I312">
            <v>6950</v>
          </cell>
          <cell r="J312">
            <v>0</v>
          </cell>
          <cell r="K312">
            <v>6950</v>
          </cell>
        </row>
        <row r="313">
          <cell r="H313" t="str">
            <v>1118002050 Adiant a Empregados Plano Auxilio Doen (Realizado)</v>
          </cell>
          <cell r="I313">
            <v>6950</v>
          </cell>
          <cell r="J313">
            <v>0</v>
          </cell>
          <cell r="K313">
            <v>6950</v>
          </cell>
        </row>
        <row r="314">
          <cell r="G314" t="str">
            <v>1.1.1.80.02.06 - Adto Empregados Despesa de R</v>
          </cell>
          <cell r="I314">
            <v>13386.92</v>
          </cell>
          <cell r="J314">
            <v>2788.85</v>
          </cell>
          <cell r="K314">
            <v>16175.77</v>
          </cell>
        </row>
        <row r="315">
          <cell r="H315" t="str">
            <v>1118002060 Adto a Empregados Cobertura de Sdo Devedor (R)</v>
          </cell>
          <cell r="I315">
            <v>13386.92</v>
          </cell>
          <cell r="J315">
            <v>2788.85</v>
          </cell>
          <cell r="K315">
            <v>16175.77</v>
          </cell>
        </row>
        <row r="316">
          <cell r="G316" t="str">
            <v>1.1.1.80.02.09 - Adiantamentos a Empregados D</v>
          </cell>
          <cell r="I316">
            <v>2982.61</v>
          </cell>
          <cell r="J316">
            <v>1325.72</v>
          </cell>
          <cell r="K316">
            <v>4308.33</v>
          </cell>
        </row>
        <row r="317">
          <cell r="H317" t="str">
            <v>1118002090 Adto a Empregados Desp de Resp de Funcionario (R)</v>
          </cell>
          <cell r="I317">
            <v>2982.61</v>
          </cell>
          <cell r="J317">
            <v>1325.72</v>
          </cell>
          <cell r="K317">
            <v>4308.33</v>
          </cell>
        </row>
        <row r="318">
          <cell r="F318" t="str">
            <v>1.1.1.80.90 - Contas Correntes</v>
          </cell>
          <cell r="I318">
            <v>0</v>
          </cell>
          <cell r="J318">
            <v>0</v>
          </cell>
          <cell r="K318">
            <v>0</v>
          </cell>
        </row>
        <row r="319">
          <cell r="G319" t="str">
            <v>1.1.1.80.90.01 - Conta Corrente Internegocios</v>
          </cell>
          <cell r="I319">
            <v>0</v>
          </cell>
          <cell r="J319">
            <v>0</v>
          </cell>
          <cell r="K319">
            <v>0</v>
          </cell>
        </row>
        <row r="320">
          <cell r="H320" t="str">
            <v>1118090010 Outros Contas Correntes Internegocios (Realizado)</v>
          </cell>
          <cell r="I320">
            <v>0</v>
          </cell>
          <cell r="J320">
            <v>0</v>
          </cell>
          <cell r="K320">
            <v>0</v>
          </cell>
        </row>
        <row r="321">
          <cell r="F321" t="str">
            <v>1.1.1.80.99 - Outros Créditos</v>
          </cell>
          <cell r="I321">
            <v>5494000.3799999999</v>
          </cell>
          <cell r="J321">
            <v>37703.31</v>
          </cell>
          <cell r="K321">
            <v>5531703.6900000004</v>
          </cell>
        </row>
        <row r="322">
          <cell r="G322" t="str">
            <v>1.1.1.80.99.01 - Reclamação de Seguros</v>
          </cell>
          <cell r="I322">
            <v>0</v>
          </cell>
          <cell r="J322">
            <v>0</v>
          </cell>
          <cell r="K322">
            <v>0</v>
          </cell>
        </row>
        <row r="323">
          <cell r="H323" t="str">
            <v>1118099010 Outros Creditos-Reclamaçao de Seguros (Realizado)</v>
          </cell>
          <cell r="I323">
            <v>0</v>
          </cell>
          <cell r="J323">
            <v>0</v>
          </cell>
          <cell r="K323">
            <v>0</v>
          </cell>
        </row>
        <row r="324">
          <cell r="G324" t="str">
            <v>1.1.1.80.99.02 - Depósitos e Cauções</v>
          </cell>
          <cell r="I324">
            <v>167514.42000000001</v>
          </cell>
          <cell r="J324">
            <v>2016.08</v>
          </cell>
          <cell r="K324">
            <v>169530.5</v>
          </cell>
        </row>
        <row r="325">
          <cell r="H325" t="str">
            <v>1118099020 Outros Creditos-Depositos e Cauçoes (Realizado)</v>
          </cell>
          <cell r="I325">
            <v>167514.42000000001</v>
          </cell>
          <cell r="J325">
            <v>2016.08</v>
          </cell>
          <cell r="K325">
            <v>169530.5</v>
          </cell>
        </row>
        <row r="326">
          <cell r="G326" t="str">
            <v>1.1.1.80.99.03 - Despesa de Responsabilidade</v>
          </cell>
          <cell r="I326">
            <v>0</v>
          </cell>
          <cell r="J326">
            <v>0</v>
          </cell>
          <cell r="K326">
            <v>0</v>
          </cell>
        </row>
        <row r="327">
          <cell r="H327" t="str">
            <v>1118099030 Despesa de Responsabilidade de Terceiro (Realizado</v>
          </cell>
          <cell r="I327">
            <v>0</v>
          </cell>
          <cell r="J327">
            <v>0</v>
          </cell>
          <cell r="K327">
            <v>0</v>
          </cell>
        </row>
        <row r="328">
          <cell r="G328" t="str">
            <v>1.1.1.80.99.05 - Operações com Hedge</v>
          </cell>
          <cell r="I328">
            <v>0</v>
          </cell>
          <cell r="J328">
            <v>0</v>
          </cell>
          <cell r="K328">
            <v>0</v>
          </cell>
        </row>
        <row r="329">
          <cell r="H329" t="str">
            <v>1118099050 Outros Creditos-Operaçoes com Hedge (Realizado)</v>
          </cell>
          <cell r="I329">
            <v>0</v>
          </cell>
          <cell r="J329">
            <v>0</v>
          </cell>
          <cell r="K329">
            <v>0</v>
          </cell>
        </row>
        <row r="330">
          <cell r="G330" t="str">
            <v>1.1.1.80.99.06 - Contratos a Receber</v>
          </cell>
          <cell r="I330">
            <v>5326485.96</v>
          </cell>
          <cell r="J330">
            <v>35687.230000000003</v>
          </cell>
          <cell r="K330">
            <v>5362173.1900000004</v>
          </cell>
        </row>
        <row r="331">
          <cell r="H331" t="str">
            <v>1118099060 Outros Créditos- Contratos a Receber (Realizado)</v>
          </cell>
          <cell r="I331">
            <v>5326485.96</v>
          </cell>
          <cell r="J331">
            <v>35687.230000000003</v>
          </cell>
          <cell r="K331">
            <v>5362173.1900000004</v>
          </cell>
        </row>
        <row r="332">
          <cell r="D332" t="str">
            <v>1.1.1.90 - Despesas do Exercício Seguinte</v>
          </cell>
          <cell r="I332">
            <v>2773714.46</v>
          </cell>
          <cell r="J332">
            <v>-231230.92</v>
          </cell>
          <cell r="K332">
            <v>2542483.54</v>
          </cell>
        </row>
        <row r="333">
          <cell r="F333" t="str">
            <v>1.1.1.90.01 - Pagamentos Antecipados</v>
          </cell>
          <cell r="I333">
            <v>2773714.46</v>
          </cell>
          <cell r="J333">
            <v>-231230.92</v>
          </cell>
          <cell r="K333">
            <v>2542483.54</v>
          </cell>
        </row>
        <row r="334">
          <cell r="G334" t="str">
            <v>1.1.1.90.01.01 - Seguros</v>
          </cell>
          <cell r="I334">
            <v>813617.32</v>
          </cell>
          <cell r="J334">
            <v>-204288.03</v>
          </cell>
          <cell r="K334">
            <v>609329.29</v>
          </cell>
        </row>
        <row r="335">
          <cell r="H335" t="str">
            <v>1119001010 Pagamentos Antecipados-Seguros (Realizado)</v>
          </cell>
          <cell r="I335">
            <v>813617.32</v>
          </cell>
          <cell r="J335">
            <v>-204288.03</v>
          </cell>
          <cell r="K335">
            <v>609329.29</v>
          </cell>
        </row>
        <row r="336">
          <cell r="G336" t="str">
            <v>1.1.1.90.01.02 - Assinaturas e Anuidades</v>
          </cell>
          <cell r="I336">
            <v>0</v>
          </cell>
          <cell r="J336">
            <v>0</v>
          </cell>
          <cell r="K336">
            <v>0</v>
          </cell>
        </row>
        <row r="337">
          <cell r="H337" t="str">
            <v>1119001020 Pagamentos Antecip-Assinat e Anuidades (Realiz)</v>
          </cell>
          <cell r="I337">
            <v>0</v>
          </cell>
          <cell r="J337">
            <v>0</v>
          </cell>
          <cell r="K337">
            <v>0</v>
          </cell>
        </row>
        <row r="338">
          <cell r="G338" t="str">
            <v>1.1.1.90.01.03 - Serviços Técnicos e Profissi</v>
          </cell>
          <cell r="I338">
            <v>520041</v>
          </cell>
          <cell r="J338">
            <v>-268.37</v>
          </cell>
          <cell r="K338">
            <v>519772.63</v>
          </cell>
        </row>
        <row r="339">
          <cell r="H339" t="str">
            <v>1119001030 Pagamentos Antecip-Serv Tecnicos Prof (Realizado)</v>
          </cell>
          <cell r="I339">
            <v>520041</v>
          </cell>
          <cell r="J339">
            <v>-268.37</v>
          </cell>
          <cell r="K339">
            <v>519772.63</v>
          </cell>
        </row>
        <row r="340">
          <cell r="G340" t="str">
            <v>1.1.1.90.01.04 - Impostos</v>
          </cell>
          <cell r="I340">
            <v>1332400.1399999999</v>
          </cell>
          <cell r="J340">
            <v>-190342.88</v>
          </cell>
          <cell r="K340">
            <v>1142057.26</v>
          </cell>
        </row>
        <row r="341">
          <cell r="H341" t="str">
            <v>1119001040 Pagamentos Antecipados-Impostos (Realizado)</v>
          </cell>
          <cell r="I341">
            <v>1332400.1399999999</v>
          </cell>
          <cell r="J341">
            <v>-190342.88</v>
          </cell>
          <cell r="K341">
            <v>1142057.26</v>
          </cell>
        </row>
        <row r="342">
          <cell r="G342" t="str">
            <v>1.1.1.90.01.05 - Contribuições Associativas</v>
          </cell>
          <cell r="I342">
            <v>0</v>
          </cell>
          <cell r="J342">
            <v>0</v>
          </cell>
          <cell r="K342">
            <v>0</v>
          </cell>
        </row>
        <row r="343">
          <cell r="H343" t="str">
            <v>1119001050 Pagtos Antecip-Contribuiçoes Associativas (Realiz)</v>
          </cell>
          <cell r="I343">
            <v>0</v>
          </cell>
          <cell r="J343">
            <v>0</v>
          </cell>
          <cell r="K343">
            <v>0</v>
          </cell>
        </row>
        <row r="344">
          <cell r="G344" t="str">
            <v>1.1.1.90.01.06 - Despesas Financeiras</v>
          </cell>
          <cell r="I344">
            <v>0</v>
          </cell>
          <cell r="J344">
            <v>0</v>
          </cell>
          <cell r="K344">
            <v>0</v>
          </cell>
        </row>
        <row r="345">
          <cell r="H345" t="str">
            <v>1119001060 Pagtos Antecip-Despesas Financeiras (Realizado)</v>
          </cell>
          <cell r="I345">
            <v>0</v>
          </cell>
          <cell r="J345">
            <v>0</v>
          </cell>
          <cell r="K345">
            <v>0</v>
          </cell>
        </row>
        <row r="346">
          <cell r="G346" t="str">
            <v>1.1.1.90.01.90 - Outras Despesas/Custos</v>
          </cell>
          <cell r="I346">
            <v>107656</v>
          </cell>
          <cell r="J346">
            <v>163668.35999999999</v>
          </cell>
          <cell r="K346">
            <v>271324.36</v>
          </cell>
        </row>
        <row r="347">
          <cell r="H347" t="str">
            <v>1119001900 Pagtos Antecip-Outras Desps/Custos(Realizado)</v>
          </cell>
          <cell r="I347">
            <v>107656</v>
          </cell>
          <cell r="J347">
            <v>163668.35999999999</v>
          </cell>
          <cell r="K347">
            <v>271324.36</v>
          </cell>
        </row>
        <row r="348">
          <cell r="I348">
            <v>1438579815.29</v>
          </cell>
          <cell r="J348">
            <v>-3001532.56</v>
          </cell>
          <cell r="K348">
            <v>1435578282.73</v>
          </cell>
        </row>
        <row r="349">
          <cell r="C349" t="str">
            <v>1.7.1 - REALIZÁVEL A LONGO PRAZO</v>
          </cell>
          <cell r="I349">
            <v>213832227</v>
          </cell>
          <cell r="J349">
            <v>-8787656.9900000002</v>
          </cell>
          <cell r="K349">
            <v>205044570.00999999</v>
          </cell>
        </row>
        <row r="350">
          <cell r="D350" t="str">
            <v>1.7.1.02 - Titulos e Valores Mobiliarios - LP</v>
          </cell>
          <cell r="I350">
            <v>47969794</v>
          </cell>
          <cell r="J350">
            <v>-9623672.1400000006</v>
          </cell>
          <cell r="K350">
            <v>38346121.859999999</v>
          </cell>
        </row>
        <row r="351">
          <cell r="F351" t="str">
            <v>1.7.1.02.01 - Titulos e Valores Mobiliarios -</v>
          </cell>
          <cell r="I351">
            <v>47969794</v>
          </cell>
          <cell r="J351">
            <v>-9623672.1400000006</v>
          </cell>
          <cell r="K351">
            <v>38346121.859999999</v>
          </cell>
        </row>
        <row r="352">
          <cell r="G352" t="str">
            <v>1.7.1.02.01.01 - Titulos dos Mercados de Capi</v>
          </cell>
          <cell r="I352">
            <v>47969794</v>
          </cell>
          <cell r="J352">
            <v>-9623672.1400000006</v>
          </cell>
          <cell r="K352">
            <v>38346121.859999999</v>
          </cell>
        </row>
        <row r="353">
          <cell r="H353" t="str">
            <v>1710201010 Tits do Merc de Cap Inter Mant p/ Neg  LP(R)</v>
          </cell>
          <cell r="I353">
            <v>47969794</v>
          </cell>
          <cell r="J353">
            <v>-9623672.1400000006</v>
          </cell>
          <cell r="K353">
            <v>38346121.859999999</v>
          </cell>
        </row>
        <row r="354">
          <cell r="G354" t="str">
            <v>1.7.1.02.01.02 - Titulos do Mercados de Capit</v>
          </cell>
          <cell r="I354">
            <v>0</v>
          </cell>
          <cell r="J354">
            <v>0</v>
          </cell>
          <cell r="K354">
            <v>0</v>
          </cell>
        </row>
        <row r="355">
          <cell r="H355" t="str">
            <v>1710201020 Tit do Merc de Capit Inter Man ate o Venct LP (R)</v>
          </cell>
          <cell r="I355">
            <v>0</v>
          </cell>
          <cell r="J355">
            <v>0</v>
          </cell>
          <cell r="K355">
            <v>0</v>
          </cell>
        </row>
        <row r="356">
          <cell r="D356" t="str">
            <v>1.7.1.05 - Contas a Receber de Clientes - LP</v>
          </cell>
          <cell r="I356">
            <v>1155849.8700000001</v>
          </cell>
          <cell r="J356">
            <v>-118608.09</v>
          </cell>
          <cell r="K356">
            <v>1037241.78</v>
          </cell>
        </row>
        <row r="357">
          <cell r="F357" t="str">
            <v>1.7.1.05.01 - CR Vinculadas em Moeda Nacional</v>
          </cell>
          <cell r="I357">
            <v>1155849.8700000001</v>
          </cell>
          <cell r="J357">
            <v>-118608.09</v>
          </cell>
          <cell r="K357">
            <v>1037241.78</v>
          </cell>
        </row>
        <row r="358">
          <cell r="G358" t="str">
            <v>1.7.1.05.01.01 - Duplicatas a Receber no MI L</v>
          </cell>
          <cell r="I358">
            <v>1155849.8700000001</v>
          </cell>
          <cell r="J358">
            <v>-118608.09</v>
          </cell>
          <cell r="K358">
            <v>1037241.78</v>
          </cell>
        </row>
        <row r="359">
          <cell r="H359" t="str">
            <v>1710501011 Duplicatas a Receber no MI LP (Parcela de CP / LP)</v>
          </cell>
          <cell r="I359">
            <v>1191619.8600000001</v>
          </cell>
          <cell r="J359">
            <v>-124200</v>
          </cell>
          <cell r="K359">
            <v>1067419.8600000001</v>
          </cell>
        </row>
        <row r="360">
          <cell r="H360" t="str">
            <v>1710501014 (-)Rec Fin a apr s/ Dups a Rec no MI LP (P CP/LP)</v>
          </cell>
          <cell r="I360">
            <v>-35769.99</v>
          </cell>
          <cell r="J360">
            <v>5591.91</v>
          </cell>
          <cell r="K360">
            <v>-30178.080000000002</v>
          </cell>
        </row>
        <row r="361">
          <cell r="D361" t="str">
            <v>1.7.1.15 - Impostos e Contribuições a Recuper</v>
          </cell>
          <cell r="I361">
            <v>90535119.439999998</v>
          </cell>
          <cell r="J361">
            <v>-4199.99</v>
          </cell>
          <cell r="K361">
            <v>90530919.450000003</v>
          </cell>
        </row>
        <row r="362">
          <cell r="F362" t="str">
            <v>1.7.1.15.05 - CSLL</v>
          </cell>
          <cell r="I362">
            <v>23548079.23</v>
          </cell>
          <cell r="J362">
            <v>55711.87</v>
          </cell>
          <cell r="K362">
            <v>23603791.100000001</v>
          </cell>
        </row>
        <row r="363">
          <cell r="G363" t="str">
            <v>1.7.1.15.05.00 - Créditos Fiscais CSLL LP - B</v>
          </cell>
          <cell r="I363">
            <v>6919119.9299999997</v>
          </cell>
          <cell r="J363">
            <v>-442426.33</v>
          </cell>
          <cell r="K363">
            <v>6476693.5999999996</v>
          </cell>
        </row>
        <row r="364">
          <cell r="H364" t="str">
            <v>1711505000 Cred Fisc CSLL-Bas de Cal Negativa LP (Real)</v>
          </cell>
          <cell r="I364">
            <v>6919119.9299999997</v>
          </cell>
          <cell r="J364">
            <v>-442426.33</v>
          </cell>
          <cell r="K364">
            <v>6476693.5999999996</v>
          </cell>
        </row>
        <row r="365">
          <cell r="G365" t="str">
            <v>1.7.1.15.05.01 - Créditos Fiscais CSLL - Dife</v>
          </cell>
          <cell r="I365">
            <v>16628959.300000001</v>
          </cell>
          <cell r="J365">
            <v>498138.2</v>
          </cell>
          <cell r="K365">
            <v>17127097.5</v>
          </cell>
        </row>
        <row r="366">
          <cell r="H366" t="str">
            <v>1711505010 Cred Fisc CSLL-Dif Temp (Real)</v>
          </cell>
          <cell r="I366">
            <v>16628959.300000001</v>
          </cell>
          <cell r="J366">
            <v>498138.2</v>
          </cell>
          <cell r="K366">
            <v>17127097.5</v>
          </cell>
        </row>
        <row r="367">
          <cell r="G367" t="str">
            <v>1.7.1.15.05.99 - CSLL Saldos Negativos period</v>
          </cell>
          <cell r="I367">
            <v>0</v>
          </cell>
          <cell r="J367">
            <v>0</v>
          </cell>
          <cell r="K367">
            <v>0</v>
          </cell>
        </row>
        <row r="368">
          <cell r="H368" t="str">
            <v>1711505990 Cred Fisc CSLL- Sdo Negativo Per Ant LP (Realiz)</v>
          </cell>
          <cell r="I368">
            <v>0</v>
          </cell>
          <cell r="J368">
            <v>0</v>
          </cell>
          <cell r="K368">
            <v>0</v>
          </cell>
        </row>
        <row r="369">
          <cell r="F369" t="str">
            <v>1.7.1.15.06 - IRPJ</v>
          </cell>
          <cell r="I369">
            <v>63979987.280000001</v>
          </cell>
          <cell r="J369">
            <v>43966.9</v>
          </cell>
          <cell r="K369">
            <v>64023954.18</v>
          </cell>
        </row>
        <row r="370">
          <cell r="G370" t="str">
            <v>1.7.1.15.06.00 - Créditos Fiscais IRPJ - Prej</v>
          </cell>
          <cell r="I370">
            <v>18338927.34</v>
          </cell>
          <cell r="J370">
            <v>-1229653.29</v>
          </cell>
          <cell r="K370">
            <v>17109274.050000001</v>
          </cell>
        </row>
        <row r="371">
          <cell r="H371" t="str">
            <v>1711506000 Cred Fisc IRPJL-Prejuizo Fiscal LP (Real)</v>
          </cell>
          <cell r="I371">
            <v>18338927.34</v>
          </cell>
          <cell r="J371">
            <v>-1229653.29</v>
          </cell>
          <cell r="K371">
            <v>17109274.050000001</v>
          </cell>
        </row>
        <row r="372">
          <cell r="G372" t="str">
            <v>1.7.1.15.06.01 - Créditos Fiscais IRPJ - Dife</v>
          </cell>
          <cell r="I372">
            <v>45641059.939999998</v>
          </cell>
          <cell r="J372">
            <v>1273620.19</v>
          </cell>
          <cell r="K372">
            <v>46914680.130000003</v>
          </cell>
        </row>
        <row r="373">
          <cell r="H373" t="str">
            <v>1711506010 Cred Fisc IRPJ-Dif Temp (Realizado)</v>
          </cell>
          <cell r="I373">
            <v>45641059.939999998</v>
          </cell>
          <cell r="J373">
            <v>1273620.19</v>
          </cell>
          <cell r="K373">
            <v>46914680.130000003</v>
          </cell>
        </row>
        <row r="374">
          <cell r="G374" t="str">
            <v>1.7.1.15.06.99 - IRPJ Saldos Negativos period</v>
          </cell>
          <cell r="I374">
            <v>0</v>
          </cell>
          <cell r="J374">
            <v>0</v>
          </cell>
          <cell r="K374">
            <v>0</v>
          </cell>
        </row>
        <row r="375">
          <cell r="H375" t="str">
            <v>1711506990 Cred Fisc IRPJ Sdo Negativo Per Anter LP (Realiz)</v>
          </cell>
          <cell r="I375">
            <v>0</v>
          </cell>
          <cell r="J375">
            <v>0</v>
          </cell>
          <cell r="K375">
            <v>0</v>
          </cell>
        </row>
        <row r="376">
          <cell r="F376" t="str">
            <v>1.7.1.15.07 - ICMS a Recuperar</v>
          </cell>
          <cell r="I376">
            <v>2738834.37</v>
          </cell>
          <cell r="J376">
            <v>-103878.76</v>
          </cell>
          <cell r="K376">
            <v>2634955.61</v>
          </cell>
        </row>
        <row r="377">
          <cell r="G377" t="str">
            <v>1.7.1.15.07.01 - ICMS a Recuperar sobre Ativo</v>
          </cell>
          <cell r="I377">
            <v>2738834.37</v>
          </cell>
          <cell r="J377">
            <v>-103878.76</v>
          </cell>
          <cell r="K377">
            <v>2634955.61</v>
          </cell>
        </row>
        <row r="378">
          <cell r="H378" t="str">
            <v>1711507010 ICMS a Recuperar s/e Ativo Permanet LP (Realizado)</v>
          </cell>
          <cell r="I378">
            <v>2833874.51</v>
          </cell>
          <cell r="J378">
            <v>-116077.87</v>
          </cell>
          <cell r="K378">
            <v>2717796.64</v>
          </cell>
        </row>
        <row r="379">
          <cell r="H379" t="str">
            <v>1711507014 (-)AVP s/ ICMS a Recuperar s/ Ativo Permanente LP</v>
          </cell>
          <cell r="I379">
            <v>-95040.14</v>
          </cell>
          <cell r="J379">
            <v>12199.11</v>
          </cell>
          <cell r="K379">
            <v>-82841.03</v>
          </cell>
        </row>
        <row r="380">
          <cell r="F380" t="str">
            <v>1.7.1.15.99 - Outros Imp. e Contrib. a Recupe</v>
          </cell>
          <cell r="I380">
            <v>268218.56</v>
          </cell>
          <cell r="J380">
            <v>0</v>
          </cell>
          <cell r="K380">
            <v>268218.56</v>
          </cell>
        </row>
        <row r="381">
          <cell r="G381" t="str">
            <v>1.7.1.15.99.04 - FINSOCIAL 1982/83</v>
          </cell>
          <cell r="I381">
            <v>268218.56</v>
          </cell>
          <cell r="J381">
            <v>0</v>
          </cell>
          <cell r="K381">
            <v>268218.56</v>
          </cell>
        </row>
        <row r="382">
          <cell r="H382" t="str">
            <v>1711599040 FINSOCIAL 1982/83 (Realizado)</v>
          </cell>
          <cell r="I382">
            <v>268218.56</v>
          </cell>
          <cell r="J382">
            <v>0</v>
          </cell>
          <cell r="K382">
            <v>268218.56</v>
          </cell>
        </row>
        <row r="383">
          <cell r="D383" t="str">
            <v>1.7.1.20 - Estoques - LP</v>
          </cell>
          <cell r="I383">
            <v>13008757.66</v>
          </cell>
          <cell r="J383">
            <v>246943.09</v>
          </cell>
          <cell r="K383">
            <v>13255700.75</v>
          </cell>
        </row>
        <row r="384">
          <cell r="F384" t="str">
            <v>1.7.1.20.20 - Est. Manut. - Almoxarifado LP</v>
          </cell>
          <cell r="I384">
            <v>13008757.66</v>
          </cell>
          <cell r="J384">
            <v>246943.09</v>
          </cell>
          <cell r="K384">
            <v>13255700.75</v>
          </cell>
        </row>
        <row r="385">
          <cell r="G385" t="str">
            <v>1.7.1.20.20.01 - Estoques de Manutenção Civil</v>
          </cell>
          <cell r="I385">
            <v>0</v>
          </cell>
          <cell r="J385">
            <v>0</v>
          </cell>
          <cell r="K385">
            <v>0</v>
          </cell>
        </row>
        <row r="386">
          <cell r="H386" t="str">
            <v>1712010010 Estoques LP-Manutençao Civil (Realizado)</v>
          </cell>
          <cell r="I386">
            <v>0</v>
          </cell>
          <cell r="J386">
            <v>0</v>
          </cell>
          <cell r="K386">
            <v>0</v>
          </cell>
        </row>
        <row r="387">
          <cell r="G387" t="str">
            <v>1.7.1.20.20.02 - Estoques de Manutenção Eletr</v>
          </cell>
          <cell r="I387">
            <v>0</v>
          </cell>
          <cell r="J387">
            <v>0</v>
          </cell>
          <cell r="K387">
            <v>0</v>
          </cell>
        </row>
        <row r="388">
          <cell r="H388" t="str">
            <v>1712010020 Estoques LP-Manutençao Eletrica (Realizado)</v>
          </cell>
          <cell r="I388">
            <v>0</v>
          </cell>
          <cell r="J388">
            <v>0</v>
          </cell>
          <cell r="K388">
            <v>0</v>
          </cell>
        </row>
        <row r="389">
          <cell r="G389" t="str">
            <v>1.7.1.20.20.03 - Estoques de Manutenção Mecan</v>
          </cell>
          <cell r="I389">
            <v>0</v>
          </cell>
          <cell r="J389">
            <v>0</v>
          </cell>
          <cell r="K389">
            <v>0</v>
          </cell>
        </row>
        <row r="390">
          <cell r="H390" t="str">
            <v>1712010030 Estoques LP-Manutençao Mecanica (Realizado)</v>
          </cell>
          <cell r="I390">
            <v>0</v>
          </cell>
          <cell r="J390">
            <v>0</v>
          </cell>
          <cell r="K390">
            <v>0</v>
          </cell>
        </row>
        <row r="391">
          <cell r="G391" t="str">
            <v>1.7.1.20.20.04 - Estoques de Manutenção Inspe</v>
          </cell>
          <cell r="I391">
            <v>0</v>
          </cell>
          <cell r="J391">
            <v>0</v>
          </cell>
          <cell r="K391">
            <v>0</v>
          </cell>
        </row>
        <row r="392">
          <cell r="H392" t="str">
            <v>1712010040 Estoques LP-Manutençao Inspeçao (Realizado)</v>
          </cell>
          <cell r="I392">
            <v>0</v>
          </cell>
          <cell r="J392">
            <v>0</v>
          </cell>
          <cell r="K392">
            <v>0</v>
          </cell>
        </row>
        <row r="393">
          <cell r="G393" t="str">
            <v>1.7.1.20.20.05 - Estoques de Manutenção Calde</v>
          </cell>
          <cell r="I393">
            <v>0</v>
          </cell>
          <cell r="J393">
            <v>0</v>
          </cell>
          <cell r="K393">
            <v>0</v>
          </cell>
        </row>
        <row r="394">
          <cell r="H394" t="str">
            <v>1712010050 Estoques LP-Manut Calderaria e Tubulaçao (Realiz)</v>
          </cell>
          <cell r="I394">
            <v>0</v>
          </cell>
          <cell r="J394">
            <v>0</v>
          </cell>
          <cell r="K394">
            <v>0</v>
          </cell>
        </row>
        <row r="395">
          <cell r="G395" t="str">
            <v>1.7.1.20.20.06 - Estoques de Manutenção Instr</v>
          </cell>
          <cell r="I395">
            <v>0</v>
          </cell>
          <cell r="J395">
            <v>0</v>
          </cell>
          <cell r="K395">
            <v>0</v>
          </cell>
        </row>
        <row r="396">
          <cell r="H396" t="str">
            <v>1712010060 Estoques LP-Manutençao Instrumentaçao (Realizado)</v>
          </cell>
          <cell r="I396">
            <v>0</v>
          </cell>
          <cell r="J396">
            <v>0</v>
          </cell>
          <cell r="K396">
            <v>0</v>
          </cell>
        </row>
        <row r="397">
          <cell r="G397" t="str">
            <v>1.7.1.20.20.07 - Estoques de Manutenção Celul</v>
          </cell>
          <cell r="I397">
            <v>0</v>
          </cell>
          <cell r="J397">
            <v>0</v>
          </cell>
          <cell r="K397">
            <v>0</v>
          </cell>
        </row>
        <row r="398">
          <cell r="H398" t="str">
            <v>1712010070 Estoques LP-Manutençao Celula HG (Realizado)</v>
          </cell>
          <cell r="I398">
            <v>0</v>
          </cell>
          <cell r="J398">
            <v>0</v>
          </cell>
          <cell r="K398">
            <v>0</v>
          </cell>
        </row>
        <row r="399">
          <cell r="G399" t="str">
            <v>1.7.1.20.20.08 - Estoques de Manutenção Celul</v>
          </cell>
          <cell r="I399">
            <v>0</v>
          </cell>
          <cell r="J399">
            <v>0</v>
          </cell>
          <cell r="K399">
            <v>0</v>
          </cell>
        </row>
        <row r="400">
          <cell r="H400" t="str">
            <v>1712010080 Estoq LP-Manutençao Celula Diafragma (Realizado)</v>
          </cell>
          <cell r="I400">
            <v>0</v>
          </cell>
          <cell r="J400">
            <v>0</v>
          </cell>
          <cell r="K400">
            <v>0</v>
          </cell>
        </row>
        <row r="401">
          <cell r="G401" t="str">
            <v>1.7.1.20.20.09 - Estoques de Manutenção Celul</v>
          </cell>
          <cell r="I401">
            <v>0</v>
          </cell>
          <cell r="J401">
            <v>0</v>
          </cell>
          <cell r="K401">
            <v>0</v>
          </cell>
        </row>
        <row r="402">
          <cell r="H402" t="str">
            <v>1712010090 Estoques LP-Manutençao Celula Membrana (Realizado)</v>
          </cell>
          <cell r="I402">
            <v>0</v>
          </cell>
          <cell r="J402">
            <v>0</v>
          </cell>
          <cell r="K402">
            <v>0</v>
          </cell>
        </row>
        <row r="403">
          <cell r="G403" t="str">
            <v>1.7.1.20.20.99 - Estoques de Manutenção em Ge</v>
          </cell>
          <cell r="I403">
            <v>13008757.66</v>
          </cell>
          <cell r="J403">
            <v>246943.09</v>
          </cell>
          <cell r="K403">
            <v>13255700.75</v>
          </cell>
        </row>
        <row r="404">
          <cell r="H404" t="str">
            <v>1712020991 Estoque Almoxarifado Parcela Realizada LP</v>
          </cell>
          <cell r="I404">
            <v>13008757.66</v>
          </cell>
          <cell r="J404">
            <v>246943.09</v>
          </cell>
          <cell r="K404">
            <v>13255700.75</v>
          </cell>
        </row>
        <row r="405">
          <cell r="D405" t="str">
            <v>1.7.1.80 - Outros Ativos Não Circulantes</v>
          </cell>
          <cell r="I405">
            <v>0</v>
          </cell>
          <cell r="J405">
            <v>0</v>
          </cell>
          <cell r="K405">
            <v>0</v>
          </cell>
        </row>
        <row r="406">
          <cell r="F406" t="str">
            <v>1.7.1.80.01 - Ativo Atuarial</v>
          </cell>
          <cell r="I406">
            <v>0</v>
          </cell>
          <cell r="J406">
            <v>0</v>
          </cell>
          <cell r="K406">
            <v>0</v>
          </cell>
        </row>
        <row r="407">
          <cell r="G407" t="str">
            <v>1.7.1.80.01.01 - Previdencia Privada -CVM 371</v>
          </cell>
          <cell r="I407">
            <v>0</v>
          </cell>
          <cell r="J407">
            <v>0</v>
          </cell>
          <cell r="K407">
            <v>0</v>
          </cell>
        </row>
        <row r="408">
          <cell r="H408" t="str">
            <v>1718001010 Previdencia Privada - CVM 371 (Realizado)</v>
          </cell>
          <cell r="I408">
            <v>0</v>
          </cell>
          <cell r="J408">
            <v>0</v>
          </cell>
          <cell r="K408">
            <v>0</v>
          </cell>
        </row>
        <row r="409">
          <cell r="F409" t="str">
            <v>1.7.1.80.99 - Outros Créditos</v>
          </cell>
          <cell r="I409">
            <v>0</v>
          </cell>
          <cell r="J409">
            <v>0</v>
          </cell>
          <cell r="K409">
            <v>0</v>
          </cell>
        </row>
        <row r="410">
          <cell r="G410" t="str">
            <v>1.7.1.80.99.06 - Contratos a Receber</v>
          </cell>
          <cell r="I410">
            <v>0</v>
          </cell>
          <cell r="J410">
            <v>0</v>
          </cell>
          <cell r="K410">
            <v>0</v>
          </cell>
        </row>
        <row r="411">
          <cell r="H411" t="str">
            <v>1718099060 Outros Créditos- Contratos a Receber (Realizado)</v>
          </cell>
          <cell r="I411">
            <v>0</v>
          </cell>
          <cell r="J411">
            <v>0</v>
          </cell>
          <cell r="K411">
            <v>0</v>
          </cell>
        </row>
        <row r="412">
          <cell r="D412" t="str">
            <v>1.7.1.90 - Depósitos Judiciais sem reserva</v>
          </cell>
          <cell r="I412">
            <v>47013606.170000002</v>
          </cell>
          <cell r="J412">
            <v>634062.24</v>
          </cell>
          <cell r="K412">
            <v>47647668.409999996</v>
          </cell>
        </row>
        <row r="413">
          <cell r="F413" t="str">
            <v>1.7.1.90.01 - Depósitos Judiciais sem reserva</v>
          </cell>
          <cell r="I413">
            <v>9044169.7300000004</v>
          </cell>
          <cell r="J413">
            <v>35025.230000000003</v>
          </cell>
          <cell r="K413">
            <v>9079194.9600000009</v>
          </cell>
        </row>
        <row r="414">
          <cell r="G414" t="str">
            <v>1.7.1.90.01.01 - Depósitos Judiciais sem rese</v>
          </cell>
          <cell r="I414">
            <v>8687538.9600000009</v>
          </cell>
          <cell r="J414">
            <v>33389.99</v>
          </cell>
          <cell r="K414">
            <v>8720928.9499999993</v>
          </cell>
        </row>
        <row r="415">
          <cell r="H415" t="str">
            <v>1719001010 Dep Jud s/Res Trib Fed R</v>
          </cell>
          <cell r="I415">
            <v>7884493.1200000001</v>
          </cell>
          <cell r="J415">
            <v>0</v>
          </cell>
          <cell r="K415">
            <v>7884493.1200000001</v>
          </cell>
        </row>
        <row r="416">
          <cell r="H416" t="str">
            <v>1719001011 ATM Dep Jud s/Res Trib Fed R</v>
          </cell>
          <cell r="I416">
            <v>803045.84</v>
          </cell>
          <cell r="J416">
            <v>33389.99</v>
          </cell>
          <cell r="K416">
            <v>836435.83</v>
          </cell>
        </row>
        <row r="417">
          <cell r="G417" t="str">
            <v>1.7.1.90.01.03 - Depósitos Judiciais sem rese</v>
          </cell>
          <cell r="I417">
            <v>356630.77</v>
          </cell>
          <cell r="J417">
            <v>1635.24</v>
          </cell>
          <cell r="K417">
            <v>358266.01</v>
          </cell>
        </row>
        <row r="418">
          <cell r="H418" t="str">
            <v>1719001030 Depos Jud s/Reserva-Imp, Taxas e Contrib Munic (R)</v>
          </cell>
          <cell r="I418">
            <v>356630.77</v>
          </cell>
          <cell r="J418">
            <v>1635.24</v>
          </cell>
          <cell r="K418">
            <v>358266.01</v>
          </cell>
        </row>
        <row r="419">
          <cell r="F419" t="str">
            <v>1.7.1.90.02 - Depósitos Judiciais sem reserva</v>
          </cell>
          <cell r="I419">
            <v>4678325.45</v>
          </cell>
          <cell r="J419">
            <v>390607.7</v>
          </cell>
          <cell r="K419">
            <v>5068933.1500000004</v>
          </cell>
        </row>
        <row r="420">
          <cell r="G420" t="str">
            <v>1.7.1.90.02.01 - Depósitos Judiciais sem rese</v>
          </cell>
          <cell r="I420">
            <v>2893601.77</v>
          </cell>
          <cell r="J420">
            <v>376000.18</v>
          </cell>
          <cell r="K420">
            <v>3269601.95</v>
          </cell>
        </row>
        <row r="421">
          <cell r="H421" t="str">
            <v>1719002010 Depos Jud s/Reserva-Reclamaçoes Trab (Realizado)</v>
          </cell>
          <cell r="I421">
            <v>2893601.77</v>
          </cell>
          <cell r="J421">
            <v>376000.18</v>
          </cell>
          <cell r="K421">
            <v>3269601.95</v>
          </cell>
        </row>
        <row r="422">
          <cell r="G422" t="str">
            <v>1.7.1.90.02.03 - Depósitos Judiciais sem rese</v>
          </cell>
          <cell r="I422">
            <v>1784723.68</v>
          </cell>
          <cell r="J422">
            <v>14607.52</v>
          </cell>
          <cell r="K422">
            <v>1799331.2</v>
          </cell>
        </row>
        <row r="423">
          <cell r="H423" t="str">
            <v>1719002030 Dep Judiciais s/Res -Previdenciarios (Realizado)</v>
          </cell>
          <cell r="I423">
            <v>1784723.68</v>
          </cell>
          <cell r="J423">
            <v>14607.52</v>
          </cell>
          <cell r="K423">
            <v>1799331.2</v>
          </cell>
        </row>
        <row r="424">
          <cell r="F424" t="str">
            <v>1.7.1.90.03 - Depósitos Judiciais sem reserva</v>
          </cell>
          <cell r="I424">
            <v>33291110.989999998</v>
          </cell>
          <cell r="J424">
            <v>208429.31</v>
          </cell>
          <cell r="K424">
            <v>33499540.300000001</v>
          </cell>
        </row>
        <row r="425">
          <cell r="G425" t="str">
            <v>1.7.1.90.03.99 - Outros Depósitos Judiciais s</v>
          </cell>
          <cell r="I425">
            <v>33291110.989999998</v>
          </cell>
          <cell r="J425">
            <v>208429.31</v>
          </cell>
          <cell r="K425">
            <v>33499540.300000001</v>
          </cell>
        </row>
        <row r="426">
          <cell r="H426" t="str">
            <v>1719003990 Outros Dep Judic s/Reserva de Nat Oper (Realizado)</v>
          </cell>
          <cell r="I426">
            <v>28307938.91</v>
          </cell>
          <cell r="J426">
            <v>0</v>
          </cell>
          <cell r="K426">
            <v>28307938.91</v>
          </cell>
        </row>
        <row r="427">
          <cell r="H427" t="str">
            <v>1719003991 ATM Outros Dep Judic s/Reserva Nat Oper (Realiz)</v>
          </cell>
          <cell r="I427">
            <v>4983172.08</v>
          </cell>
          <cell r="J427">
            <v>208429.31</v>
          </cell>
          <cell r="K427">
            <v>5191601.3899999997</v>
          </cell>
        </row>
        <row r="428">
          <cell r="D428" t="str">
            <v>1.7.1.91 - Depósitos Judiciais com reserva</v>
          </cell>
          <cell r="I428">
            <v>14149099.859999999</v>
          </cell>
          <cell r="J428">
            <v>77817.899999999994</v>
          </cell>
          <cell r="K428">
            <v>14226917.76</v>
          </cell>
        </row>
        <row r="429">
          <cell r="F429" t="str">
            <v>1.7.1.91.00 - Depósitos Judiciais com reserva</v>
          </cell>
          <cell r="I429">
            <v>68793.259999999995</v>
          </cell>
          <cell r="J429">
            <v>0</v>
          </cell>
          <cell r="K429">
            <v>68793.259999999995</v>
          </cell>
        </row>
        <row r="430">
          <cell r="G430" t="str">
            <v>1.7.1.91.00.01 - Depósitos Judiciais com rese</v>
          </cell>
          <cell r="I430">
            <v>68793.259999999995</v>
          </cell>
          <cell r="J430">
            <v>0</v>
          </cell>
          <cell r="K430">
            <v>68793.259999999995</v>
          </cell>
        </row>
        <row r="431">
          <cell r="H431" t="str">
            <v>1719100010 Dep Jud c/ Reserv-Cíveis (Realiz)</v>
          </cell>
          <cell r="I431">
            <v>68793.259999999995</v>
          </cell>
          <cell r="J431">
            <v>0</v>
          </cell>
          <cell r="K431">
            <v>68793.259999999995</v>
          </cell>
        </row>
        <row r="432">
          <cell r="F432" t="str">
            <v>1.7.1.91.01 - Depósitos Judiciais com reserva</v>
          </cell>
          <cell r="I432">
            <v>13183236.25</v>
          </cell>
          <cell r="J432">
            <v>77817.899999999994</v>
          </cell>
          <cell r="K432">
            <v>13261054.15</v>
          </cell>
        </row>
        <row r="433">
          <cell r="G433" t="str">
            <v>1.7.1.91.01.01 - Depósitos Judiciais com rese</v>
          </cell>
          <cell r="I433">
            <v>11418224.300000001</v>
          </cell>
          <cell r="J433">
            <v>0</v>
          </cell>
          <cell r="K433">
            <v>11418224.300000001</v>
          </cell>
        </row>
        <row r="434">
          <cell r="H434" t="str">
            <v>1719101010 Dep Jud c/ Reserv-Imp,Taxas e Contrib Fed (Realiz)</v>
          </cell>
          <cell r="I434">
            <v>11418224.300000001</v>
          </cell>
          <cell r="J434">
            <v>0</v>
          </cell>
          <cell r="K434">
            <v>11418224.300000001</v>
          </cell>
        </row>
        <row r="435">
          <cell r="G435" t="str">
            <v>1.7.1.91.01.03 - Depósitos Judiciais com rese</v>
          </cell>
          <cell r="I435">
            <v>1765011.95</v>
          </cell>
          <cell r="J435">
            <v>77817.899999999994</v>
          </cell>
          <cell r="K435">
            <v>1842829.85</v>
          </cell>
        </row>
        <row r="436">
          <cell r="H436" t="str">
            <v>1719101030 Dep Jud c/Res-Imp, Taxas e Contrib Munic (Realiz)</v>
          </cell>
          <cell r="I436">
            <v>1765011.95</v>
          </cell>
          <cell r="J436">
            <v>77817.899999999994</v>
          </cell>
          <cell r="K436">
            <v>1842829.85</v>
          </cell>
        </row>
        <row r="437">
          <cell r="F437" t="str">
            <v>1.7.1.91.02 - Depósitos Judiciais com reserva</v>
          </cell>
          <cell r="I437">
            <v>897070.35</v>
          </cell>
          <cell r="J437">
            <v>0</v>
          </cell>
          <cell r="K437">
            <v>897070.35</v>
          </cell>
        </row>
        <row r="438">
          <cell r="G438" t="str">
            <v>1.7.1.91.02.03 - Depósitos Judiciais com rese</v>
          </cell>
          <cell r="I438">
            <v>897070.35</v>
          </cell>
          <cell r="J438">
            <v>0</v>
          </cell>
          <cell r="K438">
            <v>897070.35</v>
          </cell>
        </row>
        <row r="439">
          <cell r="H439" t="str">
            <v>1719102030 Dep Judiciais c/Res -Previdenciarios (Realizado)</v>
          </cell>
          <cell r="I439">
            <v>897070.35</v>
          </cell>
          <cell r="J439">
            <v>0</v>
          </cell>
          <cell r="K439">
            <v>897070.35</v>
          </cell>
        </row>
        <row r="440">
          <cell r="C440" t="str">
            <v>1.7.2 - INVESTIMENTOS</v>
          </cell>
          <cell r="I440">
            <v>40926899.710000001</v>
          </cell>
          <cell r="J440">
            <v>8311299.71</v>
          </cell>
          <cell r="K440">
            <v>49238199.420000002</v>
          </cell>
        </row>
        <row r="441">
          <cell r="D441" t="str">
            <v>1.7.2.01 - Investimentos Decorrentes de Incen</v>
          </cell>
          <cell r="I441">
            <v>0</v>
          </cell>
          <cell r="J441">
            <v>0</v>
          </cell>
          <cell r="K441">
            <v>0</v>
          </cell>
        </row>
        <row r="442">
          <cell r="F442" t="str">
            <v>1.7.2.01.01 - Investimentos Decorrentes de In</v>
          </cell>
          <cell r="I442">
            <v>0</v>
          </cell>
          <cell r="J442">
            <v>0</v>
          </cell>
          <cell r="K442">
            <v>0</v>
          </cell>
        </row>
        <row r="443">
          <cell r="G443" t="str">
            <v>1.7.2.01.01.01 - Investimentos em Audiovisual</v>
          </cell>
          <cell r="I443">
            <v>0</v>
          </cell>
          <cell r="J443">
            <v>0</v>
          </cell>
          <cell r="K443">
            <v>0</v>
          </cell>
        </row>
        <row r="444">
          <cell r="H444" t="str">
            <v>1720101010 Ctos dos Inv em Audiovi-Parti em Proj Cult (Real)</v>
          </cell>
          <cell r="I444">
            <v>0</v>
          </cell>
          <cell r="J444">
            <v>0</v>
          </cell>
          <cell r="K444">
            <v>0</v>
          </cell>
        </row>
        <row r="445">
          <cell r="F445" t="str">
            <v>1.7.2.01.02 - Investimentos Decorrentes de In</v>
          </cell>
          <cell r="I445">
            <v>0</v>
          </cell>
          <cell r="J445">
            <v>0</v>
          </cell>
          <cell r="K445">
            <v>0</v>
          </cell>
        </row>
        <row r="446">
          <cell r="G446" t="str">
            <v>1.7.2.01.02.01 - Investimentos FINOR</v>
          </cell>
          <cell r="I446">
            <v>36957.269999999997</v>
          </cell>
          <cell r="J446">
            <v>0</v>
          </cell>
          <cell r="K446">
            <v>36957.269999999997</v>
          </cell>
        </row>
        <row r="447">
          <cell r="H447" t="str">
            <v>1720102010 Custos Investimentos FINOR (Realizado)</v>
          </cell>
          <cell r="I447">
            <v>36957.269999999997</v>
          </cell>
          <cell r="J447">
            <v>0</v>
          </cell>
          <cell r="K447">
            <v>36957.269999999997</v>
          </cell>
        </row>
        <row r="448">
          <cell r="G448" t="str">
            <v>1.7.2.01.02.02 - Investimentos FINAM</v>
          </cell>
          <cell r="I448">
            <v>80437.87</v>
          </cell>
          <cell r="J448">
            <v>0</v>
          </cell>
          <cell r="K448">
            <v>80437.87</v>
          </cell>
        </row>
        <row r="449">
          <cell r="H449" t="str">
            <v>1720102020 Custos Investimentos FINAM (Realizado)</v>
          </cell>
          <cell r="I449">
            <v>80437.87</v>
          </cell>
          <cell r="J449">
            <v>0</v>
          </cell>
          <cell r="K449">
            <v>80437.87</v>
          </cell>
        </row>
        <row r="450">
          <cell r="G450" t="str">
            <v>1.7.2.01.02.03 - Investimentos em Certificado</v>
          </cell>
          <cell r="I450">
            <v>66907.13</v>
          </cell>
          <cell r="J450">
            <v>0</v>
          </cell>
          <cell r="K450">
            <v>66907.13</v>
          </cell>
        </row>
        <row r="451">
          <cell r="H451" t="str">
            <v>1720102030 Custos Investimentos EMBRAER (Realizado)</v>
          </cell>
          <cell r="I451">
            <v>66907.13</v>
          </cell>
          <cell r="J451">
            <v>0</v>
          </cell>
          <cell r="K451">
            <v>66907.13</v>
          </cell>
        </row>
        <row r="452">
          <cell r="G452" t="str">
            <v>1.7.2.01.02.99 - Prov p/Desvalorização Invest</v>
          </cell>
          <cell r="I452">
            <v>-184302.27</v>
          </cell>
          <cell r="J452">
            <v>0</v>
          </cell>
          <cell r="K452">
            <v>-184302.27</v>
          </cell>
        </row>
        <row r="453">
          <cell r="H453" t="str">
            <v>1720102990 Prov Desval Inv Decor Inc Fiscais - Fundos/Certif</v>
          </cell>
          <cell r="I453">
            <v>-184302.27</v>
          </cell>
          <cell r="J453">
            <v>0</v>
          </cell>
          <cell r="K453">
            <v>-184302.27</v>
          </cell>
        </row>
        <row r="454">
          <cell r="D454" t="str">
            <v>1.7.2.02 - Outros Investimentos</v>
          </cell>
          <cell r="I454">
            <v>40926899.710000001</v>
          </cell>
          <cell r="J454">
            <v>8311299.71</v>
          </cell>
          <cell r="K454">
            <v>49238199.420000002</v>
          </cell>
        </row>
        <row r="455">
          <cell r="F455" t="str">
            <v>1.7.2.02.01 - Participações Permanentes em Co</v>
          </cell>
          <cell r="I455">
            <v>40926899.710000001</v>
          </cell>
          <cell r="J455">
            <v>8311299.71</v>
          </cell>
          <cell r="K455">
            <v>49238199.420000002</v>
          </cell>
        </row>
        <row r="456">
          <cell r="G456" t="str">
            <v>1.7.2.02.01.01 - Participações Permanentes em</v>
          </cell>
          <cell r="I456">
            <v>40926899.710000001</v>
          </cell>
          <cell r="J456">
            <v>8311299.71</v>
          </cell>
          <cell r="K456">
            <v>49238199.420000002</v>
          </cell>
        </row>
        <row r="457">
          <cell r="H457" t="str">
            <v>1720201010 Cto Part Per em Coligada ou ControladaTecsis</v>
          </cell>
          <cell r="I457">
            <v>-6951946.1399999997</v>
          </cell>
          <cell r="J457">
            <v>8694116.2400000002</v>
          </cell>
          <cell r="K457">
            <v>1742170.1</v>
          </cell>
        </row>
        <row r="458">
          <cell r="H458" t="str">
            <v>1720201012 Agios em Partic Per Colig ou Control - Tecsis</v>
          </cell>
          <cell r="I458">
            <v>26896601.149999999</v>
          </cell>
          <cell r="J458">
            <v>0</v>
          </cell>
          <cell r="K458">
            <v>26896601.149999999</v>
          </cell>
        </row>
        <row r="459">
          <cell r="H459" t="str">
            <v>1720201014 Vlr Justo Ativos em Part Per Col Cont Tecsis</v>
          </cell>
          <cell r="I459">
            <v>58505815.5</v>
          </cell>
          <cell r="J459">
            <v>0</v>
          </cell>
          <cell r="K459">
            <v>58505815.5</v>
          </cell>
        </row>
        <row r="460">
          <cell r="H460" t="str">
            <v>1720201015 Realização Vlr Justo em Part Per Col Cont -Tecsis</v>
          </cell>
          <cell r="I460">
            <v>-13781395.08</v>
          </cell>
          <cell r="J460">
            <v>-382816.53</v>
          </cell>
          <cell r="K460">
            <v>-14164211.609999999</v>
          </cell>
        </row>
        <row r="461">
          <cell r="H461" t="str">
            <v>1720201017 CM Par Perm Colig Contr-Emp Invest XX-Dif IPC/BTNF</v>
          </cell>
          <cell r="I461">
            <v>0</v>
          </cell>
          <cell r="J461">
            <v>0</v>
          </cell>
          <cell r="K461">
            <v>0</v>
          </cell>
        </row>
        <row r="462">
          <cell r="H462" t="str">
            <v>1720201018 Ajust Aval Patrimonial em Part Per Col Cont Tecsis</v>
          </cell>
          <cell r="I462">
            <v>-23742175.719999999</v>
          </cell>
          <cell r="J462">
            <v>0</v>
          </cell>
          <cell r="K462">
            <v>-23742175.719999999</v>
          </cell>
        </row>
        <row r="463">
          <cell r="C463" t="str">
            <v>1.7.4 - IMOBILIZADO</v>
          </cell>
          <cell r="I463">
            <v>896773087.09000003</v>
          </cell>
          <cell r="J463">
            <v>-2244509.75</v>
          </cell>
          <cell r="K463">
            <v>894528577.34000003</v>
          </cell>
        </row>
        <row r="464">
          <cell r="D464" t="str">
            <v>1.7.4.01 - Imobilizado em Operação</v>
          </cell>
          <cell r="I464">
            <v>1460333311.1900001</v>
          </cell>
          <cell r="J464">
            <v>5320698.93</v>
          </cell>
          <cell r="K464">
            <v>1465654010.1199999</v>
          </cell>
        </row>
        <row r="465">
          <cell r="F465" t="str">
            <v>1.7.4.01.01 - Terrenos</v>
          </cell>
          <cell r="I465">
            <v>247550000.00999999</v>
          </cell>
          <cell r="J465">
            <v>0</v>
          </cell>
          <cell r="K465">
            <v>247550000.00999999</v>
          </cell>
        </row>
        <row r="466">
          <cell r="G466" t="str">
            <v>1.7.4.01.01.01 - Terrenos</v>
          </cell>
          <cell r="I466">
            <v>247550000.00999999</v>
          </cell>
          <cell r="J466">
            <v>0</v>
          </cell>
          <cell r="K466">
            <v>247550000.00999999</v>
          </cell>
        </row>
        <row r="467">
          <cell r="H467" t="str">
            <v>1740101010 Imobilizado-Custo dos Terrenos</v>
          </cell>
          <cell r="I467">
            <v>2292264.9900000002</v>
          </cell>
          <cell r="J467">
            <v>0</v>
          </cell>
          <cell r="K467">
            <v>2292264.9900000002</v>
          </cell>
        </row>
        <row r="468">
          <cell r="H468" t="str">
            <v>1740101011 Imobilizado-Mais Valia dos Terrenos</v>
          </cell>
          <cell r="I468">
            <v>122628867.51000001</v>
          </cell>
          <cell r="J468">
            <v>0</v>
          </cell>
          <cell r="K468">
            <v>122628867.51000001</v>
          </cell>
        </row>
        <row r="469">
          <cell r="H469" t="str">
            <v>1740101012 Imobilizado-Mais Valia Comb Neg dos Terrenos</v>
          </cell>
          <cell r="I469">
            <v>122628867.51000001</v>
          </cell>
          <cell r="J469">
            <v>0</v>
          </cell>
          <cell r="K469">
            <v>122628867.51000001</v>
          </cell>
        </row>
        <row r="470">
          <cell r="H470" t="str">
            <v>1740101014 Imob-Contrapartida do AVP de Terrenos</v>
          </cell>
          <cell r="I470">
            <v>0</v>
          </cell>
          <cell r="J470">
            <v>0</v>
          </cell>
          <cell r="K470">
            <v>0</v>
          </cell>
        </row>
        <row r="471">
          <cell r="H471" t="str">
            <v>1740101017 Imob-CM Terrenos-Dif IPC/BTNF Lei no 8.200/1991</v>
          </cell>
          <cell r="I471">
            <v>0</v>
          </cell>
          <cell r="J471">
            <v>0</v>
          </cell>
          <cell r="K471">
            <v>0</v>
          </cell>
        </row>
        <row r="472">
          <cell r="F472" t="str">
            <v>1.7.4.01.02 - Edificios e Benfeitorias</v>
          </cell>
          <cell r="I472">
            <v>146177193.84999999</v>
          </cell>
          <cell r="J472">
            <v>5130.88</v>
          </cell>
          <cell r="K472">
            <v>146182324.72999999</v>
          </cell>
        </row>
        <row r="473">
          <cell r="G473" t="str">
            <v>1.7.4.01.02.01 - Edifícios</v>
          </cell>
          <cell r="I473">
            <v>132082715.47</v>
          </cell>
          <cell r="J473">
            <v>5130.88</v>
          </cell>
          <cell r="K473">
            <v>132087846.34999999</v>
          </cell>
        </row>
        <row r="474">
          <cell r="H474" t="str">
            <v>1740102010 Imobilizado-Custo dos Edificios</v>
          </cell>
          <cell r="I474">
            <v>126101947.56</v>
          </cell>
          <cell r="J474">
            <v>5130.88</v>
          </cell>
          <cell r="K474">
            <v>126107078.44</v>
          </cell>
        </row>
        <row r="475">
          <cell r="H475" t="str">
            <v>1740102011 Imobilizado-Mais Valia dos Edificios</v>
          </cell>
          <cell r="I475">
            <v>2867318.76</v>
          </cell>
          <cell r="J475">
            <v>0</v>
          </cell>
          <cell r="K475">
            <v>2867318.76</v>
          </cell>
        </row>
        <row r="476">
          <cell r="H476" t="str">
            <v>1740102012 Imobilizado-Mais Valia Comb Negocios dos Edificios</v>
          </cell>
          <cell r="I476">
            <v>2867318.76</v>
          </cell>
          <cell r="J476">
            <v>0</v>
          </cell>
          <cell r="K476">
            <v>2867318.76</v>
          </cell>
        </row>
        <row r="477">
          <cell r="H477" t="str">
            <v>1740102014 Imobilizado-Contrapartida do AVP de Edificios</v>
          </cell>
          <cell r="I477">
            <v>246130.39</v>
          </cell>
          <cell r="J477">
            <v>0</v>
          </cell>
          <cell r="K477">
            <v>246130.39</v>
          </cell>
        </row>
        <row r="478">
          <cell r="H478" t="str">
            <v>1740102017 Imob-CM Edificios-Dif IPC/BTNF Lei no 8.200/1991</v>
          </cell>
          <cell r="I478">
            <v>0</v>
          </cell>
          <cell r="J478">
            <v>0</v>
          </cell>
          <cell r="K478">
            <v>0</v>
          </cell>
        </row>
        <row r="479">
          <cell r="G479" t="str">
            <v>1.7.4.01.02.02 - Benfeitorias</v>
          </cell>
          <cell r="I479">
            <v>14094478.380000001</v>
          </cell>
          <cell r="J479">
            <v>0</v>
          </cell>
          <cell r="K479">
            <v>14094478.380000001</v>
          </cell>
        </row>
        <row r="480">
          <cell r="H480" t="str">
            <v>1740102020 Imobilizado-Custo das Benfeitorias</v>
          </cell>
          <cell r="I480">
            <v>9745640.0999999996</v>
          </cell>
          <cell r="J480">
            <v>0</v>
          </cell>
          <cell r="K480">
            <v>9745640.0999999996</v>
          </cell>
        </row>
        <row r="481">
          <cell r="H481" t="str">
            <v>1740102021 Imobilizado-Mais Valia Benfeitorias</v>
          </cell>
          <cell r="I481">
            <v>2173636.4</v>
          </cell>
          <cell r="J481">
            <v>0</v>
          </cell>
          <cell r="K481">
            <v>2173636.4</v>
          </cell>
        </row>
        <row r="482">
          <cell r="H482" t="str">
            <v>1740102022 Imobilizado-Mais Valia Comb Neg Benfeitorias</v>
          </cell>
          <cell r="I482">
            <v>2173636.4</v>
          </cell>
          <cell r="J482">
            <v>0</v>
          </cell>
          <cell r="K482">
            <v>2173636.4</v>
          </cell>
        </row>
        <row r="483">
          <cell r="H483" t="str">
            <v>1740102024 Imobilizado-Contrapartida do AVP de Beneficios</v>
          </cell>
          <cell r="I483">
            <v>1565.48</v>
          </cell>
          <cell r="J483">
            <v>0</v>
          </cell>
          <cell r="K483">
            <v>1565.48</v>
          </cell>
        </row>
        <row r="484">
          <cell r="H484" t="str">
            <v>1740102027 Imob-CM das Benfeit-Dif IPC/BTNF Lei 8.200/1991</v>
          </cell>
          <cell r="I484">
            <v>0</v>
          </cell>
          <cell r="J484">
            <v>0</v>
          </cell>
          <cell r="K484">
            <v>0</v>
          </cell>
        </row>
        <row r="485">
          <cell r="F485" t="str">
            <v>1.7.4.01.03 - Equipamentos, Máquinas e Instal</v>
          </cell>
          <cell r="I485">
            <v>1042232015.46</v>
          </cell>
          <cell r="J485">
            <v>5342935.54</v>
          </cell>
          <cell r="K485">
            <v>1047574951</v>
          </cell>
        </row>
        <row r="486">
          <cell r="G486" t="str">
            <v>1.7.4.01.03.01 - Equipamentos</v>
          </cell>
          <cell r="I486">
            <v>1020112691.11</v>
          </cell>
          <cell r="J486">
            <v>5342935.54</v>
          </cell>
          <cell r="K486">
            <v>1025455626.65</v>
          </cell>
        </row>
        <row r="487">
          <cell r="H487" t="str">
            <v>1740103010 Imobilizado-Custo de Equipamentos</v>
          </cell>
          <cell r="I487">
            <v>816849513.35000002</v>
          </cell>
          <cell r="J487">
            <v>5331867.6100000003</v>
          </cell>
          <cell r="K487">
            <v>822181380.96000004</v>
          </cell>
        </row>
        <row r="488">
          <cell r="H488" t="str">
            <v>1740103011 Imobilizado-Mais Valia Equipamentos</v>
          </cell>
          <cell r="I488">
            <v>97195291.659999996</v>
          </cell>
          <cell r="J488">
            <v>-1356.95</v>
          </cell>
          <cell r="K488">
            <v>97193934.709999993</v>
          </cell>
        </row>
        <row r="489">
          <cell r="H489" t="str">
            <v>1740103012 Imobilizado-Mais Valia Comb Neg Equipamentos</v>
          </cell>
          <cell r="I489">
            <v>97195291.659999996</v>
          </cell>
          <cell r="J489">
            <v>-1356.95</v>
          </cell>
          <cell r="K489">
            <v>97193934.709999993</v>
          </cell>
        </row>
        <row r="490">
          <cell r="H490" t="str">
            <v>1740103014 Imobilizado-AVP Equipamentos</v>
          </cell>
          <cell r="I490">
            <v>8872594.4399999995</v>
          </cell>
          <cell r="J490">
            <v>13781.83</v>
          </cell>
          <cell r="K490">
            <v>8886376.2699999996</v>
          </cell>
        </row>
        <row r="491">
          <cell r="G491" t="str">
            <v>1.7.4.01.03.02 - Sobressalentes</v>
          </cell>
          <cell r="I491">
            <v>22119324.350000001</v>
          </cell>
          <cell r="J491">
            <v>0</v>
          </cell>
          <cell r="K491">
            <v>22119324.350000001</v>
          </cell>
        </row>
        <row r="492">
          <cell r="H492" t="str">
            <v>1740103020 Imobilizado-Custo dos Sobressalentes</v>
          </cell>
          <cell r="I492">
            <v>17608026.75</v>
          </cell>
          <cell r="J492">
            <v>0</v>
          </cell>
          <cell r="K492">
            <v>17608026.75</v>
          </cell>
        </row>
        <row r="493">
          <cell r="H493" t="str">
            <v>1740103021 Imobilizado-Mais Valia dos Sobressalentes</v>
          </cell>
          <cell r="I493">
            <v>2255648.7999999998</v>
          </cell>
          <cell r="J493">
            <v>0</v>
          </cell>
          <cell r="K493">
            <v>2255648.7999999998</v>
          </cell>
        </row>
        <row r="494">
          <cell r="H494" t="str">
            <v>1740103022 Imobilizado-Custo dos Sobressalentes</v>
          </cell>
          <cell r="I494">
            <v>2255648.7999999998</v>
          </cell>
          <cell r="J494">
            <v>0</v>
          </cell>
          <cell r="K494">
            <v>2255648.7999999998</v>
          </cell>
        </row>
        <row r="495">
          <cell r="G495" t="str">
            <v>1.7.4.01.03.03 - Instalações Industriais</v>
          </cell>
          <cell r="I495">
            <v>0</v>
          </cell>
          <cell r="J495">
            <v>0</v>
          </cell>
          <cell r="K495">
            <v>0</v>
          </cell>
        </row>
        <row r="496">
          <cell r="H496" t="str">
            <v>1740103030 Imobilizado-Custo de Instalaçoes Industriais</v>
          </cell>
          <cell r="I496">
            <v>0</v>
          </cell>
          <cell r="J496">
            <v>0</v>
          </cell>
          <cell r="K496">
            <v>0</v>
          </cell>
        </row>
        <row r="497">
          <cell r="F497" t="str">
            <v>1.7.4.01.04 - Móveis, Utensílios e Instalaçõe</v>
          </cell>
          <cell r="I497">
            <v>12108790.619999999</v>
          </cell>
          <cell r="J497">
            <v>-12870.39</v>
          </cell>
          <cell r="K497">
            <v>12095920.23</v>
          </cell>
        </row>
        <row r="498">
          <cell r="G498" t="str">
            <v>1.7.4.01.04.01 - Móveis, Utensílios e Instala</v>
          </cell>
          <cell r="I498">
            <v>12108790.619999999</v>
          </cell>
          <cell r="J498">
            <v>-12870.39</v>
          </cell>
          <cell r="K498">
            <v>12095920.23</v>
          </cell>
        </row>
        <row r="499">
          <cell r="H499" t="str">
            <v>1740104010 Imob-Custo de Moveis, Utensilios e Inst Comerciais</v>
          </cell>
          <cell r="I499">
            <v>12063967.779999999</v>
          </cell>
          <cell r="J499">
            <v>-12870.39</v>
          </cell>
          <cell r="K499">
            <v>12051097.390000001</v>
          </cell>
        </row>
        <row r="500">
          <cell r="H500" t="str">
            <v>1740104014 Imob-AVP de Moveis, Utensilios e Inst Comerciais</v>
          </cell>
          <cell r="I500">
            <v>44822.84</v>
          </cell>
          <cell r="J500">
            <v>0</v>
          </cell>
          <cell r="K500">
            <v>44822.84</v>
          </cell>
        </row>
        <row r="501">
          <cell r="F501" t="str">
            <v>1.7.4.01.05 - Veículos</v>
          </cell>
          <cell r="I501">
            <v>1159749.6299999999</v>
          </cell>
          <cell r="J501">
            <v>0</v>
          </cell>
          <cell r="K501">
            <v>1159749.6299999999</v>
          </cell>
        </row>
        <row r="502">
          <cell r="G502" t="str">
            <v>1.7.4.01.05.01 - Veículos de Passageiros e Ca</v>
          </cell>
          <cell r="I502">
            <v>1125940.8799999999</v>
          </cell>
          <cell r="J502">
            <v>0</v>
          </cell>
          <cell r="K502">
            <v>1125940.8799999999</v>
          </cell>
        </row>
        <row r="503">
          <cell r="H503" t="str">
            <v>1740105010 Imob-Custo de Veiculos de Passageiros e Carga</v>
          </cell>
          <cell r="I503">
            <v>1122489.74</v>
          </cell>
          <cell r="J503">
            <v>0</v>
          </cell>
          <cell r="K503">
            <v>1122489.74</v>
          </cell>
        </row>
        <row r="504">
          <cell r="H504" t="str">
            <v>1740105011 Imob-Mais Valia de Veiculos de Passageiros e Carga</v>
          </cell>
          <cell r="I504">
            <v>1584.93</v>
          </cell>
          <cell r="J504">
            <v>0</v>
          </cell>
          <cell r="K504">
            <v>1584.93</v>
          </cell>
        </row>
        <row r="505">
          <cell r="H505" t="str">
            <v>1740105012 Imob-Mais Valia de Veiculos de Passageiros e Carga</v>
          </cell>
          <cell r="I505">
            <v>1584.93</v>
          </cell>
          <cell r="J505">
            <v>0</v>
          </cell>
          <cell r="K505">
            <v>1584.93</v>
          </cell>
        </row>
        <row r="506">
          <cell r="H506" t="str">
            <v>1740105014 Imob-AVP de Veiculos de Passageiros e Carga</v>
          </cell>
          <cell r="I506">
            <v>281.27999999999997</v>
          </cell>
          <cell r="J506">
            <v>0</v>
          </cell>
          <cell r="K506">
            <v>281.27999999999997</v>
          </cell>
        </row>
        <row r="507">
          <cell r="G507" t="str">
            <v>1.7.4.01.05.02 - Veículos fora de estrada</v>
          </cell>
          <cell r="I507">
            <v>33808.75</v>
          </cell>
          <cell r="J507">
            <v>0</v>
          </cell>
          <cell r="K507">
            <v>33808.75</v>
          </cell>
        </row>
        <row r="508">
          <cell r="H508" t="str">
            <v>1740105020 Imobilizado-Custo de Veiculos Fora de Estrada</v>
          </cell>
          <cell r="I508">
            <v>33808.75</v>
          </cell>
          <cell r="J508">
            <v>0</v>
          </cell>
          <cell r="K508">
            <v>33808.75</v>
          </cell>
        </row>
        <row r="509">
          <cell r="F509" t="str">
            <v>1.7.4.01.99 - Outras Imobilizações</v>
          </cell>
          <cell r="I509">
            <v>11105561.619999999</v>
          </cell>
          <cell r="J509">
            <v>-14497.1</v>
          </cell>
          <cell r="K509">
            <v>11091064.52</v>
          </cell>
        </row>
        <row r="510">
          <cell r="G510" t="str">
            <v>1.7.4.01.99.01 - Material Auxiliar Permanente</v>
          </cell>
          <cell r="I510">
            <v>2511016.21</v>
          </cell>
          <cell r="J510">
            <v>0</v>
          </cell>
          <cell r="K510">
            <v>2511016.21</v>
          </cell>
        </row>
        <row r="511">
          <cell r="H511" t="str">
            <v>1740199010 Imobilizado-Custo de Material Auxiliar Permanente</v>
          </cell>
          <cell r="I511">
            <v>2511016.21</v>
          </cell>
          <cell r="J511">
            <v>0</v>
          </cell>
          <cell r="K511">
            <v>2511016.21</v>
          </cell>
        </row>
        <row r="512">
          <cell r="G512" t="str">
            <v>1.7.4.01.99.07 - Computadores e Perifericos</v>
          </cell>
          <cell r="I512">
            <v>8594545.4100000001</v>
          </cell>
          <cell r="J512">
            <v>-14497.1</v>
          </cell>
          <cell r="K512">
            <v>8580048.3100000005</v>
          </cell>
        </row>
        <row r="513">
          <cell r="H513" t="str">
            <v>1740199070 Imobilizado-Custo de Computadores e Perifericos</v>
          </cell>
          <cell r="I513">
            <v>8558223.7899999991</v>
          </cell>
          <cell r="J513">
            <v>-14497.1</v>
          </cell>
          <cell r="K513">
            <v>8543726.6899999995</v>
          </cell>
        </row>
        <row r="514">
          <cell r="H514" t="str">
            <v>1740199074 Imobilizado- AVP de Computadores e Perifericos</v>
          </cell>
          <cell r="I514">
            <v>36321.620000000003</v>
          </cell>
          <cell r="J514">
            <v>0</v>
          </cell>
          <cell r="K514">
            <v>36321.620000000003</v>
          </cell>
        </row>
        <row r="515">
          <cell r="D515" t="str">
            <v>1.7.4.05 - (-) Depreciações</v>
          </cell>
          <cell r="I515">
            <v>-598470399.37</v>
          </cell>
          <cell r="J515">
            <v>-3331764.42</v>
          </cell>
          <cell r="K515">
            <v>-601802163.78999996</v>
          </cell>
        </row>
        <row r="516">
          <cell r="F516" t="str">
            <v>1.7.4.05.02 - Edificios e Benfeitorias</v>
          </cell>
          <cell r="I516">
            <v>-46615729</v>
          </cell>
          <cell r="J516">
            <v>-323667.24</v>
          </cell>
          <cell r="K516">
            <v>-46939396.240000002</v>
          </cell>
        </row>
        <row r="517">
          <cell r="G517" t="str">
            <v>1.7.4.05.02.01 - Edificios</v>
          </cell>
          <cell r="I517">
            <v>-39955918.890000001</v>
          </cell>
          <cell r="J517">
            <v>-279895.65000000002</v>
          </cell>
          <cell r="K517">
            <v>-40235814.539999999</v>
          </cell>
        </row>
        <row r="518">
          <cell r="H518" t="str">
            <v>1740502010 (-)Depreciaçao-Custo dos Edificios</v>
          </cell>
          <cell r="I518">
            <v>-39593925.890000001</v>
          </cell>
          <cell r="J518">
            <v>-262752.11</v>
          </cell>
          <cell r="K518">
            <v>-39856678</v>
          </cell>
        </row>
        <row r="519">
          <cell r="H519" t="str">
            <v>1740502011 (-)Depreciaçao-Mais Valia Edificios</v>
          </cell>
          <cell r="I519">
            <v>-164578.1</v>
          </cell>
          <cell r="J519">
            <v>-8227.0400000000009</v>
          </cell>
          <cell r="K519">
            <v>-172805.14</v>
          </cell>
        </row>
        <row r="520">
          <cell r="H520" t="str">
            <v>1740502012 (-)Depreciaçao-Mais Valia Combin Neg Edificios</v>
          </cell>
          <cell r="I520">
            <v>-164578.1</v>
          </cell>
          <cell r="J520">
            <v>-8227.0400000000009</v>
          </cell>
          <cell r="K520">
            <v>-172805.14</v>
          </cell>
        </row>
        <row r="521">
          <cell r="H521" t="str">
            <v>1740502014 (-)Depr-Contrapartida do AVP de Edificios</v>
          </cell>
          <cell r="I521">
            <v>-32836.800000000003</v>
          </cell>
          <cell r="J521">
            <v>-689.46</v>
          </cell>
          <cell r="K521">
            <v>-33526.26</v>
          </cell>
        </row>
        <row r="522">
          <cell r="H522" t="str">
            <v>1740502017 (-)Depr-CM dos Edificios-Dif IPC/BTNF L 8.200/1991</v>
          </cell>
          <cell r="I522">
            <v>0</v>
          </cell>
          <cell r="J522">
            <v>0</v>
          </cell>
          <cell r="K522">
            <v>0</v>
          </cell>
        </row>
        <row r="523">
          <cell r="G523" t="str">
            <v>1.7.4.05.02.02 - Benfeitorias</v>
          </cell>
          <cell r="I523">
            <v>-6659810.1100000003</v>
          </cell>
          <cell r="J523">
            <v>-43771.59</v>
          </cell>
          <cell r="K523">
            <v>-6703581.7000000002</v>
          </cell>
        </row>
        <row r="524">
          <cell r="H524" t="str">
            <v>1740502020 (-)Depreciaçao-Custo das Benfeitorias</v>
          </cell>
          <cell r="I524">
            <v>-6178887.8600000003</v>
          </cell>
          <cell r="J524">
            <v>-19756.53</v>
          </cell>
          <cell r="K524">
            <v>-6198644.3899999997</v>
          </cell>
        </row>
        <row r="525">
          <cell r="H525" t="str">
            <v>1740502021 (-)Depreciaçao-Mais Valia Benfeitorias</v>
          </cell>
          <cell r="I525">
            <v>-240289.88</v>
          </cell>
          <cell r="J525">
            <v>-12003.71</v>
          </cell>
          <cell r="K525">
            <v>-252293.59</v>
          </cell>
        </row>
        <row r="526">
          <cell r="H526" t="str">
            <v>1740502022 (-)Depreciaçao-Mais Valia Combin Neg Benfeitorias</v>
          </cell>
          <cell r="I526">
            <v>-240289.88</v>
          </cell>
          <cell r="J526">
            <v>-12003.71</v>
          </cell>
          <cell r="K526">
            <v>-252293.59</v>
          </cell>
        </row>
        <row r="527">
          <cell r="H527" t="str">
            <v>1740502024 (-)Depr-Contrapartida do AVP de Benfeitorias</v>
          </cell>
          <cell r="I527">
            <v>-342.49</v>
          </cell>
          <cell r="J527">
            <v>-7.64</v>
          </cell>
          <cell r="K527">
            <v>-350.13</v>
          </cell>
        </row>
        <row r="528">
          <cell r="H528" t="str">
            <v>1740502027 (-)Depr-CM das Benfeit-Dif IPC/BTNF L 8.200/1991</v>
          </cell>
          <cell r="I528">
            <v>0</v>
          </cell>
          <cell r="J528">
            <v>0</v>
          </cell>
          <cell r="K528">
            <v>0</v>
          </cell>
        </row>
        <row r="529">
          <cell r="F529" t="str">
            <v>1.7.4.05.03 - Equipamentos, Máquinas e Instal</v>
          </cell>
          <cell r="I529">
            <v>-535358893.43000001</v>
          </cell>
          <cell r="J529">
            <v>-2905234.08</v>
          </cell>
          <cell r="K529">
            <v>-538264127.50999999</v>
          </cell>
        </row>
        <row r="530">
          <cell r="G530" t="str">
            <v>1.7.4.05.03.01 - Equipamentos</v>
          </cell>
          <cell r="I530">
            <v>-525427270.13</v>
          </cell>
          <cell r="J530">
            <v>-2834765.67</v>
          </cell>
          <cell r="K530">
            <v>-528262035.80000001</v>
          </cell>
        </row>
        <row r="531">
          <cell r="H531" t="str">
            <v>1740503010 (-)Depreciaçao-Custo de Equipamentos</v>
          </cell>
          <cell r="I531">
            <v>-502416117.81999999</v>
          </cell>
          <cell r="J531">
            <v>-1786327.99</v>
          </cell>
          <cell r="K531">
            <v>-504202445.81</v>
          </cell>
        </row>
        <row r="532">
          <cell r="H532" t="str">
            <v>1740503011 (-)Depreciaçao-Mais Valia Equipamentos</v>
          </cell>
          <cell r="I532">
            <v>-10110504.189999999</v>
          </cell>
          <cell r="J532">
            <v>-505253.28</v>
          </cell>
          <cell r="K532">
            <v>-10615757.470000001</v>
          </cell>
        </row>
        <row r="533">
          <cell r="H533" t="str">
            <v>1740503012 (-)Depreciaçao-Mais Valia Combin Neg Equipamentos</v>
          </cell>
          <cell r="I533">
            <v>-10110504.189999999</v>
          </cell>
          <cell r="J533">
            <v>-505253.28</v>
          </cell>
          <cell r="K533">
            <v>-10615757.470000001</v>
          </cell>
        </row>
        <row r="534">
          <cell r="H534" t="str">
            <v>1740503014 (-)Depr-Contrapartida do AVP de Equipamentos</v>
          </cell>
          <cell r="I534">
            <v>-2790143.93</v>
          </cell>
          <cell r="J534">
            <v>-37931.120000000003</v>
          </cell>
          <cell r="K534">
            <v>-2828075.05</v>
          </cell>
        </row>
        <row r="535">
          <cell r="H535" t="str">
            <v>1740503017 (-)Depr-CM dos Equips-Dif IPC/BTNF Lei 8.200/1991</v>
          </cell>
          <cell r="I535">
            <v>0</v>
          </cell>
          <cell r="J535">
            <v>0</v>
          </cell>
          <cell r="K535">
            <v>0</v>
          </cell>
        </row>
        <row r="536">
          <cell r="G536" t="str">
            <v>1.7.4.05.03.02 - Sobressalentes</v>
          </cell>
          <cell r="I536">
            <v>-9931623.3000000007</v>
          </cell>
          <cell r="J536">
            <v>-70468.41</v>
          </cell>
          <cell r="K536">
            <v>-10002091.710000001</v>
          </cell>
        </row>
        <row r="537">
          <cell r="H537" t="str">
            <v>1740503020 (-)Depreciaçao-Custo dos Sobressalentes</v>
          </cell>
          <cell r="I537">
            <v>-9461765.2599999998</v>
          </cell>
          <cell r="J537">
            <v>-46975.99</v>
          </cell>
          <cell r="K537">
            <v>-9508741.25</v>
          </cell>
        </row>
        <row r="538">
          <cell r="H538" t="str">
            <v>1740503021 (-)Depreciaçao-Mais Valia Sobressalentes</v>
          </cell>
          <cell r="I538">
            <v>-234929.02</v>
          </cell>
          <cell r="J538">
            <v>-11746.21</v>
          </cell>
          <cell r="K538">
            <v>-246675.23</v>
          </cell>
        </row>
        <row r="539">
          <cell r="H539" t="str">
            <v>1740503022 (-)Depreciaçao-Mais Valia Combin Neg Sobressalente</v>
          </cell>
          <cell r="I539">
            <v>-234929.02</v>
          </cell>
          <cell r="J539">
            <v>-11746.21</v>
          </cell>
          <cell r="K539">
            <v>-246675.23</v>
          </cell>
        </row>
        <row r="540">
          <cell r="H540" t="str">
            <v>1740503024 (-)Depr-Contrapartida do AVP de Sobressalentes</v>
          </cell>
          <cell r="I540">
            <v>0</v>
          </cell>
          <cell r="J540">
            <v>0</v>
          </cell>
          <cell r="K540">
            <v>0</v>
          </cell>
        </row>
        <row r="541">
          <cell r="H541" t="str">
            <v>1740503027 (-)Depr-CM dos Sobress-Dif IPC/BTNF Lei 8.200/1991</v>
          </cell>
          <cell r="I541">
            <v>0</v>
          </cell>
          <cell r="J541">
            <v>0</v>
          </cell>
          <cell r="K541">
            <v>0</v>
          </cell>
        </row>
        <row r="542">
          <cell r="G542" t="str">
            <v>1.7.4.05.03.03 - Instalações Industriais</v>
          </cell>
          <cell r="I542">
            <v>0</v>
          </cell>
          <cell r="J542">
            <v>0</v>
          </cell>
          <cell r="K542">
            <v>0</v>
          </cell>
        </row>
        <row r="543">
          <cell r="H543" t="str">
            <v>1740503030 (-)Depreciaçao-Cto de Instalaçoes Industriais</v>
          </cell>
          <cell r="I543">
            <v>0</v>
          </cell>
          <cell r="J543">
            <v>0</v>
          </cell>
          <cell r="K543">
            <v>0</v>
          </cell>
        </row>
        <row r="544">
          <cell r="H544" t="str">
            <v>1740503034 (-)Depr-Contrapartida do AVP de Inst Indust</v>
          </cell>
          <cell r="I544">
            <v>0</v>
          </cell>
          <cell r="J544">
            <v>0</v>
          </cell>
          <cell r="K544">
            <v>0</v>
          </cell>
        </row>
        <row r="545">
          <cell r="H545" t="str">
            <v>1740503037 (-)Depr-CM das Inst Inds-Dif IPC/BTNF L 8.200/1991</v>
          </cell>
          <cell r="I545">
            <v>0</v>
          </cell>
          <cell r="J545">
            <v>0</v>
          </cell>
          <cell r="K545">
            <v>0</v>
          </cell>
        </row>
        <row r="546">
          <cell r="F546" t="str">
            <v>1.7.4.05.04 - Móveis, Utensílios e Instalaçõe</v>
          </cell>
          <cell r="I546">
            <v>-8640829.0199999996</v>
          </cell>
          <cell r="J546">
            <v>-55376.58</v>
          </cell>
          <cell r="K546">
            <v>-8696205.5999999996</v>
          </cell>
        </row>
        <row r="547">
          <cell r="G547" t="str">
            <v>1.7.4.05.04.1 - Móveis, Utensílios e Instalaç</v>
          </cell>
          <cell r="I547">
            <v>-8640829.0199999996</v>
          </cell>
          <cell r="J547">
            <v>-55376.58</v>
          </cell>
          <cell r="K547">
            <v>-8696205.5999999996</v>
          </cell>
        </row>
        <row r="548">
          <cell r="H548" t="str">
            <v>1740504010 (-)Depreciaçao-Custo dos Móveis, Utens e Inst Com</v>
          </cell>
          <cell r="I548">
            <v>-8626511.7699999996</v>
          </cell>
          <cell r="J548">
            <v>-54966.61</v>
          </cell>
          <cell r="K548">
            <v>-8681478.3800000008</v>
          </cell>
        </row>
        <row r="549">
          <cell r="H549" t="str">
            <v>1740504014 (-)Depr-Contrapartida do AVP de Móveis, Utens</v>
          </cell>
          <cell r="I549">
            <v>-14317.25</v>
          </cell>
          <cell r="J549">
            <v>-409.97</v>
          </cell>
          <cell r="K549">
            <v>-14727.22</v>
          </cell>
        </row>
        <row r="550">
          <cell r="G550" t="str">
            <v>1.7.4.05.04.05 - Móveis, Utensílios e Instala</v>
          </cell>
          <cell r="I550">
            <v>0</v>
          </cell>
          <cell r="J550">
            <v>0</v>
          </cell>
          <cell r="K550">
            <v>0</v>
          </cell>
        </row>
        <row r="551">
          <cell r="H551" t="str">
            <v>1740504050 (-)Depr-Custo de Moveis, Utensilios e Insts Com</v>
          </cell>
          <cell r="I551">
            <v>0</v>
          </cell>
          <cell r="J551">
            <v>0</v>
          </cell>
          <cell r="K551">
            <v>0</v>
          </cell>
        </row>
        <row r="552">
          <cell r="H552" t="str">
            <v>1740504054 (-)Depr-Contrap do AVP de Movs, Utens e Insts Com</v>
          </cell>
          <cell r="I552">
            <v>0</v>
          </cell>
          <cell r="J552">
            <v>0</v>
          </cell>
          <cell r="K552">
            <v>0</v>
          </cell>
        </row>
        <row r="553">
          <cell r="H553" t="str">
            <v>1740504057 (-)Depr-CM das Inst Com-Dif IPC/BTNF L 8.200/1991</v>
          </cell>
          <cell r="I553">
            <v>0</v>
          </cell>
          <cell r="J553">
            <v>0</v>
          </cell>
          <cell r="K553">
            <v>0</v>
          </cell>
        </row>
        <row r="554">
          <cell r="F554" t="str">
            <v>1.7.4.05.05 - Veículos</v>
          </cell>
          <cell r="I554">
            <v>-697563.25</v>
          </cell>
          <cell r="J554">
            <v>-18742.919999999998</v>
          </cell>
          <cell r="K554">
            <v>-716306.17</v>
          </cell>
        </row>
        <row r="555">
          <cell r="G555" t="str">
            <v>1.7.4.05.05.01 - Veículos de Passageiros e Ca</v>
          </cell>
          <cell r="I555">
            <v>-679741.32</v>
          </cell>
          <cell r="J555">
            <v>-18609.7</v>
          </cell>
          <cell r="K555">
            <v>-698351.02</v>
          </cell>
        </row>
        <row r="556">
          <cell r="H556" t="str">
            <v>1740505010 (-)Depr-Custo de Veiculos de Passageiros e Carga</v>
          </cell>
          <cell r="I556">
            <v>-677699.04</v>
          </cell>
          <cell r="J556">
            <v>-18521.62</v>
          </cell>
          <cell r="K556">
            <v>-696220.66</v>
          </cell>
        </row>
        <row r="557">
          <cell r="H557" t="str">
            <v>1740505011 (-)Depreciaçao-Mais Valia Veiculos</v>
          </cell>
          <cell r="I557">
            <v>-880.5</v>
          </cell>
          <cell r="J557">
            <v>-44.04</v>
          </cell>
          <cell r="K557">
            <v>-924.54</v>
          </cell>
        </row>
        <row r="558">
          <cell r="H558" t="str">
            <v>1740505012 (-)Depreciaçao-Mais Valia Combin Neg Veiculos</v>
          </cell>
          <cell r="I558">
            <v>-880.5</v>
          </cell>
          <cell r="J558">
            <v>-44.04</v>
          </cell>
          <cell r="K558">
            <v>-924.54</v>
          </cell>
        </row>
        <row r="559">
          <cell r="H559" t="str">
            <v>1740505014 (-)Depr-Contrapartida do AVP de Veículos</v>
          </cell>
          <cell r="I559">
            <v>-281.27999999999997</v>
          </cell>
          <cell r="J559">
            <v>0</v>
          </cell>
          <cell r="K559">
            <v>-281.27999999999997</v>
          </cell>
        </row>
        <row r="560">
          <cell r="G560" t="str">
            <v>1.7.4.05.05.02 - Veículos fora de estrada</v>
          </cell>
          <cell r="I560">
            <v>-17821.93</v>
          </cell>
          <cell r="J560">
            <v>-133.22</v>
          </cell>
          <cell r="K560">
            <v>-17955.150000000001</v>
          </cell>
        </row>
        <row r="561">
          <cell r="H561" t="str">
            <v>1740505020 (-)Depreciaçao-Custo de Veiculos Fora da Estrada</v>
          </cell>
          <cell r="I561">
            <v>-17821.93</v>
          </cell>
          <cell r="J561">
            <v>-133.22</v>
          </cell>
          <cell r="K561">
            <v>-17955.150000000001</v>
          </cell>
        </row>
        <row r="562">
          <cell r="H562" t="str">
            <v>1740505024 (-)Depr-Contrap do AVP de Veiculos Fora da Estrada</v>
          </cell>
          <cell r="I562">
            <v>0</v>
          </cell>
          <cell r="J562">
            <v>0</v>
          </cell>
          <cell r="K562">
            <v>0</v>
          </cell>
        </row>
        <row r="563">
          <cell r="H563" t="str">
            <v>1740505027 (-)Depr-CM dos Veic FE-Dif IPC/BTNF Lei 8.200/1991</v>
          </cell>
          <cell r="I563">
            <v>0</v>
          </cell>
          <cell r="J563">
            <v>0</v>
          </cell>
          <cell r="K563">
            <v>0</v>
          </cell>
        </row>
        <row r="564">
          <cell r="F564" t="str">
            <v>1.7.4.05.99 - Outras Imobilizações</v>
          </cell>
          <cell r="I564">
            <v>-7157384.6699999999</v>
          </cell>
          <cell r="J564">
            <v>-28743.599999999999</v>
          </cell>
          <cell r="K564">
            <v>-7186128.2699999996</v>
          </cell>
        </row>
        <row r="565">
          <cell r="G565" t="str">
            <v>1.7.4.05.99.07 - Computadores e Perifericos</v>
          </cell>
          <cell r="I565">
            <v>-7157384.6699999999</v>
          </cell>
          <cell r="J565">
            <v>-28743.599999999999</v>
          </cell>
          <cell r="K565">
            <v>-7186128.2699999996</v>
          </cell>
        </row>
        <row r="566">
          <cell r="H566" t="str">
            <v>1740599070 (-)Depreciaçao-Custo de Computadores e Perifericos</v>
          </cell>
          <cell r="I566">
            <v>-7133451.0800000001</v>
          </cell>
          <cell r="J566">
            <v>-28050.82</v>
          </cell>
          <cell r="K566">
            <v>-7161501.9000000004</v>
          </cell>
        </row>
        <row r="567">
          <cell r="H567" t="str">
            <v>1740599074 (-)Depr-Contrap do AVP dos Computad Perifericos</v>
          </cell>
          <cell r="I567">
            <v>-23933.59</v>
          </cell>
          <cell r="J567">
            <v>-692.78</v>
          </cell>
          <cell r="K567">
            <v>-24626.37</v>
          </cell>
        </row>
        <row r="568">
          <cell r="H568" t="str">
            <v>1740599077 (-)Depr-CM de Comp e Per-Dif IPC/BTNF L 8.200/1991</v>
          </cell>
          <cell r="I568">
            <v>0</v>
          </cell>
          <cell r="J568">
            <v>0</v>
          </cell>
          <cell r="K568">
            <v>0</v>
          </cell>
        </row>
        <row r="569">
          <cell r="D569" t="str">
            <v>1.7.4.49 - Tributos Diferidos s/Mais Valia de</v>
          </cell>
          <cell r="I569">
            <v>0</v>
          </cell>
          <cell r="J569">
            <v>0</v>
          </cell>
          <cell r="K569">
            <v>0</v>
          </cell>
        </row>
        <row r="570">
          <cell r="F570" t="str">
            <v>1.7.4.49.01 - Tributos Diferidos s/Mais Valia</v>
          </cell>
          <cell r="I570">
            <v>0</v>
          </cell>
          <cell r="J570">
            <v>0</v>
          </cell>
          <cell r="K570">
            <v>0</v>
          </cell>
        </row>
        <row r="571">
          <cell r="G571" t="str">
            <v>1.7.4.49.01.01 - Tributos Diferidos s/Mais Va</v>
          </cell>
          <cell r="I571">
            <v>0</v>
          </cell>
          <cell r="J571">
            <v>0</v>
          </cell>
          <cell r="K571">
            <v>0</v>
          </cell>
        </row>
        <row r="572">
          <cell r="H572" t="str">
            <v>1744901010 Trib Diferidos s/Mais Valia de Ativos Imob (Realiz</v>
          </cell>
          <cell r="I572">
            <v>0</v>
          </cell>
          <cell r="J572">
            <v>0</v>
          </cell>
          <cell r="K572">
            <v>0</v>
          </cell>
        </row>
        <row r="573">
          <cell r="G573" t="str">
            <v>1.7.4.49.01.02 - Tributos Diferidos s/Mais Va</v>
          </cell>
          <cell r="I573">
            <v>0</v>
          </cell>
          <cell r="J573">
            <v>0</v>
          </cell>
          <cell r="K573">
            <v>0</v>
          </cell>
        </row>
        <row r="574">
          <cell r="H574" t="str">
            <v>1744901020 Trib Diferidos s/Mais Valia CN Ativos Imob (Realiz</v>
          </cell>
          <cell r="I574">
            <v>0</v>
          </cell>
          <cell r="J574">
            <v>0</v>
          </cell>
          <cell r="K574">
            <v>0</v>
          </cell>
        </row>
        <row r="575">
          <cell r="D575" t="str">
            <v>1.7.4.50 - Imobilizado em Andamento</v>
          </cell>
          <cell r="I575">
            <v>34910175.270000003</v>
          </cell>
          <cell r="J575">
            <v>-4233444.26</v>
          </cell>
          <cell r="K575">
            <v>30676731.010000002</v>
          </cell>
        </row>
        <row r="576">
          <cell r="F576" t="str">
            <v>1.7.4.50.01 - Aquisições de Imobilizado (Rece</v>
          </cell>
          <cell r="I576">
            <v>29400393.079999998</v>
          </cell>
          <cell r="J576">
            <v>-4048492.11</v>
          </cell>
          <cell r="K576">
            <v>25351900.969999999</v>
          </cell>
        </row>
        <row r="577">
          <cell r="G577" t="str">
            <v>1.7.4.50.01.01 - Aquisições de Imobilizado</v>
          </cell>
          <cell r="I577">
            <v>28956315.289999999</v>
          </cell>
          <cell r="J577">
            <v>-4173458.73</v>
          </cell>
          <cell r="K577">
            <v>24782856.559999999</v>
          </cell>
        </row>
        <row r="578">
          <cell r="H578" t="str">
            <v>1745001010 Imob Andament-Custo das Aquisiçoes p/Imob (Receb)</v>
          </cell>
          <cell r="I578">
            <v>28830141.550000001</v>
          </cell>
          <cell r="J578">
            <v>-4159676.9</v>
          </cell>
          <cell r="K578">
            <v>24670464.649999999</v>
          </cell>
        </row>
        <row r="579">
          <cell r="H579" t="str">
            <v>1745001014 Contrapartida dos Aj a Vr Presente de IeA</v>
          </cell>
          <cell r="I579">
            <v>126173.74</v>
          </cell>
          <cell r="J579">
            <v>-13781.83</v>
          </cell>
          <cell r="K579">
            <v>112391.91</v>
          </cell>
        </row>
        <row r="580">
          <cell r="G580" t="str">
            <v>1.7.4.50.01.02 - Aquisição de Sobressalentes</v>
          </cell>
          <cell r="I580">
            <v>444077.79</v>
          </cell>
          <cell r="J580">
            <v>124966.62</v>
          </cell>
          <cell r="K580">
            <v>569044.41</v>
          </cell>
        </row>
        <row r="581">
          <cell r="H581" t="str">
            <v>1745001020 Imob And-Cto das Aquisiç de Sobres de Imob (Receb)</v>
          </cell>
          <cell r="I581">
            <v>444077.79</v>
          </cell>
          <cell r="J581">
            <v>124966.62</v>
          </cell>
          <cell r="K581">
            <v>569044.41</v>
          </cell>
        </row>
        <row r="582">
          <cell r="F582" t="str">
            <v>1.7.4.50.02 - Aquisições de Imobilizado (em t</v>
          </cell>
          <cell r="I582">
            <v>735073.51</v>
          </cell>
          <cell r="J582">
            <v>-184952.15</v>
          </cell>
          <cell r="K582">
            <v>550121.36</v>
          </cell>
        </row>
        <row r="583">
          <cell r="G583" t="str">
            <v>1.7.4.50.02.02 - Importações em Andamento p/A</v>
          </cell>
          <cell r="I583">
            <v>0</v>
          </cell>
          <cell r="J583">
            <v>0</v>
          </cell>
          <cell r="K583">
            <v>0</v>
          </cell>
        </row>
        <row r="584">
          <cell r="H584" t="str">
            <v>1745002020 Imob And-Cto das Imp em Andam p/Aquis de Imob (T)</v>
          </cell>
          <cell r="I584">
            <v>0</v>
          </cell>
          <cell r="J584">
            <v>0</v>
          </cell>
          <cell r="K584">
            <v>0</v>
          </cell>
        </row>
        <row r="585">
          <cell r="G585" t="str">
            <v>1.7.4.50.02.03 - Adiantamentos p/Aquisições d</v>
          </cell>
          <cell r="I585">
            <v>735073.51</v>
          </cell>
          <cell r="J585">
            <v>-184952.15</v>
          </cell>
          <cell r="K585">
            <v>550121.36</v>
          </cell>
        </row>
        <row r="586">
          <cell r="H586" t="str">
            <v>1745002030 Imob And-Cto dos Adiants p/Aquis de Imobiliz (T)</v>
          </cell>
          <cell r="I586">
            <v>735073.51</v>
          </cell>
          <cell r="J586">
            <v>-184952.15</v>
          </cell>
          <cell r="K586">
            <v>550121.36</v>
          </cell>
        </row>
        <row r="587">
          <cell r="H587" t="str">
            <v>1745002031 Imob And-Tran de Adto p/Aquis Imob Reconcil (T)</v>
          </cell>
          <cell r="I587">
            <v>0</v>
          </cell>
          <cell r="J587">
            <v>0</v>
          </cell>
          <cell r="K587">
            <v>0</v>
          </cell>
        </row>
        <row r="588">
          <cell r="H588" t="str">
            <v>1745002032 Imob And-Tran de Adto p/Aquis de Imob Razao (T)</v>
          </cell>
          <cell r="I588">
            <v>0</v>
          </cell>
          <cell r="J588">
            <v>0</v>
          </cell>
          <cell r="K588">
            <v>0</v>
          </cell>
        </row>
        <row r="589">
          <cell r="G589" t="str">
            <v>1.7.4.50.02.04 - Aquisições p/Entrega Futura</v>
          </cell>
          <cell r="I589">
            <v>0</v>
          </cell>
          <cell r="J589">
            <v>0</v>
          </cell>
          <cell r="K589">
            <v>0</v>
          </cell>
        </row>
        <row r="590">
          <cell r="H590" t="str">
            <v>1745002040 Imob And-Cto dos Aquis p/Entrega Fut de Imob (T)</v>
          </cell>
          <cell r="I590">
            <v>0</v>
          </cell>
          <cell r="J590">
            <v>0</v>
          </cell>
          <cell r="K590">
            <v>0</v>
          </cell>
        </row>
        <row r="591">
          <cell r="F591" t="str">
            <v>1.7.4.50.99 - Encargos Financeiros s/Aquisiçã</v>
          </cell>
          <cell r="I591">
            <v>4774708.68</v>
          </cell>
          <cell r="J591">
            <v>0</v>
          </cell>
          <cell r="K591">
            <v>4774708.68</v>
          </cell>
        </row>
        <row r="592">
          <cell r="G592" t="str">
            <v>1.7.4.50.99.01 - Juros</v>
          </cell>
          <cell r="I592">
            <v>2754919.23</v>
          </cell>
          <cell r="J592">
            <v>0</v>
          </cell>
          <cell r="K592">
            <v>2754919.23</v>
          </cell>
        </row>
        <row r="593">
          <cell r="H593" t="str">
            <v>1745099010 Imob And-Encar Fin s/ Aquis de Imob-Juros (Realiz)</v>
          </cell>
          <cell r="I593">
            <v>2754919.23</v>
          </cell>
          <cell r="J593">
            <v>0</v>
          </cell>
          <cell r="K593">
            <v>2754919.23</v>
          </cell>
        </row>
        <row r="594">
          <cell r="G594" t="str">
            <v>1.7.4.50.99.03 - Variação Cambial</v>
          </cell>
          <cell r="I594">
            <v>2019789.45</v>
          </cell>
          <cell r="J594">
            <v>0</v>
          </cell>
          <cell r="K594">
            <v>2019789.45</v>
          </cell>
        </row>
        <row r="595">
          <cell r="H595" t="str">
            <v>1745099030 Imob And-Encar Fin s/ Aquis de Imob-Var Cam (R)</v>
          </cell>
          <cell r="I595">
            <v>2019789.45</v>
          </cell>
          <cell r="J595">
            <v>0</v>
          </cell>
          <cell r="K595">
            <v>2019789.45</v>
          </cell>
        </row>
        <row r="596">
          <cell r="C596" t="str">
            <v>1.7.5 - INTANGÍVEL</v>
          </cell>
          <cell r="I596">
            <v>287047601.49000001</v>
          </cell>
          <cell r="J596">
            <v>-280665.53000000003</v>
          </cell>
          <cell r="K596">
            <v>286766935.95999998</v>
          </cell>
        </row>
        <row r="597">
          <cell r="D597" t="str">
            <v>1.7.5.01 - Intangível em Operação</v>
          </cell>
          <cell r="I597">
            <v>293141268.81999999</v>
          </cell>
          <cell r="J597">
            <v>0</v>
          </cell>
          <cell r="K597">
            <v>293141268.81999999</v>
          </cell>
        </row>
        <row r="598">
          <cell r="F598" t="str">
            <v>1.7.5.01.01 - Marcas e Patentes</v>
          </cell>
          <cell r="I598">
            <v>1385.16</v>
          </cell>
          <cell r="J598">
            <v>0</v>
          </cell>
          <cell r="K598">
            <v>1385.16</v>
          </cell>
        </row>
        <row r="599">
          <cell r="G599" t="str">
            <v>1.7.5.01.01.01 - Marcas e Patentes</v>
          </cell>
          <cell r="I599">
            <v>1385.16</v>
          </cell>
          <cell r="J599">
            <v>0</v>
          </cell>
          <cell r="K599">
            <v>1385.16</v>
          </cell>
        </row>
        <row r="600">
          <cell r="H600" t="str">
            <v>1750101010 Intangivel Op-Custo das Marcas e Patentes</v>
          </cell>
          <cell r="I600">
            <v>1385.16</v>
          </cell>
          <cell r="J600">
            <v>0</v>
          </cell>
          <cell r="K600">
            <v>1385.16</v>
          </cell>
        </row>
        <row r="601">
          <cell r="F601" t="str">
            <v>1.7.5.01.02 - Software ou Programas de Comput</v>
          </cell>
          <cell r="I601">
            <v>19945126.050000001</v>
          </cell>
          <cell r="J601">
            <v>0</v>
          </cell>
          <cell r="K601">
            <v>19945126.050000001</v>
          </cell>
        </row>
        <row r="602">
          <cell r="G602" t="str">
            <v>1.7.5.01.02.01 - Software ou Programas de Com</v>
          </cell>
          <cell r="I602">
            <v>19945126.050000001</v>
          </cell>
          <cell r="J602">
            <v>0</v>
          </cell>
          <cell r="K602">
            <v>19945126.050000001</v>
          </cell>
        </row>
        <row r="603">
          <cell r="H603" t="str">
            <v>1750102010 Intangivel Op-Cto das Software ou Prog de Comput</v>
          </cell>
          <cell r="I603">
            <v>19883267.920000002</v>
          </cell>
          <cell r="J603">
            <v>0</v>
          </cell>
          <cell r="K603">
            <v>19883267.920000002</v>
          </cell>
        </row>
        <row r="604">
          <cell r="H604" t="str">
            <v>1750102014 Intangivel Op-AV de Software ou Prog de Comput</v>
          </cell>
          <cell r="I604">
            <v>61858.13</v>
          </cell>
          <cell r="J604">
            <v>0</v>
          </cell>
          <cell r="K604">
            <v>61858.13</v>
          </cell>
        </row>
        <row r="605">
          <cell r="F605" t="str">
            <v>1.7.5.01.03 - Carteira de Clientes</v>
          </cell>
          <cell r="I605">
            <v>212000</v>
          </cell>
          <cell r="J605">
            <v>0</v>
          </cell>
          <cell r="K605">
            <v>212000</v>
          </cell>
        </row>
        <row r="606">
          <cell r="G606" t="str">
            <v>1.7.5.01.03.01 - Carteira de Clientes</v>
          </cell>
          <cell r="I606">
            <v>212000</v>
          </cell>
          <cell r="J606">
            <v>0</v>
          </cell>
          <cell r="K606">
            <v>212000</v>
          </cell>
        </row>
        <row r="607">
          <cell r="H607" t="str">
            <v>1750103010 Intangivel Op-Carteira de Clientes (R)</v>
          </cell>
          <cell r="I607">
            <v>0</v>
          </cell>
          <cell r="J607">
            <v>0</v>
          </cell>
          <cell r="K607">
            <v>0</v>
          </cell>
        </row>
        <row r="608">
          <cell r="H608" t="str">
            <v>1750103011 Intangivel Op-Mais Valia de Carteira de Clientes</v>
          </cell>
          <cell r="I608">
            <v>106000</v>
          </cell>
          <cell r="J608">
            <v>0</v>
          </cell>
          <cell r="K608">
            <v>106000</v>
          </cell>
        </row>
        <row r="609">
          <cell r="H609" t="str">
            <v>1750103012 Intangivel Op-Mais Valia de Carteira Clientes C N</v>
          </cell>
          <cell r="I609">
            <v>106000</v>
          </cell>
          <cell r="J609">
            <v>0</v>
          </cell>
          <cell r="K609">
            <v>106000</v>
          </cell>
        </row>
        <row r="610">
          <cell r="F610" t="str">
            <v>1.7.5.01.90 - Mais Valia Ativo Não Alocada</v>
          </cell>
          <cell r="I610">
            <v>272982757.61000001</v>
          </cell>
          <cell r="J610">
            <v>0</v>
          </cell>
          <cell r="K610">
            <v>272982757.61000001</v>
          </cell>
        </row>
        <row r="611">
          <cell r="G611" t="str">
            <v>1.7.5.01.90.01 - Mais Valia Ativo Não Alocada</v>
          </cell>
          <cell r="I611">
            <v>312739046.87</v>
          </cell>
          <cell r="J611">
            <v>0</v>
          </cell>
          <cell r="K611">
            <v>312739046.87</v>
          </cell>
        </row>
        <row r="612">
          <cell r="H612" t="str">
            <v>1750190011 Intangivel Op-Mais Valia Ativ n Alocados</v>
          </cell>
          <cell r="I612">
            <v>116930262.52</v>
          </cell>
          <cell r="J612">
            <v>0</v>
          </cell>
          <cell r="K612">
            <v>116930262.52</v>
          </cell>
        </row>
        <row r="613">
          <cell r="H613" t="str">
            <v>1750190012 Intangivel Op-Mais Valia C N Ativ n Alocados</v>
          </cell>
          <cell r="I613">
            <v>195808784.34999999</v>
          </cell>
          <cell r="J613">
            <v>0</v>
          </cell>
          <cell r="K613">
            <v>195808784.34999999</v>
          </cell>
        </row>
        <row r="614">
          <cell r="G614" t="str">
            <v>1.7.5.01.90.02 - Trib Dif Mais Val Ativo N Al</v>
          </cell>
          <cell r="I614">
            <v>-39756289.259999998</v>
          </cell>
          <cell r="J614">
            <v>0</v>
          </cell>
          <cell r="K614">
            <v>-39756289.259999998</v>
          </cell>
        </row>
        <row r="615">
          <cell r="H615" t="str">
            <v>1750190021 Intangivel Op-Tribs Dif S/Mais Valia de Ativos (R)</v>
          </cell>
          <cell r="I615">
            <v>-39756289.259999998</v>
          </cell>
          <cell r="J615">
            <v>0</v>
          </cell>
          <cell r="K615">
            <v>-39756289.259999998</v>
          </cell>
        </row>
        <row r="616">
          <cell r="H616" t="str">
            <v>1750190022 Intangivel Op-Tribs Dif S/Mais Valia Ativos CN (R)</v>
          </cell>
          <cell r="I616">
            <v>0</v>
          </cell>
          <cell r="J616">
            <v>0</v>
          </cell>
          <cell r="K616">
            <v>0</v>
          </cell>
        </row>
        <row r="617">
          <cell r="D617" t="str">
            <v>1.7.5.06 (-) Amortização do Intangível</v>
          </cell>
          <cell r="I617">
            <v>-6093667.3300000001</v>
          </cell>
          <cell r="J617">
            <v>-280665.53000000003</v>
          </cell>
          <cell r="K617">
            <v>-6374332.8600000003</v>
          </cell>
        </row>
        <row r="618">
          <cell r="F618" t="str">
            <v>1.7.5.06.02 (-) Amortização de Software ou Pr</v>
          </cell>
          <cell r="I618">
            <v>-5881667.3300000001</v>
          </cell>
          <cell r="J618">
            <v>-280665.53000000003</v>
          </cell>
          <cell r="K618">
            <v>-6162332.8600000003</v>
          </cell>
        </row>
        <row r="619">
          <cell r="G619" t="str">
            <v>1.7.5.06.02.01 (-) Amortização de Software ou</v>
          </cell>
          <cell r="I619">
            <v>-5881667.3300000001</v>
          </cell>
          <cell r="J619">
            <v>-280665.53000000003</v>
          </cell>
          <cell r="K619">
            <v>-6162332.8600000003</v>
          </cell>
        </row>
        <row r="620">
          <cell r="H620" t="str">
            <v>1750602010 (-)Amort-Cto dos Software ou Programas de Comput</v>
          </cell>
          <cell r="I620">
            <v>-5870747.6399999997</v>
          </cell>
          <cell r="J620">
            <v>-279628.59000000003</v>
          </cell>
          <cell r="K620">
            <v>-6150376.2300000004</v>
          </cell>
        </row>
        <row r="621">
          <cell r="H621" t="str">
            <v>1750602014 (-)Amort-Contrapartida do AVP de Softwares</v>
          </cell>
          <cell r="I621">
            <v>-10919.69</v>
          </cell>
          <cell r="J621">
            <v>-1036.94</v>
          </cell>
          <cell r="K621">
            <v>-11956.63</v>
          </cell>
        </row>
        <row r="622">
          <cell r="F622" t="str">
            <v>1.7.5.06.03 - (-) Amortização da Carteira de</v>
          </cell>
          <cell r="I622">
            <v>-212000</v>
          </cell>
          <cell r="J622">
            <v>0</v>
          </cell>
          <cell r="K622">
            <v>-212000</v>
          </cell>
        </row>
        <row r="623">
          <cell r="G623" t="str">
            <v>1.7.5.06.03.01 - (-) Amortização da Carteira</v>
          </cell>
          <cell r="I623">
            <v>-212000</v>
          </cell>
          <cell r="J623">
            <v>0</v>
          </cell>
          <cell r="K623">
            <v>-212000</v>
          </cell>
        </row>
        <row r="624">
          <cell r="H624" t="str">
            <v>1750603011 (-)Amort-Mais Valia Carteira de Clientes</v>
          </cell>
          <cell r="I624">
            <v>-106000</v>
          </cell>
          <cell r="J624">
            <v>0</v>
          </cell>
          <cell r="K624">
            <v>-106000</v>
          </cell>
        </row>
        <row r="625">
          <cell r="H625" t="str">
            <v>1750603012 (-)Amort-Mais Valia C N Carteira de Clientes</v>
          </cell>
          <cell r="I625">
            <v>-106000</v>
          </cell>
          <cell r="J625">
            <v>0</v>
          </cell>
          <cell r="K625">
            <v>-106000</v>
          </cell>
        </row>
        <row r="626">
          <cell r="D626" t="str">
            <v>1.7.5.49 - Efeito Trib Dif s/Mais Val At Aloc</v>
          </cell>
          <cell r="I626">
            <v>0</v>
          </cell>
          <cell r="J626">
            <v>0</v>
          </cell>
          <cell r="K626">
            <v>0</v>
          </cell>
        </row>
        <row r="627">
          <cell r="F627" t="str">
            <v>1.7.5.49.00 - Intang Const p/Trib Dif MV Aloc</v>
          </cell>
          <cell r="I627">
            <v>0</v>
          </cell>
          <cell r="J627">
            <v>0</v>
          </cell>
          <cell r="K627">
            <v>0</v>
          </cell>
        </row>
        <row r="628">
          <cell r="G628" t="str">
            <v>1.7.5.49.00.01 - Int Const p/Trib Dif MV Aloc</v>
          </cell>
          <cell r="I628">
            <v>0</v>
          </cell>
          <cell r="J628">
            <v>0</v>
          </cell>
          <cell r="K628">
            <v>0</v>
          </cell>
        </row>
        <row r="629">
          <cell r="H629" t="str">
            <v>1754900010 Int const c/Trib Dif s/Mais Valia Ativos(Real)</v>
          </cell>
          <cell r="I629">
            <v>0</v>
          </cell>
          <cell r="J629">
            <v>0</v>
          </cell>
          <cell r="K629">
            <v>0</v>
          </cell>
        </row>
        <row r="630">
          <cell r="G630" t="str">
            <v>1.7.5.49.00.02 - Intan Cons p/Tribs Dif MV CN</v>
          </cell>
          <cell r="I630">
            <v>0</v>
          </cell>
          <cell r="J630">
            <v>0</v>
          </cell>
          <cell r="K630">
            <v>0</v>
          </cell>
        </row>
        <row r="631">
          <cell r="H631" t="str">
            <v>1754900020 Int const p/trib Dif s/Mais Valia Ativos CN (Real)</v>
          </cell>
          <cell r="I631">
            <v>0</v>
          </cell>
          <cell r="J631">
            <v>0</v>
          </cell>
          <cell r="K631">
            <v>0</v>
          </cell>
        </row>
        <row r="632">
          <cell r="F632" t="str">
            <v>1.7.5.49.01 - Tribs Dif s/Mais Val Ativo Aloc</v>
          </cell>
          <cell r="I632">
            <v>0</v>
          </cell>
          <cell r="J632">
            <v>0</v>
          </cell>
          <cell r="K632">
            <v>0</v>
          </cell>
        </row>
        <row r="633">
          <cell r="G633" t="str">
            <v>1.7.5.49.01.01 - Trib Dif s/Mais Val Ativ Alo</v>
          </cell>
          <cell r="I633">
            <v>0</v>
          </cell>
          <cell r="J633">
            <v>0</v>
          </cell>
          <cell r="K633">
            <v>0</v>
          </cell>
        </row>
        <row r="634">
          <cell r="H634" t="str">
            <v>1754901010 Trib Diferidos s/Mais Valia de Ativos Imob (Realiz</v>
          </cell>
          <cell r="I634">
            <v>0</v>
          </cell>
          <cell r="J634">
            <v>0</v>
          </cell>
          <cell r="K634">
            <v>0</v>
          </cell>
        </row>
        <row r="635">
          <cell r="G635" t="str">
            <v>1.7.5.49.01.02 - Trib Dif s/Mais Val At Al CN</v>
          </cell>
          <cell r="I635">
            <v>0</v>
          </cell>
          <cell r="J635">
            <v>0</v>
          </cell>
          <cell r="K635">
            <v>0</v>
          </cell>
        </row>
        <row r="636">
          <cell r="H636" t="str">
            <v>1754901020 Trib Diferidos s/Mais Valia CN Ativos Imob (Realiz</v>
          </cell>
          <cell r="I636">
            <v>-73566198.099999994</v>
          </cell>
          <cell r="J636">
            <v>183131.61</v>
          </cell>
          <cell r="K636">
            <v>-73383066.489999995</v>
          </cell>
        </row>
        <row r="637">
          <cell r="H637" t="str">
            <v>1754901021 Trib Diferidos s/Mais Valia CN At Imob (Tr Passivo</v>
          </cell>
          <cell r="I637">
            <v>73566198.099999994</v>
          </cell>
          <cell r="J637">
            <v>-183131.61</v>
          </cell>
          <cell r="K637">
            <v>73383066.489999995</v>
          </cell>
        </row>
        <row r="638">
          <cell r="I638">
            <v>0</v>
          </cell>
          <cell r="J638">
            <v>0</v>
          </cell>
          <cell r="K638">
            <v>0</v>
          </cell>
        </row>
        <row r="639">
          <cell r="C639" t="str">
            <v>1.9.1 - Cta Contrapartida entrada Aquis de At</v>
          </cell>
          <cell r="I639">
            <v>0</v>
          </cell>
          <cell r="J639">
            <v>0</v>
          </cell>
          <cell r="K639">
            <v>0</v>
          </cell>
        </row>
        <row r="640">
          <cell r="D640" t="str">
            <v>1.9.1.01 - Cta Contrap entr Aquis de Ativo</v>
          </cell>
          <cell r="I640">
            <v>0</v>
          </cell>
          <cell r="J640">
            <v>0</v>
          </cell>
          <cell r="K640">
            <v>0</v>
          </cell>
        </row>
        <row r="641">
          <cell r="F641" t="str">
            <v>1.9.1.01.01 - Cta Contrap entr Aquis de Ativo</v>
          </cell>
          <cell r="I641">
            <v>0</v>
          </cell>
          <cell r="J641">
            <v>0</v>
          </cell>
          <cell r="K641">
            <v>0</v>
          </cell>
        </row>
        <row r="642">
          <cell r="G642" t="str">
            <v>1.9.1.01.01.01 - Cta Contrap entr Aquis de At</v>
          </cell>
          <cell r="I642">
            <v>0</v>
          </cell>
          <cell r="J642">
            <v>0</v>
          </cell>
          <cell r="K642">
            <v>0</v>
          </cell>
        </row>
        <row r="643">
          <cell r="H643" t="str">
            <v>1910101010 Cta. Contrapartida entrada Aquis de Ativos</v>
          </cell>
          <cell r="I643">
            <v>0</v>
          </cell>
          <cell r="J643">
            <v>0</v>
          </cell>
          <cell r="K643">
            <v>0</v>
          </cell>
        </row>
        <row r="644">
          <cell r="I644">
            <v>-1742435835.28</v>
          </cell>
          <cell r="J644">
            <v>-2767816.69</v>
          </cell>
          <cell r="K644">
            <v>-1745203651.97</v>
          </cell>
        </row>
        <row r="645">
          <cell r="I645">
            <v>-277714415.79000002</v>
          </cell>
          <cell r="J645">
            <v>-909288.46</v>
          </cell>
          <cell r="K645">
            <v>-278623704.25</v>
          </cell>
        </row>
        <row r="646">
          <cell r="C646" t="str">
            <v>2.1.1 - OBRIGAÇÕES DE CURTO PRAZO</v>
          </cell>
          <cell r="I646">
            <v>-277714415.79000002</v>
          </cell>
          <cell r="J646">
            <v>-909288.46</v>
          </cell>
          <cell r="K646">
            <v>-278623704.25</v>
          </cell>
        </row>
        <row r="647">
          <cell r="D647" t="str">
            <v>2.1.1.01 - Fornecedores</v>
          </cell>
          <cell r="I647">
            <v>-31545320.780000001</v>
          </cell>
          <cell r="J647">
            <v>9450238.1699999999</v>
          </cell>
          <cell r="K647">
            <v>-22095082.609999999</v>
          </cell>
        </row>
        <row r="648">
          <cell r="F648" t="str">
            <v>2.1.1.01.01 - Fornecedores Nacionais</v>
          </cell>
          <cell r="I648">
            <v>-29521191.300000001</v>
          </cell>
          <cell r="J648">
            <v>8917523</v>
          </cell>
          <cell r="K648">
            <v>-20603668.300000001</v>
          </cell>
        </row>
        <row r="649">
          <cell r="G649" t="str">
            <v>2.1.1.01.01.01 - Fornecedores Nacionais Servi</v>
          </cell>
          <cell r="I649">
            <v>-2507853.08</v>
          </cell>
          <cell r="J649">
            <v>742850.78</v>
          </cell>
          <cell r="K649">
            <v>-1765002.3</v>
          </cell>
        </row>
        <row r="650">
          <cell r="H650" t="str">
            <v>2110101010 Fornecedores Nacionais de Serviços (Realizado)</v>
          </cell>
          <cell r="I650">
            <v>-2507853.08</v>
          </cell>
          <cell r="J650">
            <v>742850.78</v>
          </cell>
          <cell r="K650">
            <v>-1765002.3</v>
          </cell>
        </row>
        <row r="651">
          <cell r="G651" t="str">
            <v>2.1.1.01.01.02 - Fornecedores  Nacionais de M</v>
          </cell>
          <cell r="I651">
            <v>-4589033.1900000004</v>
          </cell>
          <cell r="J651">
            <v>760130.69</v>
          </cell>
          <cell r="K651">
            <v>-3828902.5</v>
          </cell>
        </row>
        <row r="652">
          <cell r="H652" t="str">
            <v>2110101020 Fornecedores Nacionais de MP (Realizado)</v>
          </cell>
          <cell r="I652">
            <v>-4589033.1900000004</v>
          </cell>
          <cell r="J652">
            <v>760130.69</v>
          </cell>
          <cell r="K652">
            <v>-3828902.5</v>
          </cell>
        </row>
        <row r="653">
          <cell r="G653" t="str">
            <v>2.1.1.01.01.03 - Fornecedores  Nacionais de E</v>
          </cell>
          <cell r="I653">
            <v>-14139303.050000001</v>
          </cell>
          <cell r="J653">
            <v>6523325.5199999996</v>
          </cell>
          <cell r="K653">
            <v>-7615977.5300000003</v>
          </cell>
        </row>
        <row r="654">
          <cell r="H654" t="str">
            <v>2110101030 Fornecedores Nacionais de Energia (Realizado)</v>
          </cell>
          <cell r="I654">
            <v>-14139303.050000001</v>
          </cell>
          <cell r="J654">
            <v>6523325.5199999996</v>
          </cell>
          <cell r="K654">
            <v>-7615977.5300000003</v>
          </cell>
        </row>
        <row r="655">
          <cell r="G655" t="str">
            <v>2.1.1.01.01.04 - Fornecedores  Nacionais de M</v>
          </cell>
          <cell r="I655">
            <v>-1560432.37</v>
          </cell>
          <cell r="J655">
            <v>340629.06</v>
          </cell>
          <cell r="K655">
            <v>-1219803.31</v>
          </cell>
        </row>
        <row r="656">
          <cell r="H656" t="str">
            <v>2110101040 Fornecedores Nacionais de Mat de Cons(Realizado)</v>
          </cell>
          <cell r="I656">
            <v>-1560432.37</v>
          </cell>
          <cell r="J656">
            <v>340629.06</v>
          </cell>
          <cell r="K656">
            <v>-1219803.31</v>
          </cell>
        </row>
        <row r="657">
          <cell r="G657" t="str">
            <v>2.1.1.01.01.05 - Fornecedores  Nacionais  Fun</v>
          </cell>
          <cell r="I657">
            <v>-8119.26</v>
          </cell>
          <cell r="J657">
            <v>27756.25</v>
          </cell>
          <cell r="K657">
            <v>19636.990000000002</v>
          </cell>
        </row>
        <row r="658">
          <cell r="H658" t="str">
            <v>2110101050 Fornecedores Nacionais Funcionarios (Realizado)</v>
          </cell>
          <cell r="I658">
            <v>-8119.26</v>
          </cell>
          <cell r="J658">
            <v>27756.25</v>
          </cell>
          <cell r="K658">
            <v>19636.990000000002</v>
          </cell>
        </row>
        <row r="659">
          <cell r="G659" t="str">
            <v>2.1.1.01.01.06 - Fornecedores  Nacionais  Imp</v>
          </cell>
          <cell r="I659">
            <v>-2252993.0499999998</v>
          </cell>
          <cell r="J659">
            <v>880137.2</v>
          </cell>
          <cell r="K659">
            <v>-1372855.85</v>
          </cell>
        </row>
        <row r="660">
          <cell r="H660" t="str">
            <v>2110101060 Fornecedores Nacionais Imps e Contrib (Realizado)</v>
          </cell>
          <cell r="I660">
            <v>-2252993.0499999998</v>
          </cell>
          <cell r="J660">
            <v>880137.2</v>
          </cell>
          <cell r="K660">
            <v>-1372855.85</v>
          </cell>
        </row>
        <row r="661">
          <cell r="G661" t="str">
            <v>2.1.1.01.01.07 - Fornecedores Nacionais de Fr</v>
          </cell>
          <cell r="I661">
            <v>-4463457.3</v>
          </cell>
          <cell r="J661">
            <v>-357306.5</v>
          </cell>
          <cell r="K661">
            <v>-4820763.8</v>
          </cell>
        </row>
        <row r="662">
          <cell r="H662" t="str">
            <v>2110101070 Fornecedores Nacionais de Fretes (Realizado)</v>
          </cell>
          <cell r="I662">
            <v>-4463457.3</v>
          </cell>
          <cell r="J662">
            <v>-357306.5</v>
          </cell>
          <cell r="K662">
            <v>-4820763.8</v>
          </cell>
        </row>
        <row r="663">
          <cell r="G663" t="str">
            <v>2.1.1.01.01.99 - Fornecedores Nacionais Outro</v>
          </cell>
          <cell r="I663">
            <v>0</v>
          </cell>
          <cell r="J663">
            <v>0</v>
          </cell>
          <cell r="K663">
            <v>0</v>
          </cell>
        </row>
        <row r="664">
          <cell r="H664" t="str">
            <v>2110101990 Fornecedores Nacionais Outros (Realizado)</v>
          </cell>
          <cell r="I664">
            <v>0</v>
          </cell>
          <cell r="J664">
            <v>0</v>
          </cell>
          <cell r="K664">
            <v>0</v>
          </cell>
        </row>
        <row r="665">
          <cell r="F665" t="str">
            <v>2.1.1.01.02 - Fornecedores do Exterior</v>
          </cell>
          <cell r="I665">
            <v>-34345.54</v>
          </cell>
          <cell r="J665">
            <v>-13785.33</v>
          </cell>
          <cell r="K665">
            <v>-48130.87</v>
          </cell>
        </row>
        <row r="666">
          <cell r="G666" t="str">
            <v>2.1.1.01.02.02 - Fornecedores  do Exterior de</v>
          </cell>
          <cell r="I666">
            <v>0</v>
          </cell>
          <cell r="J666">
            <v>-4446.49</v>
          </cell>
          <cell r="K666">
            <v>-4446.49</v>
          </cell>
        </row>
        <row r="667">
          <cell r="H667" t="str">
            <v>2110102020 Fornecedores do Exterior de MP (Realizado)</v>
          </cell>
          <cell r="I667">
            <v>0</v>
          </cell>
          <cell r="J667">
            <v>-4446.49</v>
          </cell>
          <cell r="K667">
            <v>-4446.49</v>
          </cell>
        </row>
        <row r="668">
          <cell r="H668" t="str">
            <v>2110102026 Var Cambial s/Forn do Ext - MP (Realizado)</v>
          </cell>
          <cell r="I668">
            <v>0</v>
          </cell>
          <cell r="J668">
            <v>0</v>
          </cell>
          <cell r="K668">
            <v>0</v>
          </cell>
        </row>
        <row r="669">
          <cell r="G669" t="str">
            <v>2.1.1.01.02.04 - Fornecedores  do Exterior de</v>
          </cell>
          <cell r="I669">
            <v>-34345.54</v>
          </cell>
          <cell r="J669">
            <v>-9338.84</v>
          </cell>
          <cell r="K669">
            <v>-43684.38</v>
          </cell>
        </row>
        <row r="670">
          <cell r="H670" t="str">
            <v>2110102040 Fornecedores do Ext de Mat de Cons (Realizado)</v>
          </cell>
          <cell r="I670">
            <v>-34345.54</v>
          </cell>
          <cell r="J670">
            <v>-9338.84</v>
          </cell>
          <cell r="K670">
            <v>-43684.38</v>
          </cell>
        </row>
        <row r="671">
          <cell r="H671" t="str">
            <v>2110102046 Var Cambial s/Forn do Ext-Mat de Cons (Realizado)</v>
          </cell>
          <cell r="I671">
            <v>0</v>
          </cell>
          <cell r="J671">
            <v>0</v>
          </cell>
          <cell r="K671">
            <v>0</v>
          </cell>
        </row>
        <row r="672">
          <cell r="F672" t="str">
            <v>2.1.1.01.99 - Entrada/Mercadoria e Fatura</v>
          </cell>
          <cell r="I672">
            <v>-1989783.94</v>
          </cell>
          <cell r="J672">
            <v>546500.5</v>
          </cell>
          <cell r="K672">
            <v>-1443283.44</v>
          </cell>
        </row>
        <row r="673">
          <cell r="G673" t="str">
            <v>2.1.1.01.99.01 - Entrada de Mercadoria e de F</v>
          </cell>
          <cell r="I673">
            <v>-1989783.94</v>
          </cell>
          <cell r="J673">
            <v>546500.5</v>
          </cell>
          <cell r="K673">
            <v>-1443283.44</v>
          </cell>
        </row>
        <row r="674">
          <cell r="H674" t="str">
            <v>2110199010 Entrada de Mercadoria e de Fat (EM/EF) (Realizado)</v>
          </cell>
          <cell r="I674">
            <v>1.19</v>
          </cell>
          <cell r="J674">
            <v>-1.19</v>
          </cell>
          <cell r="K674">
            <v>0</v>
          </cell>
        </row>
        <row r="675">
          <cell r="H675" t="str">
            <v>2110199011 Provisao de Entrada de Mercad e de Fatura (EM/EF)</v>
          </cell>
          <cell r="I675">
            <v>-1989785.13</v>
          </cell>
          <cell r="J675">
            <v>546501.68999999994</v>
          </cell>
          <cell r="K675">
            <v>-1443283.44</v>
          </cell>
        </row>
        <row r="676">
          <cell r="H676" t="str">
            <v>2110199012 Prov Entr de Mercad e de Fat (EM/EF) (Realizado)</v>
          </cell>
          <cell r="I676">
            <v>0</v>
          </cell>
          <cell r="J676">
            <v>0</v>
          </cell>
          <cell r="K676">
            <v>0</v>
          </cell>
        </row>
        <row r="677">
          <cell r="G677" t="str">
            <v>2.1.1.01.99.10 - Materiais de Estoque de Terc</v>
          </cell>
          <cell r="I677">
            <v>0</v>
          </cell>
          <cell r="J677">
            <v>0</v>
          </cell>
          <cell r="K677">
            <v>0</v>
          </cell>
        </row>
        <row r="678">
          <cell r="H678" t="str">
            <v>2110199100 Mats de Est de Terc em nosso Poder (Realizado)</v>
          </cell>
          <cell r="I678">
            <v>0</v>
          </cell>
          <cell r="J678">
            <v>0</v>
          </cell>
          <cell r="K678">
            <v>0</v>
          </cell>
        </row>
        <row r="679">
          <cell r="D679" t="str">
            <v>2.1.1.05 - Emprestimos e Financiamentos Bancá</v>
          </cell>
          <cell r="I679">
            <v>-172011798.58000001</v>
          </cell>
          <cell r="J679">
            <v>-7613386.8200000003</v>
          </cell>
          <cell r="K679">
            <v>-179625185.40000001</v>
          </cell>
        </row>
        <row r="680">
          <cell r="F680" t="str">
            <v>2.1.1.05.01 - Empréstimos de Capital Giro - C</v>
          </cell>
          <cell r="I680">
            <v>0</v>
          </cell>
          <cell r="J680">
            <v>0</v>
          </cell>
          <cell r="K680">
            <v>0</v>
          </cell>
        </row>
        <row r="681">
          <cell r="G681" t="str">
            <v>2.1.1.05.01.01 - Emprestimos de Capital Giro</v>
          </cell>
          <cell r="I681">
            <v>0</v>
          </cell>
          <cell r="J681">
            <v>0</v>
          </cell>
          <cell r="K681">
            <v>0</v>
          </cell>
        </row>
        <row r="682">
          <cell r="H682" t="str">
            <v>2110501010 Emprest de Cap Giro Moeda Nac CP (Realiz)</v>
          </cell>
          <cell r="I682">
            <v>0</v>
          </cell>
          <cell r="J682">
            <v>0</v>
          </cell>
          <cell r="K682">
            <v>0</v>
          </cell>
        </row>
        <row r="683">
          <cell r="G683" t="str">
            <v>2.1.1.05.01.02 - Juros s/Emprestimos de Capit</v>
          </cell>
          <cell r="I683">
            <v>0</v>
          </cell>
          <cell r="J683">
            <v>0</v>
          </cell>
          <cell r="K683">
            <v>0</v>
          </cell>
        </row>
        <row r="684">
          <cell r="H684" t="str">
            <v>2110501020 Juros s/Emprest de Cap Giro em Moeda Nac CP (R)</v>
          </cell>
          <cell r="I684">
            <v>0</v>
          </cell>
          <cell r="J684">
            <v>0</v>
          </cell>
          <cell r="K684">
            <v>0</v>
          </cell>
        </row>
        <row r="685">
          <cell r="G685" t="str">
            <v>2.1.1.05.01.03 - IOF s/Empréstimos de Capital</v>
          </cell>
          <cell r="I685">
            <v>0</v>
          </cell>
          <cell r="J685">
            <v>0</v>
          </cell>
          <cell r="K685">
            <v>0</v>
          </cell>
        </row>
        <row r="686">
          <cell r="H686" t="str">
            <v>2110501030 IOF s/Emprestimos de Cap de Giro CP (Realizado)</v>
          </cell>
          <cell r="I686">
            <v>0</v>
          </cell>
          <cell r="J686">
            <v>0</v>
          </cell>
          <cell r="K686">
            <v>0</v>
          </cell>
        </row>
        <row r="687">
          <cell r="F687" t="str">
            <v>2.1.1.05.02 - Empréstimos e Financiamentos -</v>
          </cell>
          <cell r="I687">
            <v>-172011798.58000001</v>
          </cell>
          <cell r="J687">
            <v>-7613386.8200000003</v>
          </cell>
          <cell r="K687">
            <v>-179625185.40000001</v>
          </cell>
        </row>
        <row r="688">
          <cell r="G688" t="str">
            <v>2.1.1.05.02.01 - Empréstimos e Financiamentos</v>
          </cell>
          <cell r="I688">
            <v>-153572841.97</v>
          </cell>
          <cell r="J688">
            <v>0.01</v>
          </cell>
          <cell r="K688">
            <v>-153572841.96000001</v>
          </cell>
        </row>
        <row r="689">
          <cell r="H689" t="str">
            <v>2110502010 Emprest e Financs em Moeda Nacional CP (Realizado)</v>
          </cell>
          <cell r="I689">
            <v>-153572841.97</v>
          </cell>
          <cell r="J689">
            <v>0.01</v>
          </cell>
          <cell r="K689">
            <v>-153572841.96000001</v>
          </cell>
        </row>
        <row r="690">
          <cell r="H690" t="str">
            <v>2110502013 Emprestimos e Financiamentos Moeda Nacional Pagar</v>
          </cell>
          <cell r="I690">
            <v>0</v>
          </cell>
          <cell r="J690">
            <v>0</v>
          </cell>
          <cell r="K690">
            <v>0</v>
          </cell>
        </row>
        <row r="691">
          <cell r="G691" t="str">
            <v>2.1.1.05.02.02 - Juros s/Empréstimos e Financ</v>
          </cell>
          <cell r="I691">
            <v>-10523740.630000001</v>
          </cell>
          <cell r="J691">
            <v>-7737820.7800000003</v>
          </cell>
          <cell r="K691">
            <v>-18261561.41</v>
          </cell>
        </row>
        <row r="692">
          <cell r="H692" t="str">
            <v>2110502020 Juros s/Empr Fin em Moeda Nacional CP (Realizado)</v>
          </cell>
          <cell r="I692">
            <v>-10523740.630000001</v>
          </cell>
          <cell r="J692">
            <v>-7737820.7800000003</v>
          </cell>
          <cell r="K692">
            <v>-18261561.41</v>
          </cell>
        </row>
        <row r="693">
          <cell r="G693" t="str">
            <v>2.1.1.05.02.50 - Custo de Emprs e Financs a A</v>
          </cell>
          <cell r="I693">
            <v>-5569453.6600000001</v>
          </cell>
          <cell r="J693">
            <v>66249.45</v>
          </cell>
          <cell r="K693">
            <v>-5503204.21</v>
          </cell>
        </row>
        <row r="694">
          <cell r="H694" t="str">
            <v>2110502500 Custo de Emprest e Finan Amort em MN CP (Realiz)</v>
          </cell>
          <cell r="I694">
            <v>-5569453.6600000001</v>
          </cell>
          <cell r="J694">
            <v>66249.45</v>
          </cell>
          <cell r="K694">
            <v>-5503204.21</v>
          </cell>
        </row>
        <row r="695">
          <cell r="G695" t="str">
            <v>2.1.1.05.02.60 - Empréstimos e Financiamentos</v>
          </cell>
          <cell r="I695">
            <v>-2322316.4</v>
          </cell>
          <cell r="J695">
            <v>55668.959999999999</v>
          </cell>
          <cell r="K695">
            <v>-2266647.44</v>
          </cell>
        </row>
        <row r="696">
          <cell r="H696" t="str">
            <v>2110502600 Emprestimos e Finan em Moeda Estrang CP (Realiz)</v>
          </cell>
          <cell r="I696">
            <v>-2322316.4</v>
          </cell>
          <cell r="J696">
            <v>55668.959999999999</v>
          </cell>
          <cell r="K696">
            <v>-2266647.44</v>
          </cell>
        </row>
        <row r="697">
          <cell r="H697" t="str">
            <v>2110502603 Emp Finan em Moeda Estrangeira a Pagar</v>
          </cell>
          <cell r="I697">
            <v>0</v>
          </cell>
          <cell r="J697">
            <v>0</v>
          </cell>
          <cell r="K697">
            <v>0</v>
          </cell>
        </row>
        <row r="698">
          <cell r="G698" t="str">
            <v>2.1.1.05.02.61 - Juros s/Empréstimos e Financ</v>
          </cell>
          <cell r="I698">
            <v>-23445.919999999998</v>
          </cell>
          <cell r="J698">
            <v>2515.54</v>
          </cell>
          <cell r="K698">
            <v>-20930.38</v>
          </cell>
        </row>
        <row r="699">
          <cell r="H699" t="str">
            <v>2110502610 Jur s/Emprest e Finan Moeda Estrang CP (Realizado)</v>
          </cell>
          <cell r="I699">
            <v>-23445.919999999998</v>
          </cell>
          <cell r="J699">
            <v>2515.54</v>
          </cell>
          <cell r="K699">
            <v>-20930.38</v>
          </cell>
        </row>
        <row r="700">
          <cell r="G700" t="str">
            <v>2.1.1.05.02.90 - Hedge s/Empréstimos e Financ</v>
          </cell>
          <cell r="I700">
            <v>0</v>
          </cell>
          <cell r="J700">
            <v>0</v>
          </cell>
          <cell r="K700">
            <v>0</v>
          </cell>
        </row>
        <row r="701">
          <cell r="H701" t="str">
            <v>2110502900 Hedge s/Empr Fin CP em Moeda Estrangeira (Realiz)</v>
          </cell>
          <cell r="I701">
            <v>0</v>
          </cell>
          <cell r="J701">
            <v>0</v>
          </cell>
          <cell r="K701">
            <v>0</v>
          </cell>
        </row>
        <row r="702">
          <cell r="D702" t="str">
            <v>2.1.1.07 - Duplicatas e Cambiais de Exportaçã</v>
          </cell>
          <cell r="I702">
            <v>0</v>
          </cell>
          <cell r="J702">
            <v>0</v>
          </cell>
          <cell r="K702">
            <v>0</v>
          </cell>
        </row>
        <row r="703">
          <cell r="F703" t="str">
            <v>2.1.1.07.03 - Duplicatas e Cambiais de Export</v>
          </cell>
          <cell r="I703">
            <v>0</v>
          </cell>
          <cell r="J703">
            <v>0</v>
          </cell>
          <cell r="K703">
            <v>0</v>
          </cell>
        </row>
        <row r="704">
          <cell r="G704" t="str">
            <v>2.1.1.07.03.01 - Duplicatas Descontadas - CP</v>
          </cell>
          <cell r="I704">
            <v>0</v>
          </cell>
          <cell r="J704">
            <v>0</v>
          </cell>
          <cell r="K704">
            <v>0</v>
          </cell>
        </row>
        <row r="705">
          <cell r="H705" t="str">
            <v>2110703010 Duplicatas Descontadas CP em Moeda Nacional</v>
          </cell>
          <cell r="I705">
            <v>0</v>
          </cell>
          <cell r="J705">
            <v>0</v>
          </cell>
          <cell r="K705">
            <v>0</v>
          </cell>
        </row>
        <row r="706">
          <cell r="G706" t="str">
            <v>2.1.1.07.03.02 - Juros sobre Duplicatas Desco</v>
          </cell>
          <cell r="I706">
            <v>0</v>
          </cell>
          <cell r="J706">
            <v>0</v>
          </cell>
          <cell r="K706">
            <v>0</v>
          </cell>
        </row>
        <row r="707">
          <cell r="H707" t="str">
            <v>2110703020 Juros s/Dup Desc CP em Moeda Nacional (Realizado)</v>
          </cell>
          <cell r="I707">
            <v>0</v>
          </cell>
          <cell r="J707">
            <v>0</v>
          </cell>
          <cell r="K707">
            <v>0</v>
          </cell>
        </row>
        <row r="708">
          <cell r="G708" t="str">
            <v>2.1.1.07.03.60 - Cambiais de Exportação Desco</v>
          </cell>
          <cell r="I708">
            <v>0</v>
          </cell>
          <cell r="J708">
            <v>0</v>
          </cell>
          <cell r="K708">
            <v>0</v>
          </cell>
        </row>
        <row r="709">
          <cell r="H709" t="str">
            <v>2110703600 Cambiais de Exportaçao Descontadas (Realizado)</v>
          </cell>
          <cell r="I709">
            <v>0</v>
          </cell>
          <cell r="J709">
            <v>0</v>
          </cell>
          <cell r="K709">
            <v>0</v>
          </cell>
        </row>
        <row r="710">
          <cell r="H710" t="str">
            <v>2110703606 Var Camb s/ Dup de Exportaçao Descontadas (Realiz)</v>
          </cell>
          <cell r="I710">
            <v>0</v>
          </cell>
          <cell r="J710">
            <v>0</v>
          </cell>
          <cell r="K710">
            <v>0</v>
          </cell>
        </row>
        <row r="711">
          <cell r="G711" t="str">
            <v>2.1.1.07.03.61 - Juros s/Duplicatas de Export</v>
          </cell>
          <cell r="I711">
            <v>0</v>
          </cell>
          <cell r="J711">
            <v>0</v>
          </cell>
          <cell r="K711">
            <v>0</v>
          </cell>
        </row>
        <row r="712">
          <cell r="H712" t="str">
            <v>2110703610 Juros s/Duplicatas Exportaçao Descontadas (Realiz)</v>
          </cell>
          <cell r="I712">
            <v>0</v>
          </cell>
          <cell r="J712">
            <v>0</v>
          </cell>
          <cell r="K712">
            <v>0</v>
          </cell>
        </row>
        <row r="713">
          <cell r="D713" t="str">
            <v>2.1.1.10 - Salarios e Encargos Sociais</v>
          </cell>
          <cell r="I713">
            <v>-19033838.210000001</v>
          </cell>
          <cell r="J713">
            <v>-1512018.96</v>
          </cell>
          <cell r="K713">
            <v>-20545857.170000002</v>
          </cell>
        </row>
        <row r="714">
          <cell r="F714" t="str">
            <v>2.1.1.10.01 - Obrigações com Pessoal</v>
          </cell>
          <cell r="I714">
            <v>-15237165.720000001</v>
          </cell>
          <cell r="J714">
            <v>-1434072.57</v>
          </cell>
          <cell r="K714">
            <v>-16671238.289999999</v>
          </cell>
        </row>
        <row r="715">
          <cell r="G715" t="str">
            <v>2.1.1.10.01.01 - Salários a Pagar</v>
          </cell>
          <cell r="I715">
            <v>348.32</v>
          </cell>
          <cell r="J715">
            <v>-352.1</v>
          </cell>
          <cell r="K715">
            <v>-3.78</v>
          </cell>
        </row>
        <row r="716">
          <cell r="H716" t="str">
            <v>2111001010 Salarios a Pagar (Realizado)</v>
          </cell>
          <cell r="I716">
            <v>348.32</v>
          </cell>
          <cell r="J716">
            <v>-352.1</v>
          </cell>
          <cell r="K716">
            <v>-3.78</v>
          </cell>
        </row>
        <row r="717">
          <cell r="G717" t="str">
            <v>2.1.1.10.01.05 - Provisão de 13º Salario</v>
          </cell>
          <cell r="I717">
            <v>-1498925.32</v>
          </cell>
          <cell r="J717">
            <v>-312109.46000000002</v>
          </cell>
          <cell r="K717">
            <v>-1811034.78</v>
          </cell>
        </row>
        <row r="718">
          <cell r="H718" t="str">
            <v>2111001050 Provisao de 13º Salario (Realizado)</v>
          </cell>
          <cell r="I718">
            <v>-1498925.32</v>
          </cell>
          <cell r="J718">
            <v>-312109.46000000002</v>
          </cell>
          <cell r="K718">
            <v>-1811034.78</v>
          </cell>
        </row>
        <row r="719">
          <cell r="G719" t="str">
            <v>2.1.1.10.01.06 - Provisão de Férias</v>
          </cell>
          <cell r="I719">
            <v>-5297825.97</v>
          </cell>
          <cell r="J719">
            <v>-49507.66</v>
          </cell>
          <cell r="K719">
            <v>-5347333.63</v>
          </cell>
        </row>
        <row r="720">
          <cell r="H720" t="str">
            <v>2111001060 Provisao de Ferias (Realizado)</v>
          </cell>
          <cell r="I720">
            <v>-5297825.97</v>
          </cell>
          <cell r="J720">
            <v>-49507.66</v>
          </cell>
          <cell r="K720">
            <v>-5347333.63</v>
          </cell>
        </row>
        <row r="721">
          <cell r="G721" t="str">
            <v>2.1.1.10.01.08 - Provisão de Gratificações Fé</v>
          </cell>
          <cell r="I721">
            <v>-3233157.75</v>
          </cell>
          <cell r="J721">
            <v>-30580.35</v>
          </cell>
          <cell r="K721">
            <v>-3263738.1</v>
          </cell>
        </row>
        <row r="722">
          <cell r="H722" t="str">
            <v>2111001080 Provisao de Gratificaçoes Ferias (Realizado)</v>
          </cell>
          <cell r="I722">
            <v>-3233157.75</v>
          </cell>
          <cell r="J722">
            <v>-30580.35</v>
          </cell>
          <cell r="K722">
            <v>-3263738.1</v>
          </cell>
        </row>
        <row r="723">
          <cell r="G723" t="str">
            <v>2.1.1.10.01.09 - Provisão de Gratificações a</v>
          </cell>
          <cell r="I723">
            <v>-2201965</v>
          </cell>
          <cell r="J723">
            <v>-440393</v>
          </cell>
          <cell r="K723">
            <v>-2642358</v>
          </cell>
        </row>
        <row r="724">
          <cell r="H724" t="str">
            <v>2111001090 Provisao de Gratificaçoes Diretores Estatutários</v>
          </cell>
          <cell r="I724">
            <v>-2201965</v>
          </cell>
          <cell r="J724">
            <v>-440393</v>
          </cell>
          <cell r="K724">
            <v>-2642358</v>
          </cell>
        </row>
        <row r="725">
          <cell r="G725" t="str">
            <v>2.1.1.10.01.10 - Prov. Gratificação - CLT</v>
          </cell>
          <cell r="I725">
            <v>-3005640</v>
          </cell>
          <cell r="J725">
            <v>-601130</v>
          </cell>
          <cell r="K725">
            <v>-3606770</v>
          </cell>
        </row>
        <row r="726">
          <cell r="H726" t="str">
            <v>2111001100 Provisão de Gratificações  - CLT</v>
          </cell>
          <cell r="I726">
            <v>-3005640</v>
          </cell>
          <cell r="J726">
            <v>-601130</v>
          </cell>
          <cell r="K726">
            <v>-3606770</v>
          </cell>
        </row>
        <row r="727">
          <cell r="G727" t="str">
            <v>2.1.1.10.01.90 - Provisão de Participações no</v>
          </cell>
          <cell r="I727">
            <v>0</v>
          </cell>
          <cell r="J727">
            <v>0</v>
          </cell>
          <cell r="K727">
            <v>0</v>
          </cell>
        </row>
        <row r="728">
          <cell r="H728" t="str">
            <v>2111001900 Provisoes Partic nos Lucros de Funcion (Realizado)</v>
          </cell>
          <cell r="I728">
            <v>0</v>
          </cell>
          <cell r="J728">
            <v>0</v>
          </cell>
          <cell r="K728">
            <v>0</v>
          </cell>
        </row>
        <row r="729">
          <cell r="F729" t="str">
            <v>2.1.1.10.05 - Obrig. Previdenciarias - INSS</v>
          </cell>
          <cell r="I729">
            <v>-2944283.87</v>
          </cell>
          <cell r="J729">
            <v>-55000.36</v>
          </cell>
          <cell r="K729">
            <v>-2999284.23</v>
          </cell>
        </row>
        <row r="730">
          <cell r="G730" t="str">
            <v>2.1.1.10.05.01 - Contribuições Previdenciária</v>
          </cell>
          <cell r="I730">
            <v>-1247699.92</v>
          </cell>
          <cell r="J730">
            <v>32166.33</v>
          </cell>
          <cell r="K730">
            <v>-1215533.5900000001</v>
          </cell>
        </row>
        <row r="731">
          <cell r="H731" t="str">
            <v>2111005010 Contrib Prev a Recolher-INSS s/Folha (Realizado)</v>
          </cell>
          <cell r="I731">
            <v>-1247699.92</v>
          </cell>
          <cell r="J731">
            <v>32166.33</v>
          </cell>
          <cell r="K731">
            <v>-1215533.5900000001</v>
          </cell>
        </row>
        <row r="732">
          <cell r="G732" t="str">
            <v>2.1.1.10.05.02 - Contribuições Previdenciária</v>
          </cell>
          <cell r="I732">
            <v>-16812.169999999998</v>
          </cell>
          <cell r="J732">
            <v>3731.43</v>
          </cell>
          <cell r="K732">
            <v>-13080.74</v>
          </cell>
        </row>
        <row r="733">
          <cell r="H733" t="str">
            <v>2111005020 Contrib Prev a Recolher-INSS s/Autonomos (Realiz)</v>
          </cell>
          <cell r="I733">
            <v>-16812.169999999998</v>
          </cell>
          <cell r="J733">
            <v>3731.43</v>
          </cell>
          <cell r="K733">
            <v>-13080.74</v>
          </cell>
        </row>
        <row r="734">
          <cell r="G734" t="str">
            <v>2.1.1.10.05.03 - Contribuições Previdenciária</v>
          </cell>
          <cell r="I734">
            <v>-220.85</v>
          </cell>
          <cell r="J734">
            <v>-91.57</v>
          </cell>
          <cell r="K734">
            <v>-312.42</v>
          </cell>
        </row>
        <row r="735">
          <cell r="H735" t="str">
            <v>2111005030 Contrib Prev a Recolher-INSS s/Cooperativas (Real)</v>
          </cell>
          <cell r="I735">
            <v>-220.85</v>
          </cell>
          <cell r="J735">
            <v>-91.57</v>
          </cell>
          <cell r="K735">
            <v>-312.42</v>
          </cell>
        </row>
        <row r="736">
          <cell r="G736" t="str">
            <v>2.1.1.10.05.04 - Contribuições Previdenciária</v>
          </cell>
          <cell r="I736">
            <v>-9364.17</v>
          </cell>
          <cell r="J736">
            <v>-1957.69</v>
          </cell>
          <cell r="K736">
            <v>-11321.86</v>
          </cell>
        </row>
        <row r="737">
          <cell r="H737" t="str">
            <v>2111005040 Contrib Prev a Recolher-INSS Termo Coop SENAI (R)</v>
          </cell>
          <cell r="I737">
            <v>-9364.17</v>
          </cell>
          <cell r="J737">
            <v>-1957.69</v>
          </cell>
          <cell r="K737">
            <v>-11321.86</v>
          </cell>
        </row>
        <row r="738">
          <cell r="G738" t="str">
            <v>2.1.1.10.05.05 - Provisão de Contribuições Pr</v>
          </cell>
          <cell r="I738">
            <v>-368246.23</v>
          </cell>
          <cell r="J738">
            <v>-76682</v>
          </cell>
          <cell r="K738">
            <v>-444928.23</v>
          </cell>
        </row>
        <row r="739">
          <cell r="H739" t="str">
            <v>2111005050 Prov de Contrib Prev-INSS sobre 13º Salario (R)</v>
          </cell>
          <cell r="I739">
            <v>-368246.23</v>
          </cell>
          <cell r="J739">
            <v>-76682</v>
          </cell>
          <cell r="K739">
            <v>-444928.23</v>
          </cell>
        </row>
        <row r="740">
          <cell r="G740" t="str">
            <v>2.1.1.10.05.06 - Provisão de Contribuições Pr</v>
          </cell>
          <cell r="I740">
            <v>-1301940.53</v>
          </cell>
          <cell r="J740">
            <v>-12166.86</v>
          </cell>
          <cell r="K740">
            <v>-1314107.3899999999</v>
          </cell>
        </row>
        <row r="741">
          <cell r="H741" t="str">
            <v>2111005060 Prov de Contrib Prev-INSS sobre Ferias (Realizado)</v>
          </cell>
          <cell r="I741">
            <v>-1301940.53</v>
          </cell>
          <cell r="J741">
            <v>-12166.86</v>
          </cell>
          <cell r="K741">
            <v>-1314107.3899999999</v>
          </cell>
        </row>
        <row r="742">
          <cell r="F742" t="str">
            <v>2.1.1.10.06 - Obrig. Previdenciarias - FGTS</v>
          </cell>
          <cell r="I742">
            <v>-852388.62</v>
          </cell>
          <cell r="J742">
            <v>-22946.03</v>
          </cell>
          <cell r="K742">
            <v>-875334.65</v>
          </cell>
        </row>
        <row r="743">
          <cell r="G743" t="str">
            <v>2.1.1.10.06.01 - Contribuições Previdenciária</v>
          </cell>
          <cell r="I743">
            <v>-309310.82</v>
          </cell>
          <cell r="J743">
            <v>5806.93</v>
          </cell>
          <cell r="K743">
            <v>-303503.89</v>
          </cell>
        </row>
        <row r="744">
          <cell r="H744" t="str">
            <v>2111006010 Contrib Prev a Recolher-FGTS s/Folha (Realizado)</v>
          </cell>
          <cell r="I744">
            <v>-309310.82</v>
          </cell>
          <cell r="J744">
            <v>5806.93</v>
          </cell>
          <cell r="K744">
            <v>-303503.89</v>
          </cell>
        </row>
        <row r="745">
          <cell r="G745" t="str">
            <v>2.1.1.10.06.05 - Provisão de Contribuições Pr</v>
          </cell>
          <cell r="I745">
            <v>-119630.39999999999</v>
          </cell>
          <cell r="J745">
            <v>-24893.78</v>
          </cell>
          <cell r="K745">
            <v>-144524.18</v>
          </cell>
        </row>
        <row r="746">
          <cell r="H746" t="str">
            <v>2111006050 Prov Contrib Prev-FGTS s/ 13º Salario (Realizado)</v>
          </cell>
          <cell r="I746">
            <v>-119630.39999999999</v>
          </cell>
          <cell r="J746">
            <v>-24893.78</v>
          </cell>
          <cell r="K746">
            <v>-144524.18</v>
          </cell>
        </row>
        <row r="747">
          <cell r="G747" t="str">
            <v>2.1.1.10.06.06 - Provisão de Contribuições Pr</v>
          </cell>
          <cell r="I747">
            <v>-423447.4</v>
          </cell>
          <cell r="J747">
            <v>-3859.18</v>
          </cell>
          <cell r="K747">
            <v>-427306.58</v>
          </cell>
        </row>
        <row r="748">
          <cell r="H748" t="str">
            <v>2111006060 Prov Contrib Prev-FGTS sobre Ferias (Realizado)</v>
          </cell>
          <cell r="I748">
            <v>-423447.4</v>
          </cell>
          <cell r="J748">
            <v>-3859.18</v>
          </cell>
          <cell r="K748">
            <v>-427306.58</v>
          </cell>
        </row>
        <row r="749">
          <cell r="D749" t="str">
            <v>2.1.1.20 - Obrigações Tributarias sobre o Luc</v>
          </cell>
          <cell r="I749">
            <v>-11227448.439999999</v>
          </cell>
          <cell r="J749">
            <v>-3880290.6</v>
          </cell>
          <cell r="K749">
            <v>-15107739.039999999</v>
          </cell>
        </row>
        <row r="750">
          <cell r="F750" t="str">
            <v>2.1.1.20.01 - Provisão para a Contribuição So</v>
          </cell>
          <cell r="I750">
            <v>-2841920.59</v>
          </cell>
          <cell r="J750">
            <v>-1032328.59</v>
          </cell>
          <cell r="K750">
            <v>-3874249.18</v>
          </cell>
        </row>
        <row r="751">
          <cell r="G751" t="str">
            <v>2.1.1.20.01.01 - Provisão para a Contribuição</v>
          </cell>
          <cell r="I751">
            <v>-6545894.9199999999</v>
          </cell>
          <cell r="J751">
            <v>-1372347.49</v>
          </cell>
          <cell r="K751">
            <v>-7918242.4100000001</v>
          </cell>
        </row>
        <row r="752">
          <cell r="H752" t="str">
            <v>2112001010 Prov p/ CSLL s/Resultado Operacional (Realizado)</v>
          </cell>
          <cell r="I752">
            <v>-6545894.9199999999</v>
          </cell>
          <cell r="J752">
            <v>-1372347.49</v>
          </cell>
          <cell r="K752">
            <v>-7918242.4100000001</v>
          </cell>
        </row>
        <row r="753">
          <cell r="H753" t="str">
            <v>2112001014 Prov p/ CSLL s/Alíquota Efetiva</v>
          </cell>
          <cell r="I753">
            <v>0</v>
          </cell>
          <cell r="J753">
            <v>0</v>
          </cell>
          <cell r="K753">
            <v>0</v>
          </cell>
        </row>
        <row r="754">
          <cell r="G754" t="str">
            <v>2.1.1.20.01.02 - Provisão para a Contribuição</v>
          </cell>
          <cell r="I754">
            <v>550669.69999999995</v>
          </cell>
          <cell r="J754">
            <v>-498139.75</v>
          </cell>
          <cell r="K754">
            <v>52529.95</v>
          </cell>
        </row>
        <row r="755">
          <cell r="H755" t="str">
            <v>2112001020 Provisao p/ CSLL Diferida (Realizado)</v>
          </cell>
          <cell r="I755">
            <v>550669.69999999995</v>
          </cell>
          <cell r="J755">
            <v>-498139.75</v>
          </cell>
          <cell r="K755">
            <v>52529.95</v>
          </cell>
        </row>
        <row r="756">
          <cell r="G756" t="str">
            <v>2.1.1.20.01.03 - Prov p/CSLL Dif Depr Fiscal</v>
          </cell>
          <cell r="I756">
            <v>1935338.66</v>
          </cell>
          <cell r="J756">
            <v>395732.32</v>
          </cell>
          <cell r="K756">
            <v>2331070.98</v>
          </cell>
        </row>
        <row r="757">
          <cell r="H757" t="str">
            <v>2112001030 Provisao p/ CSLL Diferida s/Depreciaçao Fiscal (R)</v>
          </cell>
          <cell r="I757">
            <v>1935338.66</v>
          </cell>
          <cell r="J757">
            <v>395732.32</v>
          </cell>
          <cell r="K757">
            <v>2331070.98</v>
          </cell>
        </row>
        <row r="758">
          <cell r="G758" t="str">
            <v>2.1.1.20.01.04 - Contribuição Social s/ Compe</v>
          </cell>
          <cell r="I758">
            <v>1217965.97</v>
          </cell>
          <cell r="J758">
            <v>442426.33</v>
          </cell>
          <cell r="K758">
            <v>1660392.3</v>
          </cell>
        </row>
        <row r="759">
          <cell r="H759" t="str">
            <v>2112001040 Contribuição Social s/Compensação Base Negativa (R</v>
          </cell>
          <cell r="I759">
            <v>1217965.97</v>
          </cell>
          <cell r="J759">
            <v>442426.33</v>
          </cell>
          <cell r="K759">
            <v>1660392.3</v>
          </cell>
        </row>
        <row r="760">
          <cell r="F760" t="str">
            <v>2.1.1.20.02 - Provisão para a Contribuição So</v>
          </cell>
          <cell r="I760">
            <v>-8385527.8499999996</v>
          </cell>
          <cell r="J760">
            <v>-2847962.01</v>
          </cell>
          <cell r="K760">
            <v>-11233489.859999999</v>
          </cell>
        </row>
        <row r="761">
          <cell r="G761" t="str">
            <v>2.1.1.20.02.01 - Provisão para o Imposto de R</v>
          </cell>
          <cell r="I761">
            <v>-18544651.5</v>
          </cell>
          <cell r="J761">
            <v>-3903248.25</v>
          </cell>
          <cell r="K761">
            <v>-22447899.75</v>
          </cell>
        </row>
        <row r="762">
          <cell r="H762" t="str">
            <v>2112002010 Prov p/  IR s/Resultando Operacional (Realizado)</v>
          </cell>
          <cell r="I762">
            <v>-18544651.5</v>
          </cell>
          <cell r="J762">
            <v>-3903248.25</v>
          </cell>
          <cell r="K762">
            <v>-22447899.75</v>
          </cell>
        </row>
        <row r="763">
          <cell r="H763" t="str">
            <v>2112002014 Prov p/  IR s/Alíquota Efetiva</v>
          </cell>
          <cell r="I763">
            <v>0</v>
          </cell>
          <cell r="J763">
            <v>0</v>
          </cell>
          <cell r="K763">
            <v>0</v>
          </cell>
        </row>
        <row r="764">
          <cell r="G764" t="str">
            <v>2.1.1.20.02.02 - Provisão para o Imposto de R</v>
          </cell>
          <cell r="I764">
            <v>1135074.06</v>
          </cell>
          <cell r="J764">
            <v>-1273622.3400000001</v>
          </cell>
          <cell r="K764">
            <v>-138548.28</v>
          </cell>
        </row>
        <row r="765">
          <cell r="H765" t="str">
            <v>2112002020 Provisao para IR Diferida (Realizado)</v>
          </cell>
          <cell r="I765">
            <v>1135074.06</v>
          </cell>
          <cell r="J765">
            <v>-1273622.3400000001</v>
          </cell>
          <cell r="K765">
            <v>-138548.28</v>
          </cell>
        </row>
        <row r="766">
          <cell r="G766" t="str">
            <v>2.1.1.20.02.03 - Provisão para o Imposto de R</v>
          </cell>
          <cell r="I766">
            <v>5375937.6100000003</v>
          </cell>
          <cell r="J766">
            <v>1099255.29</v>
          </cell>
          <cell r="K766">
            <v>6475192.9000000004</v>
          </cell>
        </row>
        <row r="767">
          <cell r="H767" t="str">
            <v>2112002030 Provisao p/ IR Diferida s/Depreciaçao Fiscal (R)</v>
          </cell>
          <cell r="I767">
            <v>5375937.6100000003</v>
          </cell>
          <cell r="J767">
            <v>1099255.29</v>
          </cell>
          <cell r="K767">
            <v>6475192.9000000004</v>
          </cell>
        </row>
        <row r="768">
          <cell r="G768" t="str">
            <v>2.1.1.20.02.04 - Imposto de Renda s/ Compensa</v>
          </cell>
          <cell r="I768">
            <v>3648111.98</v>
          </cell>
          <cell r="J768">
            <v>1229653.29</v>
          </cell>
          <cell r="K768">
            <v>4877765.2699999996</v>
          </cell>
        </row>
        <row r="769">
          <cell r="H769" t="str">
            <v>2112002040 Imposto de Renda s/ Compensação Prejuízo Fiscal (R</v>
          </cell>
          <cell r="I769">
            <v>3648111.98</v>
          </cell>
          <cell r="J769">
            <v>1229653.29</v>
          </cell>
          <cell r="K769">
            <v>4877765.2699999996</v>
          </cell>
        </row>
        <row r="770">
          <cell r="D770" t="str">
            <v>2.1.1.30 - Outras Obrigações Tributarias</v>
          </cell>
          <cell r="I770">
            <v>-11277535.939999999</v>
          </cell>
          <cell r="J770">
            <v>703344.76</v>
          </cell>
          <cell r="K770">
            <v>-10574191.18</v>
          </cell>
        </row>
        <row r="771">
          <cell r="F771" t="str">
            <v>2.1.1.30.01 - Obrigações Tributarias Retidas</v>
          </cell>
          <cell r="I771">
            <v>-491056.89</v>
          </cell>
          <cell r="J771">
            <v>-569745.49</v>
          </cell>
          <cell r="K771">
            <v>-1060802.3799999999</v>
          </cell>
        </row>
        <row r="772">
          <cell r="G772" t="str">
            <v>2.1.1.30.01.01 - Imposto de Renda de Funciona</v>
          </cell>
          <cell r="I772">
            <v>-156731.31</v>
          </cell>
          <cell r="J772">
            <v>-537218.28</v>
          </cell>
          <cell r="K772">
            <v>-693949.59</v>
          </cell>
        </row>
        <row r="773">
          <cell r="H773" t="str">
            <v>2113001010 IR de Funcionarios (Realizado)</v>
          </cell>
          <cell r="I773">
            <v>-156731.31</v>
          </cell>
          <cell r="J773">
            <v>-537218.28</v>
          </cell>
          <cell r="K773">
            <v>-693949.59</v>
          </cell>
        </row>
        <row r="774">
          <cell r="G774" t="str">
            <v>2.1.1.30.01.02 - INSS de Funcionarios</v>
          </cell>
          <cell r="I774">
            <v>0</v>
          </cell>
          <cell r="J774">
            <v>0</v>
          </cell>
          <cell r="K774">
            <v>0</v>
          </cell>
        </row>
        <row r="775">
          <cell r="H775" t="str">
            <v>2113001020 INSS de Funcionarios (Realizado)</v>
          </cell>
          <cell r="I775">
            <v>0</v>
          </cell>
          <cell r="J775">
            <v>0</v>
          </cell>
          <cell r="K775">
            <v>0</v>
          </cell>
        </row>
        <row r="776">
          <cell r="G776" t="str">
            <v>2.1.1.30.01.20 - Imposto Sindical de Funciona</v>
          </cell>
          <cell r="I776">
            <v>-2181.25</v>
          </cell>
          <cell r="J776">
            <v>73.650000000000006</v>
          </cell>
          <cell r="K776">
            <v>-2107.6</v>
          </cell>
        </row>
        <row r="777">
          <cell r="H777" t="str">
            <v>2113001200 Imposto Sindical de Funcionarios (Realizado)</v>
          </cell>
          <cell r="I777">
            <v>-2181.25</v>
          </cell>
          <cell r="J777">
            <v>73.650000000000006</v>
          </cell>
          <cell r="K777">
            <v>-2107.6</v>
          </cell>
        </row>
        <row r="778">
          <cell r="G778" t="str">
            <v>2.1.1.30.01.30 - Imposto de Renda s/Servs de</v>
          </cell>
          <cell r="I778">
            <v>-43904.05</v>
          </cell>
          <cell r="J778">
            <v>1387.41</v>
          </cell>
          <cell r="K778">
            <v>-42516.639999999999</v>
          </cell>
        </row>
        <row r="779">
          <cell r="H779" t="str">
            <v>2113001300 Imposto de Renda s/Servs de Terceiros (Realizado)</v>
          </cell>
          <cell r="I779">
            <v>-43904.05</v>
          </cell>
          <cell r="J779">
            <v>1387.41</v>
          </cell>
          <cell r="K779">
            <v>-42516.639999999999</v>
          </cell>
        </row>
        <row r="780">
          <cell r="G780" t="str">
            <v>2.1.1.30.01.31 - INSS s/Servs de Terceiros PF</v>
          </cell>
          <cell r="I780">
            <v>-4232.6899999999996</v>
          </cell>
          <cell r="J780">
            <v>2454.3200000000002</v>
          </cell>
          <cell r="K780">
            <v>-1778.37</v>
          </cell>
        </row>
        <row r="781">
          <cell r="H781" t="str">
            <v>2113001310 INSS s/Serviços de Terceiros PF</v>
          </cell>
          <cell r="I781">
            <v>-4232.6899999999996</v>
          </cell>
          <cell r="J781">
            <v>2454.3200000000002</v>
          </cell>
          <cell r="K781">
            <v>-1778.37</v>
          </cell>
        </row>
        <row r="782">
          <cell r="G782" t="str">
            <v>2.1.1.30.01.32 - INSS s/Servs de Terceiros PJ</v>
          </cell>
          <cell r="I782">
            <v>-116344.67</v>
          </cell>
          <cell r="J782">
            <v>-14808.63</v>
          </cell>
          <cell r="K782">
            <v>-131153.29999999999</v>
          </cell>
        </row>
        <row r="783">
          <cell r="H783" t="str">
            <v>2113001320 INSS s/Serviços de Terceiros PJ</v>
          </cell>
          <cell r="I783">
            <v>-116344.67</v>
          </cell>
          <cell r="J783">
            <v>-14808.63</v>
          </cell>
          <cell r="K783">
            <v>-131153.29999999999</v>
          </cell>
        </row>
        <row r="784">
          <cell r="G784" t="str">
            <v>2.1.1.30.01.35 - CSLL s/Servs de Terceiros</v>
          </cell>
          <cell r="I784">
            <v>-12290.04</v>
          </cell>
          <cell r="J784">
            <v>-1262.8399999999999</v>
          </cell>
          <cell r="K784">
            <v>-13552.88</v>
          </cell>
        </row>
        <row r="785">
          <cell r="H785" t="str">
            <v>2113001350 CSLL s/Serviços de Terceiros (Realizado)</v>
          </cell>
          <cell r="I785">
            <v>-12290.04</v>
          </cell>
          <cell r="J785">
            <v>-1262.8399999999999</v>
          </cell>
          <cell r="K785">
            <v>-13552.88</v>
          </cell>
        </row>
        <row r="786">
          <cell r="G786" t="str">
            <v>2.1.1.30.01.36 - PIS s/Servs de Terceiros</v>
          </cell>
          <cell r="I786">
            <v>-8037.49</v>
          </cell>
          <cell r="J786">
            <v>-954.94</v>
          </cell>
          <cell r="K786">
            <v>-8992.43</v>
          </cell>
        </row>
        <row r="787">
          <cell r="H787" t="str">
            <v>2113001360 PIS s/Serviços de Terceiros (Realizado)</v>
          </cell>
          <cell r="I787">
            <v>-8037.49</v>
          </cell>
          <cell r="J787">
            <v>-954.94</v>
          </cell>
          <cell r="K787">
            <v>-8992.43</v>
          </cell>
        </row>
        <row r="788">
          <cell r="G788" t="str">
            <v>2.1.1.30.01.37 - COFINS s/Servs de Terceiros</v>
          </cell>
          <cell r="I788">
            <v>-37095.93</v>
          </cell>
          <cell r="J788">
            <v>-4406.99</v>
          </cell>
          <cell r="K788">
            <v>-41502.92</v>
          </cell>
        </row>
        <row r="789">
          <cell r="H789" t="str">
            <v>2113001370 COFINS s/Serviços de Terceiros (Realizado)</v>
          </cell>
          <cell r="I789">
            <v>-37095.93</v>
          </cell>
          <cell r="J789">
            <v>-4406.99</v>
          </cell>
          <cell r="K789">
            <v>-41502.92</v>
          </cell>
        </row>
        <row r="790">
          <cell r="G790" t="str">
            <v>2.1.1.30.01.40 - ISS s/Servs de Terceiros</v>
          </cell>
          <cell r="I790">
            <v>-110239.46</v>
          </cell>
          <cell r="J790">
            <v>-15009.19</v>
          </cell>
          <cell r="K790">
            <v>-125248.65</v>
          </cell>
        </row>
        <row r="791">
          <cell r="H791" t="str">
            <v>2113001400 ISS s/Serviços de Terceiros (Realizado)</v>
          </cell>
          <cell r="I791">
            <v>-110239.46</v>
          </cell>
          <cell r="J791">
            <v>-15009.19</v>
          </cell>
          <cell r="K791">
            <v>-125248.65</v>
          </cell>
        </row>
        <row r="792">
          <cell r="F792" t="str">
            <v>2.1.1.30.05 - Obrigações Tributarias s/Comerc</v>
          </cell>
          <cell r="I792">
            <v>-10784710.140000001</v>
          </cell>
          <cell r="J792">
            <v>1271321.3700000001</v>
          </cell>
          <cell r="K792">
            <v>-9513388.7699999996</v>
          </cell>
        </row>
        <row r="793">
          <cell r="G793" t="str">
            <v>2.1.1.30.05.01 - PIS a Recolher</v>
          </cell>
          <cell r="I793">
            <v>-635054.72</v>
          </cell>
          <cell r="J793">
            <v>100279.23</v>
          </cell>
          <cell r="K793">
            <v>-534775.49</v>
          </cell>
        </row>
        <row r="794">
          <cell r="H794" t="str">
            <v>2113005010 PIS a Recolher (Realizado)</v>
          </cell>
          <cell r="I794">
            <v>-635054.72</v>
          </cell>
          <cell r="J794">
            <v>100279.23</v>
          </cell>
          <cell r="K794">
            <v>-534775.49</v>
          </cell>
        </row>
        <row r="795">
          <cell r="G795" t="str">
            <v>2.1.1.30.05.02 - COFINS a Recolher</v>
          </cell>
          <cell r="I795">
            <v>-2925125.12</v>
          </cell>
          <cell r="J795">
            <v>460462.8</v>
          </cell>
          <cell r="K795">
            <v>-2464662.3199999998</v>
          </cell>
        </row>
        <row r="796">
          <cell r="H796" t="str">
            <v>2113005020 COFINS a Recolher (Realizado)</v>
          </cell>
          <cell r="I796">
            <v>-2925125.12</v>
          </cell>
          <cell r="J796">
            <v>460462.8</v>
          </cell>
          <cell r="K796">
            <v>-2464662.3199999998</v>
          </cell>
        </row>
        <row r="797">
          <cell r="G797" t="str">
            <v>2.1.1.30.05.30 - ICMS a Recolher</v>
          </cell>
          <cell r="I797">
            <v>-7213354.9900000002</v>
          </cell>
          <cell r="J797">
            <v>699404.03</v>
          </cell>
          <cell r="K797">
            <v>-6513950.96</v>
          </cell>
        </row>
        <row r="798">
          <cell r="H798" t="str">
            <v>2113005300 ICMS a Recolher (Realizado)</v>
          </cell>
          <cell r="I798">
            <v>-7213354.9900000002</v>
          </cell>
          <cell r="J798">
            <v>699404.03</v>
          </cell>
          <cell r="K798">
            <v>-6513950.96</v>
          </cell>
        </row>
        <row r="799">
          <cell r="H799" t="str">
            <v>2113005301 ICMS Transf de Estabelecimento (Transitoria)</v>
          </cell>
          <cell r="I799">
            <v>0</v>
          </cell>
          <cell r="J799">
            <v>0</v>
          </cell>
          <cell r="K799">
            <v>0</v>
          </cell>
        </row>
        <row r="800">
          <cell r="G800" t="str">
            <v>2.1.1.30.05.60 - ISS a Recolher</v>
          </cell>
          <cell r="I800">
            <v>-11175.31</v>
          </cell>
          <cell r="J800">
            <v>11175.31</v>
          </cell>
          <cell r="K800">
            <v>0</v>
          </cell>
        </row>
        <row r="801">
          <cell r="H801" t="str">
            <v>2113005600 ISS a Recolher (Realizado)</v>
          </cell>
          <cell r="I801">
            <v>-11175.31</v>
          </cell>
          <cell r="J801">
            <v>11175.31</v>
          </cell>
          <cell r="K801">
            <v>0</v>
          </cell>
        </row>
        <row r="802">
          <cell r="F802" t="str">
            <v>2.1.1.30.99 - Outras Obrigações Tributarias</v>
          </cell>
          <cell r="I802">
            <v>-1768.91</v>
          </cell>
          <cell r="J802">
            <v>1768.88</v>
          </cell>
          <cell r="K802">
            <v>-0.03</v>
          </cell>
        </row>
        <row r="803">
          <cell r="G803" t="str">
            <v>2.1.1.30.99.01 - CIDE s/Remessas ao Exterior</v>
          </cell>
          <cell r="I803">
            <v>-1768.91</v>
          </cell>
          <cell r="J803">
            <v>1768.89</v>
          </cell>
          <cell r="K803">
            <v>-0.02</v>
          </cell>
        </row>
        <row r="804">
          <cell r="H804" t="str">
            <v>2113099010 CIDE s/Remessas ao Exterior a Recolher (Realizado)</v>
          </cell>
          <cell r="I804">
            <v>-1768.91</v>
          </cell>
          <cell r="J804">
            <v>1768.89</v>
          </cell>
          <cell r="K804">
            <v>-0.02</v>
          </cell>
        </row>
        <row r="805">
          <cell r="G805" t="str">
            <v>2.1.1.30.99.02 - IOF s/Remessas ao Exterior a</v>
          </cell>
          <cell r="I805">
            <v>0</v>
          </cell>
          <cell r="J805">
            <v>-0.01</v>
          </cell>
          <cell r="K805">
            <v>-0.01</v>
          </cell>
        </row>
        <row r="806">
          <cell r="H806" t="str">
            <v>2113099020 IOF s/Remessas ao Exterior a Recolher (Realizado)</v>
          </cell>
          <cell r="I806">
            <v>0</v>
          </cell>
          <cell r="J806">
            <v>-0.01</v>
          </cell>
          <cell r="K806">
            <v>-0.01</v>
          </cell>
        </row>
        <row r="807">
          <cell r="D807" t="str">
            <v>2.1.1.40 - Dividendos Propostos ou Lucros Cre</v>
          </cell>
          <cell r="I807">
            <v>-1711215.31</v>
          </cell>
          <cell r="J807">
            <v>1173.8</v>
          </cell>
          <cell r="K807">
            <v>-1710041.51</v>
          </cell>
        </row>
        <row r="808">
          <cell r="F808" t="str">
            <v>2.1.1.40.01 - Dividendos a Pagar</v>
          </cell>
          <cell r="I808">
            <v>-1711215.31</v>
          </cell>
          <cell r="J808">
            <v>1173.8</v>
          </cell>
          <cell r="K808">
            <v>-1710041.51</v>
          </cell>
        </row>
        <row r="809">
          <cell r="G809" t="str">
            <v>2.1.1.40.01.01 - Dividendos a Pagar</v>
          </cell>
          <cell r="I809">
            <v>-1711215.31</v>
          </cell>
          <cell r="J809">
            <v>1173.8</v>
          </cell>
          <cell r="K809">
            <v>-1710041.51</v>
          </cell>
        </row>
        <row r="810">
          <cell r="H810" t="str">
            <v>2114001010 Dividendos a Pagar (Realizado)</v>
          </cell>
          <cell r="I810">
            <v>-1711215.31</v>
          </cell>
          <cell r="J810">
            <v>1173.8</v>
          </cell>
          <cell r="K810">
            <v>-1710041.51</v>
          </cell>
        </row>
        <row r="811">
          <cell r="G811" t="str">
            <v>2.1.1.40.01.02 - Dividendos Propostos</v>
          </cell>
          <cell r="I811">
            <v>0</v>
          </cell>
          <cell r="J811">
            <v>0</v>
          </cell>
          <cell r="K811">
            <v>0</v>
          </cell>
        </row>
        <row r="812">
          <cell r="H812" t="str">
            <v>2114001020 Dividendos Propostos (Realizado)</v>
          </cell>
          <cell r="I812">
            <v>0</v>
          </cell>
          <cell r="J812">
            <v>0</v>
          </cell>
          <cell r="K812">
            <v>0</v>
          </cell>
        </row>
        <row r="813">
          <cell r="F813" t="str">
            <v>2.1.1.40.02 - Juros s/Capital Proprio a Pagar</v>
          </cell>
          <cell r="I813">
            <v>0</v>
          </cell>
          <cell r="J813">
            <v>0</v>
          </cell>
          <cell r="K813">
            <v>0</v>
          </cell>
        </row>
        <row r="814">
          <cell r="G814" t="str">
            <v>2.1.1.40.02.01 - Juros sobre capital próprio</v>
          </cell>
          <cell r="I814">
            <v>0</v>
          </cell>
          <cell r="J814">
            <v>0</v>
          </cell>
          <cell r="K814">
            <v>0</v>
          </cell>
        </row>
        <row r="815">
          <cell r="H815" t="str">
            <v>2114002010 Juros sobre Capital Próprio a Pagar (Realizado)</v>
          </cell>
          <cell r="I815">
            <v>0</v>
          </cell>
          <cell r="J815">
            <v>0</v>
          </cell>
          <cell r="K815">
            <v>0</v>
          </cell>
        </row>
        <row r="816">
          <cell r="D816" t="str">
            <v>2.1.1.80 - Outros Passivos Circulantes</v>
          </cell>
          <cell r="I816">
            <v>-20992433.760000002</v>
          </cell>
          <cell r="J816">
            <v>1406160.03</v>
          </cell>
          <cell r="K816">
            <v>-19586273.73</v>
          </cell>
        </row>
        <row r="817">
          <cell r="F817" t="str">
            <v>2.1.1.80.05 - Fornecido e Não Faturado</v>
          </cell>
          <cell r="I817">
            <v>-20209466.670000002</v>
          </cell>
          <cell r="J817">
            <v>1414057.75</v>
          </cell>
          <cell r="K817">
            <v>-18795408.920000002</v>
          </cell>
        </row>
        <row r="818">
          <cell r="G818" t="str">
            <v>2.1.1.80.05.01 - Energia Eletrica</v>
          </cell>
          <cell r="I818">
            <v>-14873767.720000001</v>
          </cell>
          <cell r="J818">
            <v>157796.53</v>
          </cell>
          <cell r="K818">
            <v>-14715971.189999999</v>
          </cell>
        </row>
        <row r="819">
          <cell r="H819" t="str">
            <v>2118005010 Fornec e nao Faturado-Energia Eletrica (Realizado)</v>
          </cell>
          <cell r="I819">
            <v>-14873767.720000001</v>
          </cell>
          <cell r="J819">
            <v>3904529.48</v>
          </cell>
          <cell r="K819">
            <v>-10969238.24</v>
          </cell>
        </row>
        <row r="820">
          <cell r="H820" t="str">
            <v>2118005011 Fornec e nao Faturado-Energia Eletrica(Conting.)</v>
          </cell>
          <cell r="I820">
            <v>0</v>
          </cell>
          <cell r="J820">
            <v>-3746732.95</v>
          </cell>
          <cell r="K820">
            <v>-3746732.95</v>
          </cell>
        </row>
        <row r="821">
          <cell r="G821" t="str">
            <v>2.1.1.80.05.02 - Água</v>
          </cell>
          <cell r="I821">
            <v>-41000</v>
          </cell>
          <cell r="J821">
            <v>0</v>
          </cell>
          <cell r="K821">
            <v>-41000</v>
          </cell>
        </row>
        <row r="822">
          <cell r="H822" t="str">
            <v>2118005020 Fornec e nao Faturado-Agua (Realizado)</v>
          </cell>
          <cell r="I822">
            <v>-41000</v>
          </cell>
          <cell r="J822">
            <v>0</v>
          </cell>
          <cell r="K822">
            <v>-41000</v>
          </cell>
        </row>
        <row r="823">
          <cell r="G823" t="str">
            <v>2.1.1.80.05.03 - Desembaraço Alfandeg. de Sal</v>
          </cell>
          <cell r="I823">
            <v>0</v>
          </cell>
          <cell r="J823">
            <v>0</v>
          </cell>
          <cell r="K823">
            <v>0</v>
          </cell>
        </row>
        <row r="824">
          <cell r="H824" t="str">
            <v>2118005030 Fornec e nao Fat-Desemb Alfandegario Sal (Realiz)</v>
          </cell>
          <cell r="I824">
            <v>0</v>
          </cell>
          <cell r="J824">
            <v>0</v>
          </cell>
          <cell r="K824">
            <v>0</v>
          </cell>
        </row>
        <row r="825">
          <cell r="G825" t="str">
            <v>2.1.1.80.05.04 - Materiais de Consumidos</v>
          </cell>
          <cell r="I825">
            <v>-5203156.21</v>
          </cell>
          <cell r="J825">
            <v>1349897.49</v>
          </cell>
          <cell r="K825">
            <v>-3853258.72</v>
          </cell>
        </row>
        <row r="826">
          <cell r="H826" t="str">
            <v>2118005040 Fornec e nao Faturado-Materiais de Cons (Realiz)</v>
          </cell>
          <cell r="I826">
            <v>-5203156.21</v>
          </cell>
          <cell r="J826">
            <v>1349897.49</v>
          </cell>
          <cell r="K826">
            <v>-3853258.72</v>
          </cell>
        </row>
        <row r="827">
          <cell r="G827" t="str">
            <v>2.1.1.80.05.09 - Serviços Prestados</v>
          </cell>
          <cell r="I827">
            <v>-91542.74</v>
          </cell>
          <cell r="J827">
            <v>-93636.27</v>
          </cell>
          <cell r="K827">
            <v>-185179.01</v>
          </cell>
        </row>
        <row r="828">
          <cell r="H828" t="str">
            <v>2118005090 Fornec e nao Faturado-Servs Prestados (Realizado)</v>
          </cell>
          <cell r="I828">
            <v>-91542.74</v>
          </cell>
          <cell r="J828">
            <v>-93636.27</v>
          </cell>
          <cell r="K828">
            <v>-185179.01</v>
          </cell>
        </row>
        <row r="829">
          <cell r="F829" t="str">
            <v>2.1.1.80.08 - Obrigações c/Processos Tributár</v>
          </cell>
          <cell r="I829">
            <v>0</v>
          </cell>
          <cell r="J829">
            <v>0</v>
          </cell>
          <cell r="K829">
            <v>0</v>
          </cell>
        </row>
        <row r="830">
          <cell r="G830" t="str">
            <v>2.1.1.80.08.01 - Obrigações c/Processos Tribu</v>
          </cell>
          <cell r="I830">
            <v>0</v>
          </cell>
          <cell r="J830">
            <v>0</v>
          </cell>
          <cell r="K830">
            <v>0</v>
          </cell>
        </row>
        <row r="831">
          <cell r="H831" t="str">
            <v>2118008010 Obrigaçoes c/Processos Tribut Federais (Realiz)</v>
          </cell>
          <cell r="I831">
            <v>0</v>
          </cell>
          <cell r="J831">
            <v>0</v>
          </cell>
          <cell r="K831">
            <v>0</v>
          </cell>
        </row>
        <row r="832">
          <cell r="G832" t="str">
            <v>2.1.1.80.08.02 - Obrigaçoes c/Processos Tribu</v>
          </cell>
          <cell r="I832">
            <v>0</v>
          </cell>
          <cell r="J832">
            <v>0</v>
          </cell>
          <cell r="K832">
            <v>0</v>
          </cell>
        </row>
        <row r="833">
          <cell r="H833" t="str">
            <v>2118008020 Obrigaçoes c/Processos Tribut Previdencia (Realiz)</v>
          </cell>
          <cell r="I833">
            <v>0</v>
          </cell>
          <cell r="J833">
            <v>0</v>
          </cell>
          <cell r="K833">
            <v>0</v>
          </cell>
        </row>
        <row r="834">
          <cell r="G834" t="str">
            <v>2.1.1.80.08.03 - Obrigações c/Processos Tribu</v>
          </cell>
          <cell r="I834">
            <v>0</v>
          </cell>
          <cell r="J834">
            <v>0</v>
          </cell>
          <cell r="K834">
            <v>0</v>
          </cell>
        </row>
        <row r="835">
          <cell r="H835" t="str">
            <v>2118008030 Obrigaçoes c/Processos Tribut Municipais (Realiz)</v>
          </cell>
          <cell r="I835">
            <v>0</v>
          </cell>
          <cell r="J835">
            <v>0</v>
          </cell>
          <cell r="K835">
            <v>0</v>
          </cell>
        </row>
        <row r="836">
          <cell r="F836" t="str">
            <v>2.1.1.80.10 - Retenções Contratuais</v>
          </cell>
          <cell r="I836">
            <v>-16416.61</v>
          </cell>
          <cell r="J836">
            <v>0</v>
          </cell>
          <cell r="K836">
            <v>-16416.61</v>
          </cell>
        </row>
        <row r="837">
          <cell r="G837" t="str">
            <v>2.1.1.80.10.01 - Ret. sobre Cont. de Compra</v>
          </cell>
          <cell r="I837">
            <v>-16416.61</v>
          </cell>
          <cell r="J837">
            <v>0</v>
          </cell>
          <cell r="K837">
            <v>-16416.61</v>
          </cell>
        </row>
        <row r="838">
          <cell r="H838" t="str">
            <v>2118010010 Retençoes s/Contratos de Compras (Realizado)</v>
          </cell>
          <cell r="I838">
            <v>-16416.61</v>
          </cell>
          <cell r="J838">
            <v>0</v>
          </cell>
          <cell r="K838">
            <v>-16416.61</v>
          </cell>
        </row>
        <row r="839">
          <cell r="F839" t="str">
            <v>2.1.1.80.50 - Adiantamentos Recebidos</v>
          </cell>
          <cell r="I839">
            <v>-766550.48</v>
          </cell>
          <cell r="J839">
            <v>-7897.72</v>
          </cell>
          <cell r="K839">
            <v>-774448.2</v>
          </cell>
        </row>
        <row r="840">
          <cell r="G840" t="str">
            <v>2.1.1.80.50.01 - Adiantamentos de Clientes</v>
          </cell>
          <cell r="I840">
            <v>-766550.48</v>
          </cell>
          <cell r="J840">
            <v>-7897.72</v>
          </cell>
          <cell r="K840">
            <v>-774448.2</v>
          </cell>
        </row>
        <row r="841">
          <cell r="H841" t="str">
            <v>2118050010 Adiantamentos de Clientes (Realizado)</v>
          </cell>
          <cell r="I841">
            <v>-766550.48</v>
          </cell>
          <cell r="J841">
            <v>-7897.72</v>
          </cell>
          <cell r="K841">
            <v>-774448.2</v>
          </cell>
        </row>
        <row r="842">
          <cell r="D842" t="str">
            <v>2.1.1.90 - Provisões e Contingências Circulan</v>
          </cell>
          <cell r="I842">
            <v>-9914824.7699999996</v>
          </cell>
          <cell r="J842">
            <v>535491.16</v>
          </cell>
          <cell r="K842">
            <v>-9379333.6099999994</v>
          </cell>
        </row>
        <row r="843">
          <cell r="F843" t="str">
            <v>2.1.1.90.01 - Provisões de Natureza Tributari</v>
          </cell>
          <cell r="I843">
            <v>-5228319.93</v>
          </cell>
          <cell r="J843">
            <v>-24102.46</v>
          </cell>
          <cell r="K843">
            <v>-5252422.3899999997</v>
          </cell>
        </row>
        <row r="844">
          <cell r="G844" t="str">
            <v>2.1.1.90.01.01 - Provisões de Natureza Tribut</v>
          </cell>
          <cell r="I844">
            <v>-3280546.93</v>
          </cell>
          <cell r="J844">
            <v>-11368.46</v>
          </cell>
          <cell r="K844">
            <v>-3291915.39</v>
          </cell>
        </row>
        <row r="845">
          <cell r="H845" t="str">
            <v>2119001010 Prov Nat Trib s/Dep Gar CP-Imp,Taxas Contr Fed (R)</v>
          </cell>
          <cell r="I845">
            <v>-3280546.93</v>
          </cell>
          <cell r="J845">
            <v>-11368.46</v>
          </cell>
          <cell r="K845">
            <v>-3291915.39</v>
          </cell>
        </row>
        <row r="846">
          <cell r="G846" t="str">
            <v>2.1.1.90.01.03 - Provisões de Natureza Tribut</v>
          </cell>
          <cell r="I846">
            <v>-1947773</v>
          </cell>
          <cell r="J846">
            <v>-12734</v>
          </cell>
          <cell r="K846">
            <v>-1960507</v>
          </cell>
        </row>
        <row r="847">
          <cell r="H847" t="str">
            <v>2119001030 Prov Nat Trib s/Dep Gar CP-Imp,Taxas Cont Mun (R)</v>
          </cell>
          <cell r="I847">
            <v>-1947773</v>
          </cell>
          <cell r="J847">
            <v>-12734</v>
          </cell>
          <cell r="K847">
            <v>-1960507</v>
          </cell>
        </row>
        <row r="848">
          <cell r="F848" t="str">
            <v>2.1.1.90.02 - Provisões de Natureza Trabalhis</v>
          </cell>
          <cell r="I848">
            <v>0</v>
          </cell>
          <cell r="J848">
            <v>0</v>
          </cell>
          <cell r="K848">
            <v>0</v>
          </cell>
        </row>
        <row r="849">
          <cell r="G849" t="str">
            <v>2.1.1.90.02.02 - Provisão de Indenizações Tra</v>
          </cell>
          <cell r="I849">
            <v>0</v>
          </cell>
          <cell r="J849">
            <v>0</v>
          </cell>
          <cell r="K849">
            <v>0</v>
          </cell>
        </row>
        <row r="850">
          <cell r="H850" t="str">
            <v>2119002020 Prov Ind Trab p/Desligamen Compulsório CP (Realiz)</v>
          </cell>
          <cell r="I850">
            <v>0</v>
          </cell>
          <cell r="J850">
            <v>0</v>
          </cell>
          <cell r="K850">
            <v>0</v>
          </cell>
        </row>
        <row r="851">
          <cell r="G851" t="str">
            <v>2.1.1.90.02.03 - Prov Nat Trab s/Dep Previd</v>
          </cell>
          <cell r="I851">
            <v>0</v>
          </cell>
          <cell r="J851">
            <v>0</v>
          </cell>
          <cell r="K851">
            <v>0</v>
          </cell>
        </row>
        <row r="852">
          <cell r="H852" t="str">
            <v>2119002030 Prov Nat Trab s/Dep Gar CP-Previdenciaria (Realiz)</v>
          </cell>
          <cell r="I852">
            <v>0</v>
          </cell>
          <cell r="J852">
            <v>0</v>
          </cell>
          <cell r="K852">
            <v>0</v>
          </cell>
        </row>
        <row r="853">
          <cell r="F853" t="str">
            <v>2.1.1.90.03 - Provisões de Natureza Operacion</v>
          </cell>
          <cell r="I853">
            <v>-4686504.84</v>
          </cell>
          <cell r="J853">
            <v>559593.62</v>
          </cell>
          <cell r="K853">
            <v>-4126911.22</v>
          </cell>
        </row>
        <row r="854">
          <cell r="G854" t="str">
            <v>2.1.1.90.03.01 - Provisões de Despesas com Fr</v>
          </cell>
          <cell r="I854">
            <v>-4167553.07</v>
          </cell>
          <cell r="J854">
            <v>952819.75</v>
          </cell>
          <cell r="K854">
            <v>-3214733.32</v>
          </cell>
        </row>
        <row r="855">
          <cell r="H855" t="str">
            <v>2119003010 Prov Nat Op Desp c/ Fretes s/Vendas CP (Realizado)</v>
          </cell>
          <cell r="I855">
            <v>-4167553.07</v>
          </cell>
          <cell r="J855">
            <v>952819.75</v>
          </cell>
          <cell r="K855">
            <v>-3214733.32</v>
          </cell>
        </row>
        <row r="856">
          <cell r="G856" t="str">
            <v>2.1.1.90.03.02 - Provisões de Despesas com Se</v>
          </cell>
          <cell r="I856">
            <v>-105371.44</v>
          </cell>
          <cell r="J856">
            <v>15000</v>
          </cell>
          <cell r="K856">
            <v>-90371.44</v>
          </cell>
        </row>
        <row r="857">
          <cell r="H857" t="str">
            <v>2119003020 Prov Nat Op Desp c/ Servs Tecn e Prof CP (Realiz)</v>
          </cell>
          <cell r="I857">
            <v>-105371.44</v>
          </cell>
          <cell r="J857">
            <v>15000</v>
          </cell>
          <cell r="K857">
            <v>-90371.44</v>
          </cell>
        </row>
        <row r="858">
          <cell r="G858" t="str">
            <v>2.1.1.90.03.03 - Provisões de Despesas com Se</v>
          </cell>
          <cell r="I858">
            <v>-297837.03999999998</v>
          </cell>
          <cell r="J858">
            <v>40250</v>
          </cell>
          <cell r="K858">
            <v>-257587.04</v>
          </cell>
        </row>
        <row r="859">
          <cell r="H859" t="str">
            <v>2119003030 Prov Nat Op Desp c/Servs de Auditoria CP (Realiz)</v>
          </cell>
          <cell r="I859">
            <v>-297837.03999999998</v>
          </cell>
          <cell r="J859">
            <v>40250</v>
          </cell>
          <cell r="K859">
            <v>-257587.04</v>
          </cell>
        </row>
        <row r="860">
          <cell r="G860" t="str">
            <v>2.1.1.90.03.04 - Provisões de Despesas com Se</v>
          </cell>
          <cell r="I860">
            <v>-115743.29</v>
          </cell>
          <cell r="J860">
            <v>55743.29</v>
          </cell>
          <cell r="K860">
            <v>-60000</v>
          </cell>
        </row>
        <row r="861">
          <cell r="H861" t="str">
            <v>2119003040 Prov Nat Op Desp c/Seguros Gerais CP (Realizado)</v>
          </cell>
          <cell r="I861">
            <v>-115743.29</v>
          </cell>
          <cell r="J861">
            <v>55743.29</v>
          </cell>
          <cell r="K861">
            <v>-60000</v>
          </cell>
        </row>
        <row r="862">
          <cell r="G862" t="str">
            <v>2.1.1.90.03.99 - Outras Despesas Provisionada</v>
          </cell>
          <cell r="I862">
            <v>0</v>
          </cell>
          <cell r="J862">
            <v>-504219.42</v>
          </cell>
          <cell r="K862">
            <v>-504219.42</v>
          </cell>
        </row>
        <row r="863">
          <cell r="H863" t="str">
            <v>2119003990 Prov Nat Op Outras Desp Provisionadas CP (Realiz)</v>
          </cell>
          <cell r="I863">
            <v>0</v>
          </cell>
          <cell r="J863">
            <v>-504219.42</v>
          </cell>
          <cell r="K863">
            <v>-504219.42</v>
          </cell>
        </row>
        <row r="864">
          <cell r="I864">
            <v>-702967976.63999999</v>
          </cell>
          <cell r="J864">
            <v>-1923732.23</v>
          </cell>
          <cell r="K864">
            <v>-704891708.87</v>
          </cell>
        </row>
        <row r="865">
          <cell r="C865" t="str">
            <v>2.3.1 - OBRIGAÇÕES DE LONGO PRAZO</v>
          </cell>
          <cell r="I865">
            <v>-702967976.63999999</v>
          </cell>
          <cell r="J865">
            <v>-1923732.23</v>
          </cell>
          <cell r="K865">
            <v>-704891708.87</v>
          </cell>
        </row>
        <row r="866">
          <cell r="D866" t="str">
            <v>2.3.1.01 - Fornecedores - LP</v>
          </cell>
          <cell r="I866">
            <v>0</v>
          </cell>
          <cell r="J866">
            <v>0</v>
          </cell>
          <cell r="K866">
            <v>0</v>
          </cell>
        </row>
        <row r="867">
          <cell r="F867" t="str">
            <v>2.3.1.01.02 - Fornecedores do Exterior</v>
          </cell>
          <cell r="I867">
            <v>0</v>
          </cell>
          <cell r="J867">
            <v>0</v>
          </cell>
          <cell r="K867">
            <v>0</v>
          </cell>
        </row>
        <row r="868">
          <cell r="G868" t="str">
            <v>2.3.1.01.02.04 - Fornecedores  do Exterior de</v>
          </cell>
          <cell r="I868">
            <v>0</v>
          </cell>
          <cell r="J868">
            <v>0</v>
          </cell>
          <cell r="K868">
            <v>0</v>
          </cell>
        </row>
        <row r="869">
          <cell r="H869" t="str">
            <v>2310102040 Forn do Exterior de Material de Cons LP (Realiz)</v>
          </cell>
          <cell r="I869">
            <v>0</v>
          </cell>
          <cell r="J869">
            <v>0</v>
          </cell>
          <cell r="K869">
            <v>0</v>
          </cell>
        </row>
        <row r="870">
          <cell r="D870" t="str">
            <v>2.3.1.05 - Emprést. e Financ. Bancários - LP</v>
          </cell>
          <cell r="I870">
            <v>-495898896.05000001</v>
          </cell>
          <cell r="J870">
            <v>696157.47</v>
          </cell>
          <cell r="K870">
            <v>-495202738.57999998</v>
          </cell>
        </row>
        <row r="871">
          <cell r="F871" t="str">
            <v>2.3.1.05.02 - Empréstimos e Financiamentos -</v>
          </cell>
          <cell r="I871">
            <v>-495898896.05000001</v>
          </cell>
          <cell r="J871">
            <v>696157.47</v>
          </cell>
          <cell r="K871">
            <v>-495202738.57999998</v>
          </cell>
        </row>
        <row r="872">
          <cell r="G872" t="str">
            <v>2.3.1.05.02.01 - Empréstimos e Financiamentos</v>
          </cell>
          <cell r="I872">
            <v>-490286631.30000001</v>
          </cell>
          <cell r="J872">
            <v>372736.84</v>
          </cell>
          <cell r="K872">
            <v>-489913894.45999998</v>
          </cell>
        </row>
        <row r="873">
          <cell r="H873" t="str">
            <v>2310502010 Emprest Finan Bancarios Moeda Nacional LP (R)</v>
          </cell>
          <cell r="I873">
            <v>-490286631.30000001</v>
          </cell>
          <cell r="J873">
            <v>372736.84</v>
          </cell>
          <cell r="K873">
            <v>-489913894.45999998</v>
          </cell>
        </row>
        <row r="874">
          <cell r="G874" t="str">
            <v>2.3.1.05.02.50 - Custo de Aquis de Emprs e Fi</v>
          </cell>
          <cell r="I874">
            <v>0</v>
          </cell>
          <cell r="J874">
            <v>0</v>
          </cell>
          <cell r="K874">
            <v>0</v>
          </cell>
        </row>
        <row r="875">
          <cell r="H875" t="str">
            <v>2310502500 Custo Aquis de Emprs e Financ a Amort em MN LP (R)</v>
          </cell>
          <cell r="I875">
            <v>0</v>
          </cell>
          <cell r="J875">
            <v>0</v>
          </cell>
          <cell r="K875">
            <v>0</v>
          </cell>
        </row>
        <row r="876">
          <cell r="G876" t="str">
            <v>2.3.1.05.02.60 - Empréstimos e Financiamentos</v>
          </cell>
          <cell r="I876">
            <v>-5612264.75</v>
          </cell>
          <cell r="J876">
            <v>323420.63</v>
          </cell>
          <cell r="K876">
            <v>-5288844.12</v>
          </cell>
        </row>
        <row r="877">
          <cell r="H877" t="str">
            <v>2310502600 Empr Financiamentos Moeda Estrangeira LP (Realiz)</v>
          </cell>
          <cell r="I877">
            <v>-5612264.75</v>
          </cell>
          <cell r="J877">
            <v>323420.63</v>
          </cell>
          <cell r="K877">
            <v>-5288844.12</v>
          </cell>
        </row>
        <row r="878">
          <cell r="G878" t="str">
            <v>2.3.1.05.02.90 - Hedge s/Empréstimos e Financ</v>
          </cell>
          <cell r="I878">
            <v>0</v>
          </cell>
          <cell r="J878">
            <v>0</v>
          </cell>
          <cell r="K878">
            <v>0</v>
          </cell>
        </row>
        <row r="879">
          <cell r="H879" t="str">
            <v>2310502900 Hedge s/Emp Financ em Moeda Estrang LP (Realiz)</v>
          </cell>
          <cell r="I879">
            <v>0</v>
          </cell>
          <cell r="J879">
            <v>0</v>
          </cell>
          <cell r="K879">
            <v>0</v>
          </cell>
        </row>
        <row r="880">
          <cell r="D880" t="str">
            <v>2.3.1.20 - Obrigações Tributarias sobre o Luc</v>
          </cell>
          <cell r="I880">
            <v>-140421294.08000001</v>
          </cell>
          <cell r="J880">
            <v>-1311854.92</v>
          </cell>
          <cell r="K880">
            <v>-141733149</v>
          </cell>
        </row>
        <row r="881">
          <cell r="F881" t="str">
            <v>2.3.1.20.01 - Contribuição Social sobre o Luc</v>
          </cell>
          <cell r="I881">
            <v>-37170342</v>
          </cell>
          <cell r="J881">
            <v>-347256</v>
          </cell>
          <cell r="K881">
            <v>-37517598</v>
          </cell>
        </row>
        <row r="882">
          <cell r="G882" t="str">
            <v>2.3.1.20.01.03 - Provisão para a Contribuição</v>
          </cell>
          <cell r="I882">
            <v>-37170342</v>
          </cell>
          <cell r="J882">
            <v>-347256</v>
          </cell>
          <cell r="K882">
            <v>-37517598</v>
          </cell>
        </row>
        <row r="883">
          <cell r="H883" t="str">
            <v>2312001030 Prov p/CSLL Diferida s/Depr Fiscal LP (Realiz)</v>
          </cell>
          <cell r="I883">
            <v>-37170342</v>
          </cell>
          <cell r="J883">
            <v>-347256</v>
          </cell>
          <cell r="K883">
            <v>-37517598</v>
          </cell>
        </row>
        <row r="884">
          <cell r="G884" t="str">
            <v>2.3.1.20.01.04 - Provisão para a Contribuição</v>
          </cell>
          <cell r="I884">
            <v>0</v>
          </cell>
          <cell r="J884">
            <v>0</v>
          </cell>
          <cell r="K884">
            <v>0</v>
          </cell>
        </row>
        <row r="885">
          <cell r="H885" t="str">
            <v>2312001040 Prov p/CSLL Diferida s/Dif Temp (Realiz)</v>
          </cell>
          <cell r="I885">
            <v>0</v>
          </cell>
          <cell r="J885">
            <v>0</v>
          </cell>
          <cell r="K885">
            <v>0</v>
          </cell>
        </row>
        <row r="886">
          <cell r="F886" t="str">
            <v>2.3.1.20.02 - Imposto de Renda Pessoa Juridic</v>
          </cell>
          <cell r="I886">
            <v>-103250952.08</v>
          </cell>
          <cell r="J886">
            <v>-964598.92</v>
          </cell>
          <cell r="K886">
            <v>-104215551</v>
          </cell>
        </row>
        <row r="887">
          <cell r="G887" t="str">
            <v>2.3.1.20.02.03 - Provisão para o Imposto de R</v>
          </cell>
          <cell r="I887">
            <v>-103250952.08</v>
          </cell>
          <cell r="J887">
            <v>-964598.92</v>
          </cell>
          <cell r="K887">
            <v>-104215551</v>
          </cell>
        </row>
        <row r="888">
          <cell r="H888" t="str">
            <v>2312002030 Prov p/IR Diferida s/Depr Fiscal LP (Realiz)</v>
          </cell>
          <cell r="I888">
            <v>-103250952.08</v>
          </cell>
          <cell r="J888">
            <v>-964598.92</v>
          </cell>
          <cell r="K888">
            <v>-104215551</v>
          </cell>
        </row>
        <row r="889">
          <cell r="G889" t="str">
            <v>2.3.1.20.02.04 - Provisão para o Imposto de R</v>
          </cell>
          <cell r="I889">
            <v>0</v>
          </cell>
          <cell r="J889">
            <v>0</v>
          </cell>
          <cell r="K889">
            <v>0</v>
          </cell>
        </row>
        <row r="890">
          <cell r="H890" t="str">
            <v>2312002040 Prov p/IR Diferida s/Dif Temp (Realiz)</v>
          </cell>
          <cell r="I890">
            <v>0</v>
          </cell>
          <cell r="J890">
            <v>0</v>
          </cell>
          <cell r="K890">
            <v>0</v>
          </cell>
        </row>
        <row r="891">
          <cell r="D891" t="str">
            <v>2.3.1.80 - Outros Passivos Não Circulantes</v>
          </cell>
          <cell r="I891">
            <v>-35238.97</v>
          </cell>
          <cell r="J891">
            <v>-25672.11</v>
          </cell>
          <cell r="K891">
            <v>-60911.08</v>
          </cell>
        </row>
        <row r="892">
          <cell r="F892" t="str">
            <v>2.3.1.80.01 - Ativo Atuarial LP</v>
          </cell>
          <cell r="I892">
            <v>-35238.97</v>
          </cell>
          <cell r="J892">
            <v>-25672.11</v>
          </cell>
          <cell r="K892">
            <v>-60911.08</v>
          </cell>
        </row>
        <row r="893">
          <cell r="G893" t="str">
            <v>2.3.1.80.01.01 - Previdencia Privada - CVM 37</v>
          </cell>
          <cell r="I893">
            <v>-35238.97</v>
          </cell>
          <cell r="J893">
            <v>-25672.11</v>
          </cell>
          <cell r="K893">
            <v>-60911.08</v>
          </cell>
        </row>
        <row r="894">
          <cell r="H894" t="str">
            <v>2318001010 Previdencia Privada-CVM 371 LP (Realizado)</v>
          </cell>
          <cell r="I894">
            <v>-35238.97</v>
          </cell>
          <cell r="J894">
            <v>-25672.11</v>
          </cell>
          <cell r="K894">
            <v>-60911.08</v>
          </cell>
        </row>
        <row r="895">
          <cell r="D895" t="str">
            <v>2.3.1.90 - Provisões e Contingências Não Circ</v>
          </cell>
          <cell r="I895">
            <v>-52532240.939999998</v>
          </cell>
          <cell r="J895">
            <v>-1204544.77</v>
          </cell>
          <cell r="K895">
            <v>-53736785.710000001</v>
          </cell>
        </row>
        <row r="896">
          <cell r="F896" t="str">
            <v>2.3.1.90.00 - Provisões de Natureza Cível</v>
          </cell>
          <cell r="I896">
            <v>-23843334.359999999</v>
          </cell>
          <cell r="J896">
            <v>-239922.11</v>
          </cell>
          <cell r="K896">
            <v>-24083256.469999999</v>
          </cell>
        </row>
        <row r="897">
          <cell r="H897" t="str">
            <v>2319000010 Prov Nat Cível s/Dep Gar LP (R)</v>
          </cell>
          <cell r="I897">
            <v>-23843334.359999999</v>
          </cell>
          <cell r="J897">
            <v>-239922.11</v>
          </cell>
          <cell r="K897">
            <v>-24083256.469999999</v>
          </cell>
        </row>
        <row r="898">
          <cell r="F898" t="str">
            <v>2.3.1.90.01 - Provisões de Natureza Tributari</v>
          </cell>
          <cell r="I898">
            <v>-1371674.36</v>
          </cell>
          <cell r="J898">
            <v>143445.95000000001</v>
          </cell>
          <cell r="K898">
            <v>-1228228.4099999999</v>
          </cell>
        </row>
        <row r="899">
          <cell r="G899" t="str">
            <v>2.3.1.90.01.01 - Provisões de Natureza Tribut</v>
          </cell>
          <cell r="I899">
            <v>-665116.89</v>
          </cell>
          <cell r="J899">
            <v>155638.95000000001</v>
          </cell>
          <cell r="K899">
            <v>-509477.94</v>
          </cell>
        </row>
        <row r="900">
          <cell r="H900" t="str">
            <v>2319001010 Prov Nat Trib s/Dep Gar LP-Imp,Taxs Cont Fed (R)</v>
          </cell>
          <cell r="I900">
            <v>-665116.89</v>
          </cell>
          <cell r="J900">
            <v>155638.95000000001</v>
          </cell>
          <cell r="K900">
            <v>-509477.94</v>
          </cell>
        </row>
        <row r="901">
          <cell r="G901" t="str">
            <v>2.3.1.90.01.02 - Prov Nat Trib Estaduais</v>
          </cell>
          <cell r="I901">
            <v>-706557.47</v>
          </cell>
          <cell r="J901">
            <v>-12193</v>
          </cell>
          <cell r="K901">
            <v>-718750.47</v>
          </cell>
        </row>
        <row r="902">
          <cell r="H902" t="str">
            <v>2319001020 Prov Nat Trib s/Dep Gar LP-Imp,Taxs Cont Est (R)</v>
          </cell>
          <cell r="I902">
            <v>-706557.47</v>
          </cell>
          <cell r="J902">
            <v>-12193</v>
          </cell>
          <cell r="K902">
            <v>-718750.47</v>
          </cell>
        </row>
        <row r="903">
          <cell r="F903" t="str">
            <v>2.3.1.90.02 - Provisões de Natureza Trabalhis</v>
          </cell>
          <cell r="I903">
            <v>-27317232.219999999</v>
          </cell>
          <cell r="J903">
            <v>-1108068.6100000001</v>
          </cell>
          <cell r="K903">
            <v>-28425300.829999998</v>
          </cell>
        </row>
        <row r="904">
          <cell r="G904" t="str">
            <v>2.3.1.90.02.01 - Provisões de Natureza Trabal</v>
          </cell>
          <cell r="I904">
            <v>-7081355.2400000002</v>
          </cell>
          <cell r="J904">
            <v>-1230028.3500000001</v>
          </cell>
          <cell r="K904">
            <v>-8311383.5899999999</v>
          </cell>
        </row>
        <row r="905">
          <cell r="H905" t="str">
            <v>2319002010 Prov Nat Trab s/Dep em Gar LP-Recl Trabalh (Real)</v>
          </cell>
          <cell r="I905">
            <v>-7081355.2400000002</v>
          </cell>
          <cell r="J905">
            <v>-1230028.3500000001</v>
          </cell>
          <cell r="K905">
            <v>-8311383.5899999999</v>
          </cell>
        </row>
        <row r="906">
          <cell r="G906" t="str">
            <v>2.3.1.90.02.03 - Provisões de Natureza Trabal</v>
          </cell>
          <cell r="I906">
            <v>0</v>
          </cell>
          <cell r="J906">
            <v>0</v>
          </cell>
          <cell r="K906">
            <v>0</v>
          </cell>
        </row>
        <row r="907">
          <cell r="H907" t="str">
            <v>2319002030 Prov Nat Trab s/Dep Gar LP-Previdenciaria (Realiz)</v>
          </cell>
          <cell r="I907">
            <v>0</v>
          </cell>
          <cell r="J907">
            <v>0</v>
          </cell>
          <cell r="K907">
            <v>0</v>
          </cell>
        </row>
        <row r="908">
          <cell r="G908" t="str">
            <v>2.3.1.90.02.10 - FGTS e Aviso Previo s/Aposen</v>
          </cell>
          <cell r="I908">
            <v>-16067963.85</v>
          </cell>
          <cell r="J908">
            <v>75198.38</v>
          </cell>
          <cell r="K908">
            <v>-15992765.470000001</v>
          </cell>
        </row>
        <row r="909">
          <cell r="H909" t="str">
            <v>2319002100 Prov Nat Trab FGTS Aviso Prev s/Aposen Comp LP (R)</v>
          </cell>
          <cell r="I909">
            <v>-16067963.85</v>
          </cell>
          <cell r="J909">
            <v>75198.38</v>
          </cell>
          <cell r="K909">
            <v>-15992765.470000001</v>
          </cell>
        </row>
        <row r="910">
          <cell r="G910" t="str">
            <v>2.3.1.90.02.15 - Assistencia Medica Aposentad</v>
          </cell>
          <cell r="I910">
            <v>-2256573.67</v>
          </cell>
          <cell r="J910">
            <v>20759.59</v>
          </cell>
          <cell r="K910">
            <v>-2235814.08</v>
          </cell>
        </row>
        <row r="911">
          <cell r="H911" t="str">
            <v>2319002150 Prov Nat Trab Assist Medica Aposent LP (Realizado)</v>
          </cell>
          <cell r="I911">
            <v>-2256573.67</v>
          </cell>
          <cell r="J911">
            <v>20759.59</v>
          </cell>
          <cell r="K911">
            <v>-2235814.08</v>
          </cell>
        </row>
        <row r="912">
          <cell r="G912" t="str">
            <v>2.3.1.90.02.20 - Gratificações por Tempo de S</v>
          </cell>
          <cell r="I912">
            <v>-1911339.46</v>
          </cell>
          <cell r="J912">
            <v>26001.77</v>
          </cell>
          <cell r="K912">
            <v>-1885337.69</v>
          </cell>
        </row>
        <row r="913">
          <cell r="H913" t="str">
            <v>2319002200 Prov Nat Trab Gratif Tempo Serv LP-Quinq (Realiz)</v>
          </cell>
          <cell r="I913">
            <v>-1911339.46</v>
          </cell>
          <cell r="J913">
            <v>26001.77</v>
          </cell>
          <cell r="K913">
            <v>-1885337.69</v>
          </cell>
        </row>
        <row r="914">
          <cell r="F914" t="str">
            <v>2.3.1.90.03 - Provisões de Natureza Operacion</v>
          </cell>
          <cell r="I914">
            <v>0</v>
          </cell>
          <cell r="J914">
            <v>0</v>
          </cell>
          <cell r="K914">
            <v>0</v>
          </cell>
        </row>
        <row r="915">
          <cell r="G915" t="str">
            <v>2.3.1.90.03.10 - Provisões de Despesas  Ambie</v>
          </cell>
          <cell r="I915">
            <v>0</v>
          </cell>
          <cell r="J915">
            <v>0</v>
          </cell>
          <cell r="K915">
            <v>0</v>
          </cell>
        </row>
        <row r="916">
          <cell r="H916" t="str">
            <v>2319003100 Prov Nat Op Desp Amb Trat Subsolo LP (Realiz)</v>
          </cell>
          <cell r="I916">
            <v>0</v>
          </cell>
          <cell r="J916">
            <v>0</v>
          </cell>
          <cell r="K916">
            <v>0</v>
          </cell>
        </row>
        <row r="917">
          <cell r="G917" t="str">
            <v>2.3.1.90.03.90 - Outras Provisões de Despesas</v>
          </cell>
          <cell r="I917">
            <v>0</v>
          </cell>
          <cell r="J917">
            <v>0</v>
          </cell>
          <cell r="K917">
            <v>0</v>
          </cell>
        </row>
        <row r="918">
          <cell r="H918" t="str">
            <v>2319003900 Prov Nat Op Outras Desps LP (Realiz)</v>
          </cell>
          <cell r="I918">
            <v>0</v>
          </cell>
          <cell r="J918">
            <v>0</v>
          </cell>
          <cell r="K918">
            <v>0</v>
          </cell>
        </row>
        <row r="919">
          <cell r="D919" t="str">
            <v>2.3.1.91 - Provisões e Contingências Não Circ</v>
          </cell>
          <cell r="I919">
            <v>-14080306.6</v>
          </cell>
          <cell r="J919">
            <v>-77817.899999999994</v>
          </cell>
          <cell r="K919">
            <v>-14158124.5</v>
          </cell>
        </row>
        <row r="920">
          <cell r="F920" t="str">
            <v>2.3.1.91.00 - Provisões de Natureza Cível</v>
          </cell>
          <cell r="I920">
            <v>0</v>
          </cell>
          <cell r="J920">
            <v>0</v>
          </cell>
          <cell r="K920">
            <v>0</v>
          </cell>
        </row>
        <row r="921">
          <cell r="G921" t="str">
            <v>2.3.1.91.00.01 - Provisões de Natureza Cível</v>
          </cell>
          <cell r="I921">
            <v>0</v>
          </cell>
          <cell r="J921">
            <v>0</v>
          </cell>
          <cell r="K921">
            <v>0</v>
          </cell>
        </row>
        <row r="922">
          <cell r="H922" t="str">
            <v>2319100010 Prov Nat Cível c/Dep Gar LP- (R)</v>
          </cell>
          <cell r="I922">
            <v>0</v>
          </cell>
          <cell r="J922">
            <v>0</v>
          </cell>
          <cell r="K922">
            <v>0</v>
          </cell>
        </row>
        <row r="923">
          <cell r="F923" t="str">
            <v>2.3.1.91.01 - Provisões de Natureza Tributari</v>
          </cell>
          <cell r="I923">
            <v>-13183236.25</v>
          </cell>
          <cell r="J923">
            <v>-77817.899999999994</v>
          </cell>
          <cell r="K923">
            <v>-13261054.15</v>
          </cell>
        </row>
        <row r="924">
          <cell r="G924" t="str">
            <v>2.3.1.91.01.01 - Provisões de Natureza Tribut</v>
          </cell>
          <cell r="I924">
            <v>-11418224.300000001</v>
          </cell>
          <cell r="J924">
            <v>0</v>
          </cell>
          <cell r="K924">
            <v>-11418224.300000001</v>
          </cell>
        </row>
        <row r="925">
          <cell r="H925" t="str">
            <v>2319101010 Prov Nat Trib c/Dep Gar LP-Imp,Taxas Cont Fed (R)</v>
          </cell>
          <cell r="I925">
            <v>-11418224.300000001</v>
          </cell>
          <cell r="J925">
            <v>0</v>
          </cell>
          <cell r="K925">
            <v>-11418224.300000001</v>
          </cell>
        </row>
        <row r="926">
          <cell r="G926" t="str">
            <v>2.3.1.91.01.03 - Provisões de Natureza Tribut</v>
          </cell>
          <cell r="I926">
            <v>-1765011.95</v>
          </cell>
          <cell r="J926">
            <v>-77817.899999999994</v>
          </cell>
          <cell r="K926">
            <v>-1842829.85</v>
          </cell>
        </row>
        <row r="927">
          <cell r="H927" t="str">
            <v>2319101030 Prov Nat Trib c/Dep em Gar LP-Imps Taxs Ctrb M (R)</v>
          </cell>
          <cell r="I927">
            <v>-1765011.95</v>
          </cell>
          <cell r="J927">
            <v>-77817.899999999994</v>
          </cell>
          <cell r="K927">
            <v>-1842829.85</v>
          </cell>
        </row>
        <row r="928">
          <cell r="F928" t="str">
            <v>2.3.1.91.02 - Provisões de Natureza Trabalhis</v>
          </cell>
          <cell r="I928">
            <v>-897070.35</v>
          </cell>
          <cell r="J928">
            <v>0</v>
          </cell>
          <cell r="K928">
            <v>-897070.35</v>
          </cell>
        </row>
        <row r="929">
          <cell r="G929" t="str">
            <v>2.3.1.91.02.03 - Provisões de Natureza Trabal</v>
          </cell>
          <cell r="I929">
            <v>-897070.35</v>
          </cell>
          <cell r="J929">
            <v>0</v>
          </cell>
          <cell r="K929">
            <v>-897070.35</v>
          </cell>
        </row>
        <row r="930">
          <cell r="H930" t="str">
            <v>2319102030 Prov Nat Trab c/Dep em Gar LP - Previd (Realizado)</v>
          </cell>
          <cell r="I930">
            <v>-897070.35</v>
          </cell>
          <cell r="J930">
            <v>0</v>
          </cell>
          <cell r="K930">
            <v>-897070.35</v>
          </cell>
        </row>
        <row r="931">
          <cell r="I931">
            <v>-761753442.85000002</v>
          </cell>
          <cell r="J931">
            <v>65204</v>
          </cell>
          <cell r="K931">
            <v>-761688238.85000002</v>
          </cell>
        </row>
        <row r="932">
          <cell r="C932" t="str">
            <v>2.7.1 - CAPITAL REALIZADO</v>
          </cell>
          <cell r="I932">
            <v>-384330953.12</v>
          </cell>
          <cell r="J932">
            <v>0</v>
          </cell>
          <cell r="K932">
            <v>-384330953.12</v>
          </cell>
        </row>
        <row r="933">
          <cell r="D933" t="str">
            <v>2.7.1.01 - Capital Realizado</v>
          </cell>
          <cell r="I933">
            <v>-384330953.12</v>
          </cell>
          <cell r="J933">
            <v>0</v>
          </cell>
          <cell r="K933">
            <v>-384330953.12</v>
          </cell>
        </row>
        <row r="934">
          <cell r="F934" t="str">
            <v>2.7.1.01.01 - Capital Subscrito</v>
          </cell>
          <cell r="I934">
            <v>-384330953.12</v>
          </cell>
          <cell r="J934">
            <v>0</v>
          </cell>
          <cell r="K934">
            <v>-384330953.12</v>
          </cell>
        </row>
        <row r="935">
          <cell r="G935" t="str">
            <v>2.7.1.01.01.01 - Capital Subscrito de Domicil</v>
          </cell>
          <cell r="I935">
            <v>-384330953.12</v>
          </cell>
          <cell r="J935">
            <v>0</v>
          </cell>
          <cell r="K935">
            <v>-384330953.12</v>
          </cell>
        </row>
        <row r="936">
          <cell r="H936" t="str">
            <v>2710101010 Capital  Subs Domic e Resids no Pais (Realizado)</v>
          </cell>
          <cell r="I936">
            <v>-384330953.12</v>
          </cell>
          <cell r="J936">
            <v>0</v>
          </cell>
          <cell r="K936">
            <v>-384330953.12</v>
          </cell>
        </row>
        <row r="937">
          <cell r="F937" t="str">
            <v>2.7.1.01.02 - Capital a Integralizar</v>
          </cell>
          <cell r="I937">
            <v>0</v>
          </cell>
          <cell r="J937">
            <v>0</v>
          </cell>
          <cell r="K937">
            <v>0</v>
          </cell>
        </row>
        <row r="938">
          <cell r="G938" t="str">
            <v>2.7.1.01.02.01 - (-) Capital a Integralizar d</v>
          </cell>
          <cell r="I938">
            <v>0</v>
          </cell>
          <cell r="J938">
            <v>0</v>
          </cell>
          <cell r="K938">
            <v>0</v>
          </cell>
        </row>
        <row r="939">
          <cell r="H939" t="str">
            <v>2710102010 (-)Cap a Integr Domicil e Resid no Pais (Realiz)</v>
          </cell>
          <cell r="I939">
            <v>0</v>
          </cell>
          <cell r="J939">
            <v>0</v>
          </cell>
          <cell r="K939">
            <v>0</v>
          </cell>
        </row>
        <row r="940">
          <cell r="C940" t="str">
            <v>2.7.4 - RESERVAS</v>
          </cell>
          <cell r="I940">
            <v>-418127093.75</v>
          </cell>
          <cell r="J940">
            <v>0</v>
          </cell>
          <cell r="K940">
            <v>-418127093.75</v>
          </cell>
        </row>
        <row r="941">
          <cell r="D941" t="str">
            <v>2.7.4.01 - Reservas de Capital</v>
          </cell>
          <cell r="I941">
            <v>-79.84</v>
          </cell>
          <cell r="J941">
            <v>0</v>
          </cell>
          <cell r="K941">
            <v>-79.84</v>
          </cell>
        </row>
        <row r="942">
          <cell r="F942" t="str">
            <v>2.7.4.01.01 - Reservas de Capital</v>
          </cell>
          <cell r="I942">
            <v>-79.84</v>
          </cell>
          <cell r="J942">
            <v>0</v>
          </cell>
          <cell r="K942">
            <v>-79.84</v>
          </cell>
        </row>
        <row r="943">
          <cell r="G943" t="str">
            <v>2.7.4.01.01.01 - Reservas de Capital</v>
          </cell>
          <cell r="I943">
            <v>-79.84</v>
          </cell>
          <cell r="J943">
            <v>0</v>
          </cell>
          <cell r="K943">
            <v>-79.84</v>
          </cell>
        </row>
        <row r="944">
          <cell r="H944" t="str">
            <v>2740101010 Reservas de Capital (Realizado)</v>
          </cell>
          <cell r="I944">
            <v>-79.84</v>
          </cell>
          <cell r="J944">
            <v>0</v>
          </cell>
          <cell r="K944">
            <v>-79.84</v>
          </cell>
        </row>
        <row r="945">
          <cell r="D945" t="str">
            <v>2.7.4.02 - Reservas de Lucros</v>
          </cell>
          <cell r="I945">
            <v>-418127013.91000003</v>
          </cell>
          <cell r="J945">
            <v>0</v>
          </cell>
          <cell r="K945">
            <v>-418127013.91000003</v>
          </cell>
        </row>
        <row r="946">
          <cell r="F946" t="str">
            <v>2.7.4.02.01 - Reserva Legal</v>
          </cell>
          <cell r="I946">
            <v>-23131218.949999999</v>
          </cell>
          <cell r="J946">
            <v>0</v>
          </cell>
          <cell r="K946">
            <v>-23131218.949999999</v>
          </cell>
        </row>
        <row r="947">
          <cell r="G947" t="str">
            <v>2.7.4.02.01.01 - Reserva Legal</v>
          </cell>
          <cell r="I947">
            <v>-23131218.949999999</v>
          </cell>
          <cell r="J947">
            <v>0</v>
          </cell>
          <cell r="K947">
            <v>-23131218.949999999</v>
          </cell>
        </row>
        <row r="948">
          <cell r="H948" t="str">
            <v>2740201010 Reserva Legal (Realizado)</v>
          </cell>
          <cell r="I948">
            <v>-23131218.949999999</v>
          </cell>
          <cell r="J948">
            <v>0</v>
          </cell>
          <cell r="K948">
            <v>-23131218.949999999</v>
          </cell>
        </row>
        <row r="949">
          <cell r="G949" t="str">
            <v>2.7.4.02.01.99 - Reversão da Reserva Legal</v>
          </cell>
          <cell r="I949">
            <v>0</v>
          </cell>
          <cell r="J949">
            <v>0</v>
          </cell>
          <cell r="K949">
            <v>0</v>
          </cell>
        </row>
        <row r="950">
          <cell r="H950" t="str">
            <v>2740201990 Reversão de Reserva Legal  p/Incorporaçao (Realiz)</v>
          </cell>
          <cell r="I950">
            <v>0</v>
          </cell>
          <cell r="J950">
            <v>0</v>
          </cell>
          <cell r="K950">
            <v>0</v>
          </cell>
        </row>
        <row r="951">
          <cell r="F951" t="str">
            <v>2.7.4.02.02 - Reserva Estatutária</v>
          </cell>
          <cell r="I951">
            <v>-43454068.93</v>
          </cell>
          <cell r="J951">
            <v>0</v>
          </cell>
          <cell r="K951">
            <v>-43454068.93</v>
          </cell>
        </row>
        <row r="952">
          <cell r="G952" t="str">
            <v>2.7.4.02.02.00 - Reserva de Retenção de Lucro</v>
          </cell>
          <cell r="I952">
            <v>0</v>
          </cell>
          <cell r="J952">
            <v>0</v>
          </cell>
          <cell r="K952">
            <v>0</v>
          </cell>
        </row>
        <row r="953">
          <cell r="H953" t="str">
            <v>2740202000 Reserva Est-Ret de Lucros An Anteriores (Realiz)</v>
          </cell>
          <cell r="I953">
            <v>0</v>
          </cell>
          <cell r="J953">
            <v>0</v>
          </cell>
          <cell r="K953">
            <v>0</v>
          </cell>
        </row>
        <row r="954">
          <cell r="G954" t="str">
            <v>2.7.4.02.02.01 - Reserva de Ret. Lucro 2004</v>
          </cell>
          <cell r="I954">
            <v>0</v>
          </cell>
          <cell r="J954">
            <v>0</v>
          </cell>
          <cell r="K954">
            <v>0</v>
          </cell>
        </row>
        <row r="955">
          <cell r="H955" t="str">
            <v>2740202010 Reserva Est-Ret de Lucros Exer de 2.004 (Realiz)</v>
          </cell>
          <cell r="I955">
            <v>0</v>
          </cell>
          <cell r="J955">
            <v>0</v>
          </cell>
          <cell r="K955">
            <v>0</v>
          </cell>
        </row>
        <row r="956">
          <cell r="G956" t="str">
            <v>2.7.4.02.02.02 - Reserva de Ret. Lucro 2005</v>
          </cell>
          <cell r="I956">
            <v>0</v>
          </cell>
          <cell r="J956">
            <v>0</v>
          </cell>
          <cell r="K956">
            <v>0</v>
          </cell>
        </row>
        <row r="957">
          <cell r="H957" t="str">
            <v>2740202020 Reserva Est-Ret de Lucros Exer de 2.005 (Realiz)</v>
          </cell>
          <cell r="I957">
            <v>0</v>
          </cell>
          <cell r="J957">
            <v>0</v>
          </cell>
          <cell r="K957">
            <v>0</v>
          </cell>
        </row>
        <row r="958">
          <cell r="G958" t="str">
            <v>2.7.4.02.02.03 - Reserva de Ret. Lucro 2006</v>
          </cell>
          <cell r="I958">
            <v>0</v>
          </cell>
          <cell r="J958">
            <v>0</v>
          </cell>
          <cell r="K958">
            <v>0</v>
          </cell>
        </row>
        <row r="959">
          <cell r="H959" t="str">
            <v>2740202030 Reserva Est-Ret de Lucros Exer de 2.006 (Realiz)</v>
          </cell>
          <cell r="I959">
            <v>0</v>
          </cell>
          <cell r="J959">
            <v>0</v>
          </cell>
          <cell r="K959">
            <v>0</v>
          </cell>
        </row>
        <row r="960">
          <cell r="G960" t="str">
            <v>2.7.4.02.02.04 - Reserva de Ret. Lucro 2007</v>
          </cell>
          <cell r="I960">
            <v>0</v>
          </cell>
          <cell r="J960">
            <v>0</v>
          </cell>
          <cell r="K960">
            <v>0</v>
          </cell>
        </row>
        <row r="961">
          <cell r="H961" t="str">
            <v>2740202040 Reserva Est-Ret de Lucros Exer de 2.007 (Realiz)</v>
          </cell>
          <cell r="I961">
            <v>0</v>
          </cell>
          <cell r="J961">
            <v>0</v>
          </cell>
          <cell r="K961">
            <v>0</v>
          </cell>
        </row>
        <row r="962">
          <cell r="G962" t="str">
            <v>2.7.4.02.02.05 - Reserva de Ret. Lucro 2008</v>
          </cell>
          <cell r="I962">
            <v>0</v>
          </cell>
          <cell r="J962">
            <v>0</v>
          </cell>
          <cell r="K962">
            <v>0</v>
          </cell>
        </row>
        <row r="963">
          <cell r="H963" t="str">
            <v>2740202050 Reserva Est-Ret de Lucros Exer de 2.008 (Realiz)</v>
          </cell>
          <cell r="I963">
            <v>0</v>
          </cell>
          <cell r="J963">
            <v>0</v>
          </cell>
          <cell r="K963">
            <v>0</v>
          </cell>
        </row>
        <row r="964">
          <cell r="G964" t="str">
            <v>2.7.4.02.02.06 - Reserva de Ret. Lucro 2009</v>
          </cell>
          <cell r="I964">
            <v>0</v>
          </cell>
          <cell r="J964">
            <v>0</v>
          </cell>
          <cell r="K964">
            <v>0</v>
          </cell>
        </row>
        <row r="965">
          <cell r="H965" t="str">
            <v>2740202060 Reserva Est-Ret de Lucros Exer de 2.009 (Realiz)</v>
          </cell>
          <cell r="I965">
            <v>0</v>
          </cell>
          <cell r="J965">
            <v>0</v>
          </cell>
          <cell r="K965">
            <v>0</v>
          </cell>
        </row>
        <row r="966">
          <cell r="G966" t="str">
            <v>2.7.4.02.02.07 - Reserva de Ret. Lucro 2010</v>
          </cell>
          <cell r="I966">
            <v>0</v>
          </cell>
          <cell r="J966">
            <v>0</v>
          </cell>
          <cell r="K966">
            <v>0</v>
          </cell>
        </row>
        <row r="967">
          <cell r="H967" t="str">
            <v>2740202070 Reserva Est-Ret de Lucros Exer de 2.010 (Realiz)</v>
          </cell>
          <cell r="I967">
            <v>0</v>
          </cell>
          <cell r="J967">
            <v>0</v>
          </cell>
          <cell r="K967">
            <v>0</v>
          </cell>
        </row>
        <row r="968">
          <cell r="G968" t="str">
            <v>2.7.4.02.02.08 - Reserva de Ret. Lucro 2011</v>
          </cell>
          <cell r="I968">
            <v>0</v>
          </cell>
          <cell r="J968">
            <v>0</v>
          </cell>
          <cell r="K968">
            <v>0</v>
          </cell>
        </row>
        <row r="969">
          <cell r="H969" t="str">
            <v>2740202080 Reserva Est-Ret de Lucros Exer de 2.011 (Realiz)</v>
          </cell>
          <cell r="I969">
            <v>0</v>
          </cell>
          <cell r="J969">
            <v>0</v>
          </cell>
          <cell r="K969">
            <v>0</v>
          </cell>
        </row>
        <row r="970">
          <cell r="G970" t="str">
            <v>2.7.4.02.02.09 - Reserva de Ret. Lucro 2012</v>
          </cell>
          <cell r="I970">
            <v>0</v>
          </cell>
          <cell r="J970">
            <v>0</v>
          </cell>
          <cell r="K970">
            <v>0</v>
          </cell>
        </row>
        <row r="971">
          <cell r="H971" t="str">
            <v>2740202090 Reserva Est-Ret de Lucros Exer de  2.012 (Realiz)</v>
          </cell>
          <cell r="I971">
            <v>0</v>
          </cell>
          <cell r="J971">
            <v>0</v>
          </cell>
          <cell r="K971">
            <v>0</v>
          </cell>
        </row>
        <row r="972">
          <cell r="G972" t="str">
            <v>2.7.4.02.02.10 - Reserva de Ret. Lucro 2014</v>
          </cell>
          <cell r="I972">
            <v>-43454068.93</v>
          </cell>
          <cell r="J972">
            <v>0</v>
          </cell>
          <cell r="K972">
            <v>-43454068.93</v>
          </cell>
        </row>
        <row r="973">
          <cell r="H973" t="str">
            <v>2740202100 Reserva Est-Ret de Lucros Exer de 2.014 (Realiz)</v>
          </cell>
          <cell r="I973">
            <v>-43454068.93</v>
          </cell>
          <cell r="J973">
            <v>0</v>
          </cell>
          <cell r="K973">
            <v>-43454068.93</v>
          </cell>
        </row>
        <row r="974">
          <cell r="G974" t="str">
            <v>2.7.4.02.02.11 - Reserva de Ret. Lucro 2015</v>
          </cell>
          <cell r="I974">
            <v>0</v>
          </cell>
          <cell r="J974">
            <v>0</v>
          </cell>
          <cell r="K974">
            <v>0</v>
          </cell>
        </row>
        <row r="975">
          <cell r="H975" t="str">
            <v>2740202110 Reserva Est-Ret de Lucros Exer 2.015 (Realizado)</v>
          </cell>
          <cell r="I975">
            <v>0</v>
          </cell>
          <cell r="J975">
            <v>0</v>
          </cell>
          <cell r="K975">
            <v>0</v>
          </cell>
        </row>
        <row r="976">
          <cell r="G976" t="str">
            <v>2.7.4.02.02.99 - Reversão Reserva Estatutaria</v>
          </cell>
          <cell r="I976">
            <v>0</v>
          </cell>
          <cell r="J976">
            <v>0</v>
          </cell>
          <cell r="K976">
            <v>0</v>
          </cell>
        </row>
        <row r="977">
          <cell r="H977" t="str">
            <v>2740202990 Reversão Reserva Estatutaria de Retenção de Lucros</v>
          </cell>
          <cell r="I977">
            <v>0</v>
          </cell>
          <cell r="J977">
            <v>0</v>
          </cell>
          <cell r="K977">
            <v>0</v>
          </cell>
        </row>
        <row r="978">
          <cell r="F978" t="str">
            <v>2.7.4.02.03 - Reserva para Dividendos</v>
          </cell>
          <cell r="I978">
            <v>-23131218.949999999</v>
          </cell>
          <cell r="J978">
            <v>0</v>
          </cell>
          <cell r="K978">
            <v>-23131218.949999999</v>
          </cell>
        </row>
        <row r="979">
          <cell r="G979" t="str">
            <v>2.7.4.02.03.01 - Reserva Especial para Divide</v>
          </cell>
          <cell r="I979">
            <v>-23131218.949999999</v>
          </cell>
          <cell r="J979">
            <v>0</v>
          </cell>
          <cell r="K979">
            <v>-23131218.949999999</v>
          </cell>
        </row>
        <row r="980">
          <cell r="H980" t="str">
            <v>2740203010 Reserva Especial p/Dividendos (Realizado)</v>
          </cell>
          <cell r="I980">
            <v>-23131218.949999999</v>
          </cell>
          <cell r="J980">
            <v>0</v>
          </cell>
          <cell r="K980">
            <v>-23131218.949999999</v>
          </cell>
        </row>
        <row r="981">
          <cell r="F981" t="str">
            <v>2.7.4.02.04 - Reserva de Lucros a Realizar</v>
          </cell>
          <cell r="I981">
            <v>-262909369.83000001</v>
          </cell>
          <cell r="J981">
            <v>0</v>
          </cell>
          <cell r="K981">
            <v>-262909369.83000001</v>
          </cell>
        </row>
        <row r="982">
          <cell r="G982" t="str">
            <v>2.7.4.02.04.01 - Res Lucros a Realizar 2014</v>
          </cell>
          <cell r="I982">
            <v>-262909369.83000001</v>
          </cell>
          <cell r="J982">
            <v>0</v>
          </cell>
          <cell r="K982">
            <v>-262909369.83000001</v>
          </cell>
        </row>
        <row r="983">
          <cell r="H983" t="str">
            <v>2740204010 Reserva de Lucros a Realizar (Realizado)</v>
          </cell>
          <cell r="I983">
            <v>-262909369.83000001</v>
          </cell>
          <cell r="J983">
            <v>0</v>
          </cell>
          <cell r="K983">
            <v>-262909369.83000001</v>
          </cell>
        </row>
        <row r="984">
          <cell r="F984" t="str">
            <v>2.7.4.02.05 - Reserva de Lucros p/Expansão</v>
          </cell>
          <cell r="I984">
            <v>-65501137.25</v>
          </cell>
          <cell r="J984">
            <v>0</v>
          </cell>
          <cell r="K984">
            <v>-65501137.25</v>
          </cell>
        </row>
        <row r="985">
          <cell r="G985" t="str">
            <v>2.7.4.02.05.01 - Reservas para Investimentos</v>
          </cell>
          <cell r="I985">
            <v>-65501137.25</v>
          </cell>
          <cell r="J985">
            <v>0</v>
          </cell>
          <cell r="K985">
            <v>-65501137.25</v>
          </cell>
        </row>
        <row r="986">
          <cell r="H986" t="str">
            <v>2740205010 Reserva de Lucros para Investimentos</v>
          </cell>
          <cell r="I986">
            <v>-65501137.25</v>
          </cell>
          <cell r="J986">
            <v>0</v>
          </cell>
          <cell r="K986">
            <v>-65501137.25</v>
          </cell>
        </row>
        <row r="987">
          <cell r="F987" t="str">
            <v>2.7.4.02.99 - Outras Reservas</v>
          </cell>
          <cell r="I987">
            <v>0</v>
          </cell>
          <cell r="J987">
            <v>0</v>
          </cell>
          <cell r="K987">
            <v>0</v>
          </cell>
        </row>
        <row r="988">
          <cell r="G988" t="str">
            <v>2.7.4.02.99.01 - Reserva de Lucro Combinação</v>
          </cell>
          <cell r="I988">
            <v>0</v>
          </cell>
          <cell r="J988">
            <v>0</v>
          </cell>
          <cell r="K988">
            <v>0</v>
          </cell>
        </row>
        <row r="989">
          <cell r="H989" t="str">
            <v>2740299010 Reserva de Lucro Combinação de Negócio</v>
          </cell>
          <cell r="I989">
            <v>0</v>
          </cell>
          <cell r="J989">
            <v>0</v>
          </cell>
          <cell r="K989">
            <v>0</v>
          </cell>
        </row>
        <row r="990">
          <cell r="C990" t="str">
            <v>2.7.5 - AJUSTES DE AVALIAÇÃO PATRIMONIAL</v>
          </cell>
          <cell r="I990">
            <v>25825486.719999999</v>
          </cell>
          <cell r="J990">
            <v>65204</v>
          </cell>
          <cell r="K990">
            <v>25890690.719999999</v>
          </cell>
        </row>
        <row r="991">
          <cell r="D991" t="str">
            <v>2.7.5.01 - Ajustes às Normas Internacionais d</v>
          </cell>
          <cell r="I991">
            <v>25825486.719999999</v>
          </cell>
          <cell r="J991">
            <v>65204</v>
          </cell>
          <cell r="K991">
            <v>25890690.719999999</v>
          </cell>
        </row>
        <row r="992">
          <cell r="F992" t="str">
            <v>2.7.5.01.01 - Ajustes às Normas Internacionai</v>
          </cell>
          <cell r="I992">
            <v>-2092196</v>
          </cell>
          <cell r="J992">
            <v>-33590</v>
          </cell>
          <cell r="K992">
            <v>-2125786</v>
          </cell>
        </row>
        <row r="993">
          <cell r="G993" t="str">
            <v>2.7.5.01.01.01 - Ajustes às Normas Internacio</v>
          </cell>
          <cell r="I993">
            <v>-2092196</v>
          </cell>
          <cell r="J993">
            <v>-33590</v>
          </cell>
          <cell r="K993">
            <v>-2125786</v>
          </cell>
        </row>
        <row r="994">
          <cell r="H994" t="str">
            <v>2750101010 Ajs as Normas Internac de Contab (Realizado)</v>
          </cell>
          <cell r="I994">
            <v>-2092196</v>
          </cell>
          <cell r="J994">
            <v>-33590</v>
          </cell>
          <cell r="K994">
            <v>-2125786</v>
          </cell>
        </row>
        <row r="995">
          <cell r="F995" t="str">
            <v>2.7.5.01.02 - (-) Ajustes às Normas Internaci</v>
          </cell>
          <cell r="I995">
            <v>27917682.719999999</v>
          </cell>
          <cell r="J995">
            <v>98794</v>
          </cell>
          <cell r="K995">
            <v>28016476.719999999</v>
          </cell>
        </row>
        <row r="996">
          <cell r="G996" t="str">
            <v>2.7.5.01.02.01 - (-) Ajustes às Normas Intern</v>
          </cell>
          <cell r="I996">
            <v>27917682.719999999</v>
          </cell>
          <cell r="J996">
            <v>98794</v>
          </cell>
          <cell r="K996">
            <v>28016476.719999999</v>
          </cell>
        </row>
        <row r="997">
          <cell r="H997" t="str">
            <v>2750102010 (-)Ajs as Normas Internac de Contab (Realizado)</v>
          </cell>
          <cell r="I997">
            <v>27917682.719999999</v>
          </cell>
          <cell r="J997">
            <v>98794</v>
          </cell>
          <cell r="K997">
            <v>28016476.719999999</v>
          </cell>
        </row>
        <row r="998">
          <cell r="C998" t="str">
            <v>2.7.6 - Outras Contas</v>
          </cell>
          <cell r="I998">
            <v>14879117.300000001</v>
          </cell>
          <cell r="J998">
            <v>0</v>
          </cell>
          <cell r="K998">
            <v>14879117.300000001</v>
          </cell>
        </row>
        <row r="999">
          <cell r="D999" t="str">
            <v>2.7.6.01 - Açoes em Tesouraria</v>
          </cell>
          <cell r="I999">
            <v>14879117.300000001</v>
          </cell>
          <cell r="J999">
            <v>0</v>
          </cell>
          <cell r="K999">
            <v>14879117.300000001</v>
          </cell>
        </row>
        <row r="1000">
          <cell r="F1000" t="str">
            <v>2.7.6.01.01 - Açoes Preferenciais e Ordinaria</v>
          </cell>
          <cell r="I1000">
            <v>14879117.300000001</v>
          </cell>
          <cell r="J1000">
            <v>0</v>
          </cell>
          <cell r="K1000">
            <v>14879117.300000001</v>
          </cell>
        </row>
        <row r="1001">
          <cell r="G1001" t="str">
            <v>2.7.6.01.01.01 - Açoes Preferenciais  em Teso</v>
          </cell>
          <cell r="I1001">
            <v>14397516.449999999</v>
          </cell>
          <cell r="J1001">
            <v>0</v>
          </cell>
          <cell r="K1001">
            <v>14397516.449999999</v>
          </cell>
        </row>
        <row r="1002">
          <cell r="H1002" t="str">
            <v>2760101010 Acoes Preferenciais em Tesouraria</v>
          </cell>
          <cell r="I1002">
            <v>14397516.449999999</v>
          </cell>
          <cell r="J1002">
            <v>0</v>
          </cell>
          <cell r="K1002">
            <v>14397516.449999999</v>
          </cell>
        </row>
        <row r="1003">
          <cell r="G1003" t="str">
            <v>2.7.6.01.01.02 - Açoes Oridinarias  em Tesour</v>
          </cell>
          <cell r="I1003">
            <v>481600.85</v>
          </cell>
          <cell r="J1003">
            <v>0</v>
          </cell>
          <cell r="K1003">
            <v>481600.85</v>
          </cell>
        </row>
        <row r="1004">
          <cell r="H1004" t="str">
            <v>2760101020 Acoes Ordinarias em Tesouraria</v>
          </cell>
          <cell r="I1004">
            <v>481600.85</v>
          </cell>
          <cell r="J1004">
            <v>0</v>
          </cell>
          <cell r="K1004">
            <v>481600.85</v>
          </cell>
        </row>
        <row r="1005">
          <cell r="C1005" t="str">
            <v>2.7.7 - RESULTADOS ACUMULADOS</v>
          </cell>
          <cell r="I1005">
            <v>0</v>
          </cell>
          <cell r="J1005">
            <v>0</v>
          </cell>
          <cell r="K1005">
            <v>0</v>
          </cell>
        </row>
        <row r="1006">
          <cell r="D1006" t="str">
            <v>2.7.7.01 - Lucros Acumulados e/ou Saldo à Dis</v>
          </cell>
          <cell r="I1006">
            <v>0</v>
          </cell>
          <cell r="J1006">
            <v>0</v>
          </cell>
          <cell r="K1006">
            <v>0</v>
          </cell>
        </row>
        <row r="1007">
          <cell r="F1007" t="str">
            <v>2.7.7.01.01 - Lucros Acumulados e/ou Saldo à</v>
          </cell>
          <cell r="I1007">
            <v>0</v>
          </cell>
          <cell r="J1007">
            <v>0</v>
          </cell>
          <cell r="K1007">
            <v>0</v>
          </cell>
        </row>
        <row r="1008">
          <cell r="G1008" t="str">
            <v>2.7.7.01.01.01 - Lucros Acumulados e/ou Saldo</v>
          </cell>
          <cell r="I1008">
            <v>0</v>
          </cell>
          <cell r="J1008">
            <v>0</v>
          </cell>
          <cell r="K1008">
            <v>0</v>
          </cell>
        </row>
        <row r="1009">
          <cell r="H1009" t="str">
            <v>2770101010 Lucros Acum e/ou Saldo a Disp da Assembleia (R)</v>
          </cell>
          <cell r="I1009">
            <v>0</v>
          </cell>
          <cell r="J1009">
            <v>0</v>
          </cell>
          <cell r="K1009">
            <v>0</v>
          </cell>
        </row>
        <row r="1010">
          <cell r="G1010" t="str">
            <v>2.7.7.01.01.99 - Reversão de Lucros Acumulado</v>
          </cell>
          <cell r="I1010">
            <v>0</v>
          </cell>
          <cell r="J1010">
            <v>0</v>
          </cell>
          <cell r="K1010">
            <v>0</v>
          </cell>
        </row>
        <row r="1011">
          <cell r="H1011" t="str">
            <v>2770101990 Reversão Lucros Acumulados e/ou Saldo à Disposição</v>
          </cell>
          <cell r="I1011">
            <v>0</v>
          </cell>
          <cell r="J1011">
            <v>0</v>
          </cell>
          <cell r="K1011">
            <v>0</v>
          </cell>
        </row>
        <row r="1012">
          <cell r="D1012" t="str">
            <v>2.7.7.02 (-) Prejuízos Acumulados</v>
          </cell>
          <cell r="I1012">
            <v>0</v>
          </cell>
          <cell r="J1012">
            <v>0</v>
          </cell>
          <cell r="K1012">
            <v>0</v>
          </cell>
        </row>
        <row r="1013">
          <cell r="F1013" t="str">
            <v>2.7.7.02.01 (-) Prejuízos Acumulados</v>
          </cell>
          <cell r="I1013">
            <v>0</v>
          </cell>
          <cell r="J1013">
            <v>0</v>
          </cell>
          <cell r="K1013">
            <v>0</v>
          </cell>
        </row>
        <row r="1014">
          <cell r="G1014" t="str">
            <v>2.7.7.02.01.01 (-) Prejuízos Acumulados</v>
          </cell>
          <cell r="I1014">
            <v>0</v>
          </cell>
          <cell r="J1014">
            <v>0</v>
          </cell>
          <cell r="K1014">
            <v>0</v>
          </cell>
        </row>
        <row r="1015">
          <cell r="H1015" t="str">
            <v>2770201010 (-)Prejuizos Acumulados (Realizado)</v>
          </cell>
          <cell r="I1015">
            <v>0</v>
          </cell>
          <cell r="J1015">
            <v>0</v>
          </cell>
          <cell r="K1015">
            <v>0</v>
          </cell>
        </row>
        <row r="1016">
          <cell r="G1016" t="str">
            <v>2.7.7.02.01.99 - Reversão de Prejuízos Acumul</v>
          </cell>
          <cell r="I1016">
            <v>0</v>
          </cell>
          <cell r="J1016">
            <v>0</v>
          </cell>
          <cell r="K1016">
            <v>0</v>
          </cell>
        </row>
        <row r="1017">
          <cell r="H1017" t="str">
            <v>2770201990 Reversão de Prejuízos Acumulados</v>
          </cell>
          <cell r="I1017">
            <v>0</v>
          </cell>
          <cell r="J1017">
            <v>0</v>
          </cell>
          <cell r="K1017">
            <v>0</v>
          </cell>
        </row>
        <row r="1018">
          <cell r="I1018">
            <v>-35094628.07</v>
          </cell>
          <cell r="J1018">
            <v>-9188393.5999999996</v>
          </cell>
          <cell r="K1018">
            <v>-44283021.670000002</v>
          </cell>
        </row>
        <row r="1019">
          <cell r="I1019">
            <v>-93926298.469999999</v>
          </cell>
          <cell r="J1019">
            <v>-19337925.370000001</v>
          </cell>
          <cell r="K1019">
            <v>-113264223.84</v>
          </cell>
        </row>
        <row r="1020">
          <cell r="C1020" t="str">
            <v>3.1.1 - RECEITA LIQUIDA</v>
          </cell>
          <cell r="I1020">
            <v>-341090137.99000001</v>
          </cell>
          <cell r="J1020">
            <v>-66513537.25</v>
          </cell>
          <cell r="K1020">
            <v>-407603675.24000001</v>
          </cell>
        </row>
        <row r="1021">
          <cell r="D1021" t="str">
            <v>3.1.1.01 - Receita Bruta</v>
          </cell>
          <cell r="I1021">
            <v>-444979130.06</v>
          </cell>
          <cell r="J1021">
            <v>-86807218.700000003</v>
          </cell>
          <cell r="K1021">
            <v>-531786348.75999999</v>
          </cell>
        </row>
        <row r="1022">
          <cell r="F1022" t="str">
            <v>3.1.1.01.01 - Receita com Vendas de Produtos</v>
          </cell>
          <cell r="I1022">
            <v>-434321715.86000001</v>
          </cell>
          <cell r="J1022">
            <v>-84587157.230000004</v>
          </cell>
          <cell r="K1022">
            <v>-518908873.08999997</v>
          </cell>
        </row>
        <row r="1023">
          <cell r="G1023" t="str">
            <v>3.1.1.01.01.01 - Receita de Exportação Direta</v>
          </cell>
          <cell r="I1023">
            <v>0</v>
          </cell>
          <cell r="J1023">
            <v>0</v>
          </cell>
          <cell r="K1023">
            <v>0</v>
          </cell>
        </row>
        <row r="1024">
          <cell r="H1024" t="str">
            <v>3110101010 Rec Brt-Export Direta de Produtos FP (Realizado)</v>
          </cell>
          <cell r="I1024">
            <v>0</v>
          </cell>
          <cell r="J1024">
            <v>0</v>
          </cell>
          <cell r="K1024">
            <v>0</v>
          </cell>
        </row>
        <row r="1025">
          <cell r="G1025" t="str">
            <v>3.1.1.01.01.02 - Receita com Vendas de Produt</v>
          </cell>
          <cell r="I1025">
            <v>0</v>
          </cell>
          <cell r="J1025">
            <v>0</v>
          </cell>
          <cell r="K1025">
            <v>0</v>
          </cell>
        </row>
        <row r="1026">
          <cell r="H1026" t="str">
            <v>3110101020 Rec Brt-Venda Prod FP Com Exp c/Fim Esp Export (R)</v>
          </cell>
          <cell r="I1026">
            <v>0</v>
          </cell>
          <cell r="J1026">
            <v>0</v>
          </cell>
          <cell r="K1026">
            <v>0</v>
          </cell>
        </row>
        <row r="1027">
          <cell r="G1027" t="str">
            <v>3.1.1.01.01.03 - Receita com Vendas de Produt</v>
          </cell>
          <cell r="I1027">
            <v>-434321715.86000001</v>
          </cell>
          <cell r="J1027">
            <v>-84587157.230000004</v>
          </cell>
          <cell r="K1027">
            <v>-518908873.08999997</v>
          </cell>
        </row>
        <row r="1028">
          <cell r="H1028" t="str">
            <v>3110101030 Rec Brt-Vendas de Produtos no MI (Realizado)</v>
          </cell>
          <cell r="I1028">
            <v>-434321715.86000001</v>
          </cell>
          <cell r="J1028">
            <v>-84587157.230000004</v>
          </cell>
          <cell r="K1028">
            <v>-518908873.08999997</v>
          </cell>
        </row>
        <row r="1029">
          <cell r="F1029" t="str">
            <v>3.1.1.01.05 - Receita com Revenda de Mercador</v>
          </cell>
          <cell r="I1029">
            <v>-9570403.6400000006</v>
          </cell>
          <cell r="J1029">
            <v>-2188592.14</v>
          </cell>
          <cell r="K1029">
            <v>-11758995.779999999</v>
          </cell>
        </row>
        <row r="1030">
          <cell r="G1030" t="str">
            <v>3.1.1.01.05.01 - Receita de Exportação Direta</v>
          </cell>
          <cell r="I1030">
            <v>0</v>
          </cell>
          <cell r="J1030">
            <v>0</v>
          </cell>
          <cell r="K1030">
            <v>0</v>
          </cell>
        </row>
        <row r="1031">
          <cell r="H1031" t="str">
            <v>3110105010 Rec Brt-Exp Dir de Mercs Nacion - Rev (Realizado )</v>
          </cell>
          <cell r="I1031">
            <v>0</v>
          </cell>
          <cell r="J1031">
            <v>0</v>
          </cell>
          <cell r="K1031">
            <v>0</v>
          </cell>
        </row>
        <row r="1032">
          <cell r="G1032" t="str">
            <v>3.1.1.01.05.03 - Receita com Revenda de Merca</v>
          </cell>
          <cell r="I1032">
            <v>-9570403.6400000006</v>
          </cell>
          <cell r="J1032">
            <v>-2188592.14</v>
          </cell>
          <cell r="K1032">
            <v>-11758995.779999999</v>
          </cell>
        </row>
        <row r="1033">
          <cell r="H1033" t="str">
            <v>3110105030 Rec Brt-Rev de Mercs Nacionais no MI (Realizado)</v>
          </cell>
          <cell r="I1033">
            <v>-9570403.6400000006</v>
          </cell>
          <cell r="J1033">
            <v>-2188592.14</v>
          </cell>
          <cell r="K1033">
            <v>-11758995.779999999</v>
          </cell>
        </row>
        <row r="1034">
          <cell r="F1034" t="str">
            <v>3.1.1.01.06 - Receita com Revenda de Mercador</v>
          </cell>
          <cell r="I1034">
            <v>-832389.65</v>
          </cell>
          <cell r="J1034">
            <v>0</v>
          </cell>
          <cell r="K1034">
            <v>-832389.65</v>
          </cell>
        </row>
        <row r="1035">
          <cell r="G1035" t="str">
            <v>3.1.1.01.06.03 - Receita com Revenda de Merca</v>
          </cell>
          <cell r="I1035">
            <v>-832389.65</v>
          </cell>
          <cell r="J1035">
            <v>0</v>
          </cell>
          <cell r="K1035">
            <v>-832389.65</v>
          </cell>
        </row>
        <row r="1036">
          <cell r="H1036" t="str">
            <v>3110106030 Rec Brt-Rev de Mercs Importadas MI ( Realizado)</v>
          </cell>
          <cell r="I1036">
            <v>-832389.65</v>
          </cell>
          <cell r="J1036">
            <v>0</v>
          </cell>
          <cell r="K1036">
            <v>-832389.65</v>
          </cell>
        </row>
        <row r="1037">
          <cell r="F1037" t="str">
            <v>3.1.1.01.08 - Receita com Revenda de Mercador</v>
          </cell>
          <cell r="I1037">
            <v>-31114.62</v>
          </cell>
          <cell r="J1037">
            <v>-31469.33</v>
          </cell>
          <cell r="K1037">
            <v>-62583.95</v>
          </cell>
        </row>
        <row r="1038">
          <cell r="G1038" t="str">
            <v>3.1.1.01.08.03 - Receita com Revenda de Merca</v>
          </cell>
          <cell r="I1038">
            <v>-31114.62</v>
          </cell>
          <cell r="J1038">
            <v>-31469.33</v>
          </cell>
          <cell r="K1038">
            <v>-62583.95</v>
          </cell>
        </row>
        <row r="1039">
          <cell r="H1039" t="str">
            <v>3110108030 Rec Brt-Rev de Mercs Diversas no MI (Realizado)</v>
          </cell>
          <cell r="I1039">
            <v>-31114.62</v>
          </cell>
          <cell r="J1039">
            <v>-31469.33</v>
          </cell>
          <cell r="K1039">
            <v>-62583.95</v>
          </cell>
        </row>
        <row r="1040">
          <cell r="F1040" t="str">
            <v>3.1.1.01.30 - Receita de Venda de Serviços</v>
          </cell>
          <cell r="I1040">
            <v>-223506.29</v>
          </cell>
          <cell r="J1040">
            <v>0</v>
          </cell>
          <cell r="K1040">
            <v>-223506.29</v>
          </cell>
        </row>
        <row r="1041">
          <cell r="G1041" t="str">
            <v>3.1.1.01.30.03 - Receita de Venda de Serviços</v>
          </cell>
          <cell r="I1041">
            <v>-223506.29</v>
          </cell>
          <cell r="J1041">
            <v>0</v>
          </cell>
          <cell r="K1041">
            <v>-223506.29</v>
          </cell>
        </row>
        <row r="1042">
          <cell r="H1042" t="str">
            <v>3110130030 Rec Brt-Venda de Serviços no MI (Realizado)</v>
          </cell>
          <cell r="I1042">
            <v>-223506.29</v>
          </cell>
          <cell r="J1042">
            <v>0</v>
          </cell>
          <cell r="K1042">
            <v>-223506.29</v>
          </cell>
        </row>
        <row r="1043">
          <cell r="D1043" t="str">
            <v>3.1.1.03 (-) Vendas Canceladas e Devoluções</v>
          </cell>
          <cell r="I1043">
            <v>473588.94</v>
          </cell>
          <cell r="J1043">
            <v>139909.72</v>
          </cell>
          <cell r="K1043">
            <v>613498.66</v>
          </cell>
        </row>
        <row r="1044">
          <cell r="F1044" t="str">
            <v>3.1.1.03.01 (-) Vendas Canceladas e Devoluçõe</v>
          </cell>
          <cell r="I1044">
            <v>473588.94</v>
          </cell>
          <cell r="J1044">
            <v>123602.88</v>
          </cell>
          <cell r="K1044">
            <v>597191.81999999995</v>
          </cell>
        </row>
        <row r="1045">
          <cell r="G1045" t="str">
            <v>3.1.1.03.01.01 (-) Vendas Canceladas e Devolu</v>
          </cell>
          <cell r="I1045">
            <v>0</v>
          </cell>
          <cell r="J1045">
            <v>0</v>
          </cell>
          <cell r="K1045">
            <v>0</v>
          </cell>
        </row>
        <row r="1046">
          <cell r="H1046" t="str">
            <v>3110301010 (-)Vend Canc e Dev Export Dir Prod FP (Realizado)</v>
          </cell>
          <cell r="I1046">
            <v>0</v>
          </cell>
          <cell r="J1046">
            <v>0</v>
          </cell>
          <cell r="K1046">
            <v>0</v>
          </cell>
        </row>
        <row r="1047">
          <cell r="G1047" t="str">
            <v>3.1.1.03.01.02 (-) Vendas Canceladas e Devols</v>
          </cell>
          <cell r="I1047">
            <v>0</v>
          </cell>
          <cell r="J1047">
            <v>0</v>
          </cell>
          <cell r="K1047">
            <v>0</v>
          </cell>
        </row>
        <row r="1048">
          <cell r="H1048" t="str">
            <v>3110301020 (-)Vend Canc Dev V. Prod Com Exp c/Fim Esp Exp(R)</v>
          </cell>
          <cell r="I1048">
            <v>0</v>
          </cell>
          <cell r="J1048">
            <v>0</v>
          </cell>
          <cell r="K1048">
            <v>0</v>
          </cell>
        </row>
        <row r="1049">
          <cell r="G1049" t="str">
            <v>3.1.1.03.01.03 (-) Vendas Canceladas e Devolu</v>
          </cell>
          <cell r="I1049">
            <v>473588.94</v>
          </cell>
          <cell r="J1049">
            <v>123602.88</v>
          </cell>
          <cell r="K1049">
            <v>597191.81999999995</v>
          </cell>
        </row>
        <row r="1050">
          <cell r="H1050" t="str">
            <v>3110301030 (-)Vendas Canc e Dev de Prod no MI (Realizado)</v>
          </cell>
          <cell r="I1050">
            <v>473588.94</v>
          </cell>
          <cell r="J1050">
            <v>123602.88</v>
          </cell>
          <cell r="K1050">
            <v>597191.81999999995</v>
          </cell>
        </row>
        <row r="1051">
          <cell r="F1051" t="str">
            <v>3.1.1.03.05 (-) Revendas Canceladas e Devols</v>
          </cell>
          <cell r="I1051">
            <v>0</v>
          </cell>
          <cell r="J1051">
            <v>16306.84</v>
          </cell>
          <cell r="K1051">
            <v>16306.84</v>
          </cell>
        </row>
        <row r="1052">
          <cell r="G1052" t="str">
            <v>3.1.1.03.05.01 (-) Revendas Canceladas e Devo</v>
          </cell>
          <cell r="I1052">
            <v>0</v>
          </cell>
          <cell r="J1052">
            <v>0</v>
          </cell>
          <cell r="K1052">
            <v>0</v>
          </cell>
        </row>
        <row r="1053">
          <cell r="H1053" t="str">
            <v>3110305010 (-)Rev Canc e Dev de Merc Nac no ME (Realizado)</v>
          </cell>
          <cell r="I1053">
            <v>0</v>
          </cell>
          <cell r="J1053">
            <v>0</v>
          </cell>
          <cell r="K1053">
            <v>0</v>
          </cell>
        </row>
        <row r="1054">
          <cell r="G1054" t="str">
            <v>3.1.1.03.05.03 (-) Revendas Canceladas e Devo</v>
          </cell>
          <cell r="I1054">
            <v>0</v>
          </cell>
          <cell r="J1054">
            <v>16306.84</v>
          </cell>
          <cell r="K1054">
            <v>16306.84</v>
          </cell>
        </row>
        <row r="1055">
          <cell r="H1055" t="str">
            <v>3110305030 (-)Rev Canc e Dev de Merc Nac no MI (Realizado)</v>
          </cell>
          <cell r="I1055">
            <v>0</v>
          </cell>
          <cell r="J1055">
            <v>16306.84</v>
          </cell>
          <cell r="K1055">
            <v>16306.84</v>
          </cell>
        </row>
        <row r="1056">
          <cell r="F1056" t="str">
            <v>3.1.1.03.06 (-) Revendas Canceladas e Devoluç</v>
          </cell>
          <cell r="I1056">
            <v>0</v>
          </cell>
          <cell r="J1056">
            <v>0</v>
          </cell>
          <cell r="K1056">
            <v>0</v>
          </cell>
        </row>
        <row r="1057">
          <cell r="G1057" t="str">
            <v>3.1.1.03.06.03 (-) Revendas Canceladas e Devo</v>
          </cell>
          <cell r="I1057">
            <v>0</v>
          </cell>
          <cell r="J1057">
            <v>0</v>
          </cell>
          <cell r="K1057">
            <v>0</v>
          </cell>
        </row>
        <row r="1058">
          <cell r="H1058" t="str">
            <v>3110306030 (-)Rev Canc e Dev Rev de Merc Import no MI(Realiz)</v>
          </cell>
          <cell r="I1058">
            <v>0</v>
          </cell>
          <cell r="J1058">
            <v>0</v>
          </cell>
          <cell r="K1058">
            <v>0</v>
          </cell>
        </row>
        <row r="1059">
          <cell r="F1059" t="str">
            <v>3.1.1.03.08 (-) Revendas Canceladas e Devoluç</v>
          </cell>
          <cell r="I1059">
            <v>0</v>
          </cell>
          <cell r="J1059">
            <v>0</v>
          </cell>
          <cell r="K1059">
            <v>0</v>
          </cell>
        </row>
        <row r="1060">
          <cell r="G1060" t="str">
            <v>3.1.1.03.08.03 (-) Revendas Canceladas e Devo</v>
          </cell>
          <cell r="I1060">
            <v>0</v>
          </cell>
          <cell r="J1060">
            <v>0</v>
          </cell>
          <cell r="K1060">
            <v>0</v>
          </cell>
        </row>
        <row r="1061">
          <cell r="H1061" t="str">
            <v>3110308030 (-)Rev Canc e Dev de Rev Merc Divs no MI (Realiz)</v>
          </cell>
          <cell r="I1061">
            <v>0</v>
          </cell>
          <cell r="J1061">
            <v>0</v>
          </cell>
          <cell r="K1061">
            <v>0</v>
          </cell>
        </row>
        <row r="1062">
          <cell r="F1062" t="str">
            <v>3.1.1.03.30 (-) Revendas Canceladas e Devoluç</v>
          </cell>
          <cell r="I1062">
            <v>0</v>
          </cell>
          <cell r="J1062">
            <v>0</v>
          </cell>
          <cell r="K1062">
            <v>0</v>
          </cell>
        </row>
        <row r="1063">
          <cell r="G1063" t="str">
            <v>3.1.1.03.30.03 (-) Vendas Canceladas e Devolu</v>
          </cell>
          <cell r="I1063">
            <v>0</v>
          </cell>
          <cell r="J1063">
            <v>0</v>
          </cell>
          <cell r="K1063">
            <v>0</v>
          </cell>
        </row>
        <row r="1064">
          <cell r="H1064" t="str">
            <v>3110330030 (-)Vend Canc e Devs Venda Serv no MI (Realizado)</v>
          </cell>
          <cell r="I1064">
            <v>0</v>
          </cell>
          <cell r="J1064">
            <v>0</v>
          </cell>
          <cell r="K1064">
            <v>0</v>
          </cell>
        </row>
        <row r="1065">
          <cell r="D1065" t="str">
            <v>3.1.1.04 (-) Descontos Incondicionais</v>
          </cell>
          <cell r="I1065">
            <v>271437.34999999998</v>
          </cell>
          <cell r="J1065">
            <v>12479.91</v>
          </cell>
          <cell r="K1065">
            <v>283917.26</v>
          </cell>
        </row>
        <row r="1066">
          <cell r="F1066" t="str">
            <v>3.1.1.04.01 (-) Descontos Incondicionais s/Ve</v>
          </cell>
          <cell r="I1066">
            <v>269086.08000000002</v>
          </cell>
          <cell r="J1066">
            <v>12479.91</v>
          </cell>
          <cell r="K1066">
            <v>281565.99</v>
          </cell>
        </row>
        <row r="1067">
          <cell r="G1067" t="str">
            <v>3.1.1.04.01.01 (-) Descontos Incondicionais s</v>
          </cell>
          <cell r="I1067">
            <v>0</v>
          </cell>
          <cell r="J1067">
            <v>0</v>
          </cell>
          <cell r="K1067">
            <v>0</v>
          </cell>
        </row>
        <row r="1068">
          <cell r="H1068" t="str">
            <v>3110401010 (-)Desc Incond s/Vendas de Prod FP no ME (Realiz)</v>
          </cell>
          <cell r="I1068">
            <v>0</v>
          </cell>
          <cell r="J1068">
            <v>0</v>
          </cell>
          <cell r="K1068">
            <v>0</v>
          </cell>
        </row>
        <row r="1069">
          <cell r="G1069" t="str">
            <v>3.1.1.04.01.02 (-) Descontos Incondicionais a</v>
          </cell>
          <cell r="I1069">
            <v>0</v>
          </cell>
          <cell r="J1069">
            <v>0</v>
          </cell>
          <cell r="K1069">
            <v>0</v>
          </cell>
        </row>
        <row r="1070">
          <cell r="H1070" t="str">
            <v>3110401020 (-)Desc Incond a Coml Export c/Fim Espec Export(R)</v>
          </cell>
          <cell r="I1070">
            <v>0</v>
          </cell>
          <cell r="J1070">
            <v>0</v>
          </cell>
          <cell r="K1070">
            <v>0</v>
          </cell>
        </row>
        <row r="1071">
          <cell r="G1071" t="str">
            <v>3.1.1.04.01.03 (-) Descontos Incondicionais s</v>
          </cell>
          <cell r="I1071">
            <v>269086.08000000002</v>
          </cell>
          <cell r="J1071">
            <v>12479.91</v>
          </cell>
          <cell r="K1071">
            <v>281565.99</v>
          </cell>
        </row>
        <row r="1072">
          <cell r="H1072" t="str">
            <v>3110401030 (-)Desc Incond s/Vend de Prod FP no MI (Realizado)</v>
          </cell>
          <cell r="I1072">
            <v>269086.08000000002</v>
          </cell>
          <cell r="J1072">
            <v>12479.91</v>
          </cell>
          <cell r="K1072">
            <v>281565.99</v>
          </cell>
        </row>
        <row r="1073">
          <cell r="F1073" t="str">
            <v>3.1.1.04.05 (-) Descontos Incondicionais s/Re</v>
          </cell>
          <cell r="I1073">
            <v>2300.87</v>
          </cell>
          <cell r="J1073">
            <v>0</v>
          </cell>
          <cell r="K1073">
            <v>2300.87</v>
          </cell>
        </row>
        <row r="1074">
          <cell r="G1074" t="str">
            <v>3.1.1.04.05.01 (-) Descontos Incondicionais s</v>
          </cell>
          <cell r="I1074">
            <v>0</v>
          </cell>
          <cell r="J1074">
            <v>0</v>
          </cell>
          <cell r="K1074">
            <v>0</v>
          </cell>
        </row>
        <row r="1075">
          <cell r="H1075" t="str">
            <v>3110405010 (-)Desc Incond s/Rev Merc Nacional no ME (Realiz)</v>
          </cell>
          <cell r="I1075">
            <v>0</v>
          </cell>
          <cell r="J1075">
            <v>0</v>
          </cell>
          <cell r="K1075">
            <v>0</v>
          </cell>
        </row>
        <row r="1076">
          <cell r="G1076" t="str">
            <v>3.1.1.04.05.03 (-) Descontos Incondicionais s</v>
          </cell>
          <cell r="I1076">
            <v>2300.87</v>
          </cell>
          <cell r="J1076">
            <v>0</v>
          </cell>
          <cell r="K1076">
            <v>2300.87</v>
          </cell>
        </row>
        <row r="1077">
          <cell r="H1077" t="str">
            <v>3110405030 (-)Desc Incond s/Rev Merc Nacional no MI (Realiz)</v>
          </cell>
          <cell r="I1077">
            <v>2300.87</v>
          </cell>
          <cell r="J1077">
            <v>0</v>
          </cell>
          <cell r="K1077">
            <v>2300.87</v>
          </cell>
        </row>
        <row r="1078">
          <cell r="F1078" t="str">
            <v>3.1.1.04.06 (-) Descontos Incondicionais s/Re</v>
          </cell>
          <cell r="I1078">
            <v>0</v>
          </cell>
          <cell r="J1078">
            <v>0</v>
          </cell>
          <cell r="K1078">
            <v>0</v>
          </cell>
        </row>
        <row r="1079">
          <cell r="G1079" t="str">
            <v>3.1.1.04.06.03 (-) Descontos Incondicionais s</v>
          </cell>
          <cell r="I1079">
            <v>0</v>
          </cell>
          <cell r="J1079">
            <v>0</v>
          </cell>
          <cell r="K1079">
            <v>0</v>
          </cell>
        </row>
        <row r="1080">
          <cell r="H1080" t="str">
            <v>3110406030 (-)Desc Incond s/Rev Merc Imports no MI (Realiz)</v>
          </cell>
          <cell r="I1080">
            <v>0</v>
          </cell>
          <cell r="J1080">
            <v>0</v>
          </cell>
          <cell r="K1080">
            <v>0</v>
          </cell>
        </row>
        <row r="1081">
          <cell r="F1081" t="str">
            <v>3.1.1.04.08 (-) Descontos Incondicionais s/Re</v>
          </cell>
          <cell r="I1081">
            <v>50.4</v>
          </cell>
          <cell r="J1081">
            <v>0</v>
          </cell>
          <cell r="K1081">
            <v>50.4</v>
          </cell>
        </row>
        <row r="1082">
          <cell r="G1082" t="str">
            <v>3.1.1.04.08.03 (-) Descontos Incondicionais s</v>
          </cell>
          <cell r="I1082">
            <v>50.4</v>
          </cell>
          <cell r="J1082">
            <v>0</v>
          </cell>
          <cell r="K1082">
            <v>50.4</v>
          </cell>
        </row>
        <row r="1083">
          <cell r="H1083" t="str">
            <v>3110408030 (-)Desc Incond s/Rev Merc Diversas no MI (Realiz)</v>
          </cell>
          <cell r="I1083">
            <v>50.4</v>
          </cell>
          <cell r="J1083">
            <v>0</v>
          </cell>
          <cell r="K1083">
            <v>50.4</v>
          </cell>
        </row>
        <row r="1084">
          <cell r="F1084" t="str">
            <v>3.1.1.04.30 (-) Descontos Incondicionais s/Ve</v>
          </cell>
          <cell r="I1084">
            <v>0</v>
          </cell>
          <cell r="J1084">
            <v>0</v>
          </cell>
          <cell r="K1084">
            <v>0</v>
          </cell>
        </row>
        <row r="1085">
          <cell r="G1085" t="str">
            <v>3.1.1.04.30.03 (-) Descontos Incondicionais s</v>
          </cell>
          <cell r="I1085">
            <v>0</v>
          </cell>
          <cell r="J1085">
            <v>0</v>
          </cell>
          <cell r="K1085">
            <v>0</v>
          </cell>
        </row>
        <row r="1086">
          <cell r="H1086" t="str">
            <v>3110430030 (-)Desc Incond s/Venda Serviços no MI (Realiz)</v>
          </cell>
          <cell r="I1086">
            <v>0</v>
          </cell>
          <cell r="J1086">
            <v>0</v>
          </cell>
          <cell r="K1086">
            <v>0</v>
          </cell>
        </row>
        <row r="1087">
          <cell r="D1087" t="str">
            <v>3.1.1.05 (-) ICMS</v>
          </cell>
          <cell r="I1087">
            <v>66027288.649999999</v>
          </cell>
          <cell r="J1087">
            <v>12878066.890000001</v>
          </cell>
          <cell r="K1087">
            <v>78905355.540000007</v>
          </cell>
        </row>
        <row r="1088">
          <cell r="F1088" t="str">
            <v>3.1.1.05.01 (-) ICMS s/Vendas de Produtos (Fa</v>
          </cell>
          <cell r="I1088">
            <v>64306624.799999997</v>
          </cell>
          <cell r="J1088">
            <v>12527750.34</v>
          </cell>
          <cell r="K1088">
            <v>76834375.140000001</v>
          </cell>
        </row>
        <row r="1089">
          <cell r="G1089" t="str">
            <v>3.1.1.05.01.03 (-) ICMS s/Vendas de Produtos</v>
          </cell>
          <cell r="I1089">
            <v>64306624.799999997</v>
          </cell>
          <cell r="J1089">
            <v>12527750.34</v>
          </cell>
          <cell r="K1089">
            <v>76834375.140000001</v>
          </cell>
        </row>
        <row r="1090">
          <cell r="H1090" t="str">
            <v>3110501030 (-)ICMS s/Vendas de Produtos FP no MI (Realiz)</v>
          </cell>
          <cell r="I1090">
            <v>64306624.799999997</v>
          </cell>
          <cell r="J1090">
            <v>12527750.34</v>
          </cell>
          <cell r="K1090">
            <v>76834375.140000001</v>
          </cell>
        </row>
        <row r="1091">
          <cell r="F1091" t="str">
            <v>3.1.1.05.05 (-) ICMS s/Revendas de Mercadoria</v>
          </cell>
          <cell r="I1091">
            <v>1566382.99</v>
          </cell>
          <cell r="J1091">
            <v>344290.19</v>
          </cell>
          <cell r="K1091">
            <v>1910673.18</v>
          </cell>
        </row>
        <row r="1092">
          <cell r="G1092" t="str">
            <v>3.1.1.05.05.03 (-) ICMS s/Revenda de Mercador</v>
          </cell>
          <cell r="I1092">
            <v>1566382.99</v>
          </cell>
          <cell r="J1092">
            <v>344290.19</v>
          </cell>
          <cell r="K1092">
            <v>1910673.18</v>
          </cell>
        </row>
        <row r="1093">
          <cell r="H1093" t="str">
            <v>3110505030 (-)ICMS s/Rev de Mercs Nacionais no MI (Realiz)</v>
          </cell>
          <cell r="I1093">
            <v>1566382.99</v>
          </cell>
          <cell r="J1093">
            <v>344290.19</v>
          </cell>
          <cell r="K1093">
            <v>1910673.18</v>
          </cell>
        </row>
        <row r="1094">
          <cell r="F1094" t="str">
            <v>3.1.1.05.06 (-) ICMS s/Revendas de Mercadoria</v>
          </cell>
          <cell r="I1094">
            <v>146314.51999999999</v>
          </cell>
          <cell r="J1094">
            <v>0</v>
          </cell>
          <cell r="K1094">
            <v>146314.51999999999</v>
          </cell>
        </row>
        <row r="1095">
          <cell r="G1095" t="str">
            <v>3.1.1.05.06.03 (-) ICMS s/Revendas de Mercado</v>
          </cell>
          <cell r="I1095">
            <v>146314.51999999999</v>
          </cell>
          <cell r="J1095">
            <v>0</v>
          </cell>
          <cell r="K1095">
            <v>146314.51999999999</v>
          </cell>
        </row>
        <row r="1096">
          <cell r="H1096" t="str">
            <v>3110506030 (-)ICMS s/Rev de Merc Imports no MI (Realiz)</v>
          </cell>
          <cell r="I1096">
            <v>146314.51999999999</v>
          </cell>
          <cell r="J1096">
            <v>0</v>
          </cell>
          <cell r="K1096">
            <v>146314.51999999999</v>
          </cell>
        </row>
        <row r="1097">
          <cell r="F1097" t="str">
            <v>3.1.1.05.08 (-) ICMS s/Revendas de Mercadoria</v>
          </cell>
          <cell r="I1097">
            <v>5508.4</v>
          </cell>
          <cell r="J1097">
            <v>5664.47</v>
          </cell>
          <cell r="K1097">
            <v>11172.87</v>
          </cell>
        </row>
        <row r="1098">
          <cell r="G1098" t="str">
            <v>3.1.1.05.08.03 (-) ICMS s/ Revendas de Mercad</v>
          </cell>
          <cell r="I1098">
            <v>5508.4</v>
          </cell>
          <cell r="J1098">
            <v>5664.47</v>
          </cell>
          <cell r="K1098">
            <v>11172.87</v>
          </cell>
        </row>
        <row r="1099">
          <cell r="H1099" t="str">
            <v>3110508030 (-)ICMS s/Rev Mercadorias Divs no MI (Realizado)</v>
          </cell>
          <cell r="I1099">
            <v>5508.4</v>
          </cell>
          <cell r="J1099">
            <v>5664.47</v>
          </cell>
          <cell r="K1099">
            <v>11172.87</v>
          </cell>
        </row>
        <row r="1100">
          <cell r="F1100" t="str">
            <v>3.1.1.05.90 (-) ICMS s/Remessas de Mercadoria</v>
          </cell>
          <cell r="I1100">
            <v>2457.94</v>
          </cell>
          <cell r="J1100">
            <v>361.89</v>
          </cell>
          <cell r="K1100">
            <v>2819.83</v>
          </cell>
        </row>
        <row r="1101">
          <cell r="G1101" t="str">
            <v>3110590900 (-)ICMS s/Remessas Mercadorias Div no MI (Realiz)</v>
          </cell>
          <cell r="I1101">
            <v>2457.94</v>
          </cell>
          <cell r="J1101">
            <v>361.89</v>
          </cell>
          <cell r="K1101">
            <v>2819.83</v>
          </cell>
        </row>
        <row r="1102">
          <cell r="D1102" t="str">
            <v>3.1.1.06 (-) Cofins</v>
          </cell>
          <cell r="I1102">
            <v>30486682.079999998</v>
          </cell>
          <cell r="J1102">
            <v>5967623.0999999996</v>
          </cell>
          <cell r="K1102">
            <v>36454305.18</v>
          </cell>
        </row>
        <row r="1103">
          <cell r="F1103" t="str">
            <v>3.1.1.06.01 (-) Cofins s/Vendas de Produtos (</v>
          </cell>
          <cell r="I1103">
            <v>29699662.949999999</v>
          </cell>
          <cell r="J1103">
            <v>5802029.6500000004</v>
          </cell>
          <cell r="K1103">
            <v>35501692.600000001</v>
          </cell>
        </row>
        <row r="1104">
          <cell r="G1104" t="str">
            <v>3.1.1.06.01.03 (-) Cofins s/Vendas de Produto</v>
          </cell>
          <cell r="I1104">
            <v>29699662.949999999</v>
          </cell>
          <cell r="J1104">
            <v>5802029.6500000004</v>
          </cell>
          <cell r="K1104">
            <v>35501692.600000001</v>
          </cell>
        </row>
        <row r="1105">
          <cell r="H1105" t="str">
            <v>3110601030 (-)Cofins s/Venda Produtos FP no MI (R)</v>
          </cell>
          <cell r="I1105">
            <v>29699662.949999999</v>
          </cell>
          <cell r="J1105">
            <v>5802029.6500000004</v>
          </cell>
          <cell r="K1105">
            <v>35501692.600000001</v>
          </cell>
        </row>
        <row r="1106">
          <cell r="F1106" t="str">
            <v>3.1.1.06.05 (-) Cofins s/Revendas de Mercador</v>
          </cell>
          <cell r="I1106">
            <v>704406.31</v>
          </cell>
          <cell r="J1106">
            <v>163201.78</v>
          </cell>
          <cell r="K1106">
            <v>867608.09</v>
          </cell>
        </row>
        <row r="1107">
          <cell r="G1107" t="str">
            <v>3.1.1.06.05.03 (-) Cofins s/Revenda de Mercad</v>
          </cell>
          <cell r="I1107">
            <v>704406.31</v>
          </cell>
          <cell r="J1107">
            <v>163201.78</v>
          </cell>
          <cell r="K1107">
            <v>867608.09</v>
          </cell>
        </row>
        <row r="1108">
          <cell r="H1108" t="str">
            <v>3110605030 (-)Cofins s/Revenda Merc Nacionais no MI (Realiz)</v>
          </cell>
          <cell r="I1108">
            <v>704406.31</v>
          </cell>
          <cell r="J1108">
            <v>163201.78</v>
          </cell>
          <cell r="K1108">
            <v>867608.09</v>
          </cell>
        </row>
        <row r="1109">
          <cell r="F1109" t="str">
            <v>3.1.1.06.06 (-) Cofins s/Revendas de Mercador</v>
          </cell>
          <cell r="I1109">
            <v>63261.65</v>
          </cell>
          <cell r="J1109">
            <v>0</v>
          </cell>
          <cell r="K1109">
            <v>63261.65</v>
          </cell>
        </row>
        <row r="1110">
          <cell r="G1110" t="str">
            <v>3.1.1.06.06.03 (-) Cofins s/Revendas de Merca</v>
          </cell>
          <cell r="I1110">
            <v>63261.65</v>
          </cell>
          <cell r="J1110">
            <v>0</v>
          </cell>
          <cell r="K1110">
            <v>63261.65</v>
          </cell>
        </row>
        <row r="1111">
          <cell r="H1111" t="str">
            <v>3110606030 (-)Cofins s/Revenda Merc Importadas no MI (Realiz)</v>
          </cell>
          <cell r="I1111">
            <v>63261.65</v>
          </cell>
          <cell r="J1111">
            <v>0</v>
          </cell>
          <cell r="K1111">
            <v>63261.65</v>
          </cell>
        </row>
        <row r="1112">
          <cell r="F1112" t="str">
            <v>3.1.1.06.08 (-) Cofins s/Revendas de Mercador</v>
          </cell>
          <cell r="I1112">
            <v>2364.69</v>
          </cell>
          <cell r="J1112">
            <v>2391.67</v>
          </cell>
          <cell r="K1112">
            <v>4756.3599999999997</v>
          </cell>
        </row>
        <row r="1113">
          <cell r="G1113" t="str">
            <v>3.1.1.06.08.03 (-) Cofins s/ Revendas de Merc</v>
          </cell>
          <cell r="I1113">
            <v>2364.69</v>
          </cell>
          <cell r="J1113">
            <v>2391.67</v>
          </cell>
          <cell r="K1113">
            <v>4756.3599999999997</v>
          </cell>
        </row>
        <row r="1114">
          <cell r="H1114" t="str">
            <v>3110608030 (-)Cofins s/Revenda Mercad Divs no MI (Realiz)</v>
          </cell>
          <cell r="I1114">
            <v>2364.69</v>
          </cell>
          <cell r="J1114">
            <v>2391.67</v>
          </cell>
          <cell r="K1114">
            <v>4756.3599999999997</v>
          </cell>
        </row>
        <row r="1115">
          <cell r="F1115" t="str">
            <v>3.1.1.06.30 (-) Cofins s/Revendas de Vendas d</v>
          </cell>
          <cell r="I1115">
            <v>16986.48</v>
          </cell>
          <cell r="J1115">
            <v>0</v>
          </cell>
          <cell r="K1115">
            <v>16986.48</v>
          </cell>
        </row>
        <row r="1116">
          <cell r="G1116" t="str">
            <v>3.1.1.06.30.03 (-) Cofins s/Vendas de Serviço</v>
          </cell>
          <cell r="I1116">
            <v>16986.48</v>
          </cell>
          <cell r="J1116">
            <v>0</v>
          </cell>
          <cell r="K1116">
            <v>16986.48</v>
          </cell>
        </row>
        <row r="1117">
          <cell r="H1117" t="str">
            <v>3110630030 (-)Cofins s/Venda de Serviços no MI (Realiz)</v>
          </cell>
          <cell r="I1117">
            <v>16986.48</v>
          </cell>
          <cell r="J1117">
            <v>0</v>
          </cell>
          <cell r="K1117">
            <v>16986.48</v>
          </cell>
        </row>
        <row r="1118">
          <cell r="D1118" t="str">
            <v>3.1.1.07 (-) PIS/Pasep</v>
          </cell>
          <cell r="I1118">
            <v>6618819.7400000002</v>
          </cell>
          <cell r="J1118">
            <v>1295601.8400000001</v>
          </cell>
          <cell r="K1118">
            <v>7914421.5800000001</v>
          </cell>
        </row>
        <row r="1119">
          <cell r="F1119" t="str">
            <v>3.1.1.07.01 (-) PIS/Pasep s/Vendas de Produto</v>
          </cell>
          <cell r="I1119">
            <v>6447953.8399999999</v>
          </cell>
          <cell r="J1119">
            <v>1259650.68</v>
          </cell>
          <cell r="K1119">
            <v>7707604.5199999996</v>
          </cell>
        </row>
        <row r="1120">
          <cell r="G1120" t="str">
            <v>3.1.1.07.01.03 (-) PIS/Pasep s/Vendas de Prod</v>
          </cell>
          <cell r="I1120">
            <v>6447953.8399999999</v>
          </cell>
          <cell r="J1120">
            <v>1259650.68</v>
          </cell>
          <cell r="K1120">
            <v>7707604.5199999996</v>
          </cell>
        </row>
        <row r="1121">
          <cell r="H1121" t="str">
            <v>3110701030 (-)PIS/Pasep s/Vendas Produtos FP no MI (Realiz)</v>
          </cell>
          <cell r="I1121">
            <v>6447953.8399999999</v>
          </cell>
          <cell r="J1121">
            <v>1259650.68</v>
          </cell>
          <cell r="K1121">
            <v>7707604.5199999996</v>
          </cell>
        </row>
        <row r="1122">
          <cell r="F1122" t="str">
            <v>3.1.1.07.05 (-) PIS/Pasep s/Revendas de Merca</v>
          </cell>
          <cell r="I1122">
            <v>152930.22</v>
          </cell>
          <cell r="J1122">
            <v>35431.919999999998</v>
          </cell>
          <cell r="K1122">
            <v>188362.14</v>
          </cell>
        </row>
        <row r="1123">
          <cell r="G1123" t="str">
            <v>3.1.1.07.05.03 (-) PIS/Pasep s/Revenda de Mer</v>
          </cell>
          <cell r="I1123">
            <v>152930.22</v>
          </cell>
          <cell r="J1123">
            <v>35431.919999999998</v>
          </cell>
          <cell r="K1123">
            <v>188362.14</v>
          </cell>
        </row>
        <row r="1124">
          <cell r="H1124" t="str">
            <v>3110705030 (-)PIS/Pasep s/Rev Merc Nacionais no MI (Realiz)</v>
          </cell>
          <cell r="I1124">
            <v>152930.22</v>
          </cell>
          <cell r="J1124">
            <v>35431.919999999998</v>
          </cell>
          <cell r="K1124">
            <v>188362.14</v>
          </cell>
        </row>
        <row r="1125">
          <cell r="F1125" t="str">
            <v>3.1.1.07.06 (-) PIS/Pasep s/Revendas de Merca</v>
          </cell>
          <cell r="I1125">
            <v>13734.44</v>
          </cell>
          <cell r="J1125">
            <v>0</v>
          </cell>
          <cell r="K1125">
            <v>13734.44</v>
          </cell>
        </row>
        <row r="1126">
          <cell r="G1126" t="str">
            <v>3.1.1.07.06.03 (-) PIS/Pasep s/Revendas de Me</v>
          </cell>
          <cell r="I1126">
            <v>13734.44</v>
          </cell>
          <cell r="J1126">
            <v>0</v>
          </cell>
          <cell r="K1126">
            <v>13734.44</v>
          </cell>
        </row>
        <row r="1127">
          <cell r="H1127" t="str">
            <v>3110706030 (-)PIS/Pasep s/Rev Merc Importadas no MI (Realiz)</v>
          </cell>
          <cell r="I1127">
            <v>13734.44</v>
          </cell>
          <cell r="J1127">
            <v>0</v>
          </cell>
          <cell r="K1127">
            <v>13734.44</v>
          </cell>
        </row>
        <row r="1128">
          <cell r="F1128" t="str">
            <v>3.1.1.07.08 (-) PIS/Pasep s/Revendas de Merca</v>
          </cell>
          <cell r="I1128">
            <v>513.39</v>
          </cell>
          <cell r="J1128">
            <v>519.24</v>
          </cell>
          <cell r="K1128">
            <v>1032.6300000000001</v>
          </cell>
        </row>
        <row r="1129">
          <cell r="G1129" t="str">
            <v>3.1.1.07.08.03 (-) PIS/Pasep s/ Revendas de M</v>
          </cell>
          <cell r="I1129">
            <v>513.39</v>
          </cell>
          <cell r="J1129">
            <v>519.24</v>
          </cell>
          <cell r="K1129">
            <v>1032.6300000000001</v>
          </cell>
        </row>
        <row r="1130">
          <cell r="H1130" t="str">
            <v>3110708030 (-)PIS/Pasep s/Revenda Merc Divs no MI (Realiz)</v>
          </cell>
          <cell r="I1130">
            <v>513.39</v>
          </cell>
          <cell r="J1130">
            <v>519.24</v>
          </cell>
          <cell r="K1130">
            <v>1032.6300000000001</v>
          </cell>
        </row>
        <row r="1131">
          <cell r="F1131" t="str">
            <v>3.1.1.07.30 (-) PIS/Pasep s/Revendas de Venda</v>
          </cell>
          <cell r="I1131">
            <v>3687.85</v>
          </cell>
          <cell r="J1131">
            <v>0</v>
          </cell>
          <cell r="K1131">
            <v>3687.85</v>
          </cell>
        </row>
        <row r="1132">
          <cell r="G1132" t="str">
            <v>3.1.1.07.30.03 (-) PIS/Pasep s/Vendas de Serv</v>
          </cell>
          <cell r="I1132">
            <v>3687.85</v>
          </cell>
          <cell r="J1132">
            <v>0</v>
          </cell>
          <cell r="K1132">
            <v>3687.85</v>
          </cell>
        </row>
        <row r="1133">
          <cell r="H1133" t="str">
            <v>3110730030 (-)PIS/Pasep s/Venda Serviços no MI (Realiz)</v>
          </cell>
          <cell r="I1133">
            <v>3687.85</v>
          </cell>
          <cell r="J1133">
            <v>0</v>
          </cell>
          <cell r="K1133">
            <v>3687.85</v>
          </cell>
        </row>
        <row r="1134">
          <cell r="D1134" t="str">
            <v>3.1.1.08 (-) ISS</v>
          </cell>
          <cell r="I1134">
            <v>11175.31</v>
          </cell>
          <cell r="J1134">
            <v>-0.01</v>
          </cell>
          <cell r="K1134">
            <v>11175.3</v>
          </cell>
        </row>
        <row r="1135">
          <cell r="F1135" t="str">
            <v>3.1.1.08.30 (-) ISS s/Revendas de Vendas de S</v>
          </cell>
          <cell r="I1135">
            <v>11175.31</v>
          </cell>
          <cell r="J1135">
            <v>-0.01</v>
          </cell>
          <cell r="K1135">
            <v>11175.3</v>
          </cell>
        </row>
        <row r="1136">
          <cell r="G1136" t="str">
            <v>3.1.1.08.30.03 (-) ISS s/Vendas de Serviços n</v>
          </cell>
          <cell r="I1136">
            <v>11175.31</v>
          </cell>
          <cell r="J1136">
            <v>-0.01</v>
          </cell>
          <cell r="K1136">
            <v>11175.3</v>
          </cell>
        </row>
        <row r="1137">
          <cell r="H1137" t="str">
            <v>3110830030 (-)ISS s/Venda de Serviços no MI (Realiz)</v>
          </cell>
          <cell r="I1137">
            <v>11175.31</v>
          </cell>
          <cell r="J1137">
            <v>-0.01</v>
          </cell>
          <cell r="K1137">
            <v>11175.3</v>
          </cell>
        </row>
        <row r="1138">
          <cell r="D1138" t="str">
            <v>3.1.1.09 (-) IPI</v>
          </cell>
          <cell r="I1138">
            <v>0</v>
          </cell>
          <cell r="J1138">
            <v>0</v>
          </cell>
          <cell r="K1138">
            <v>0</v>
          </cell>
        </row>
        <row r="1139">
          <cell r="F1139" t="str">
            <v>3.1.1.09.01 (-) IPI s/Vendas de Produtos (Fab</v>
          </cell>
          <cell r="I1139">
            <v>0</v>
          </cell>
          <cell r="J1139">
            <v>0</v>
          </cell>
          <cell r="K1139">
            <v>0</v>
          </cell>
        </row>
        <row r="1140">
          <cell r="G1140" t="str">
            <v>3.1.1.09.01.03 (-) IPI s/Vendas de Produtos (</v>
          </cell>
          <cell r="I1140">
            <v>0</v>
          </cell>
          <cell r="J1140">
            <v>0</v>
          </cell>
          <cell r="K1140">
            <v>0</v>
          </cell>
        </row>
        <row r="1141">
          <cell r="H1141" t="str">
            <v>3110901030 (-)IPI s/Venda de Produtos FP no MI</v>
          </cell>
          <cell r="I1141">
            <v>0</v>
          </cell>
          <cell r="J1141">
            <v>0</v>
          </cell>
          <cell r="K1141">
            <v>0</v>
          </cell>
        </row>
        <row r="1142">
          <cell r="F1142" t="str">
            <v>3.1.1.09.05 (-) IPIs/Revendas de Mercadorias</v>
          </cell>
          <cell r="I1142">
            <v>0</v>
          </cell>
          <cell r="J1142">
            <v>0</v>
          </cell>
          <cell r="K1142">
            <v>0</v>
          </cell>
        </row>
        <row r="1143">
          <cell r="G1143" t="str">
            <v>3.1.1.09.05.03 (-) IPIs/Revenda de Mercadoria</v>
          </cell>
          <cell r="I1143">
            <v>0</v>
          </cell>
          <cell r="J1143">
            <v>0</v>
          </cell>
          <cell r="K1143">
            <v>0</v>
          </cell>
        </row>
        <row r="1144">
          <cell r="H1144" t="str">
            <v>3110905030 (-)IPI s/Revenda de Mercs Nacionais no MI (Realiz)</v>
          </cell>
          <cell r="I1144">
            <v>0</v>
          </cell>
          <cell r="J1144">
            <v>0</v>
          </cell>
          <cell r="K1144">
            <v>0</v>
          </cell>
        </row>
        <row r="1145">
          <cell r="F1145" t="str">
            <v>3.1.1.09.06 (-) IPIs/Revendas de Mercadorias</v>
          </cell>
          <cell r="I1145">
            <v>0</v>
          </cell>
          <cell r="J1145">
            <v>0</v>
          </cell>
          <cell r="K1145">
            <v>0</v>
          </cell>
        </row>
        <row r="1146">
          <cell r="G1146" t="str">
            <v>3.1.1.09.06.03 (-) IPIs/Revendas de Mercadori</v>
          </cell>
          <cell r="I1146">
            <v>0</v>
          </cell>
          <cell r="J1146">
            <v>0</v>
          </cell>
          <cell r="K1146">
            <v>0</v>
          </cell>
        </row>
        <row r="1147">
          <cell r="H1147" t="str">
            <v>3110906030 (-)IPI s/Rev de Mercs Importadas no MI (Realiz)</v>
          </cell>
          <cell r="I1147">
            <v>0</v>
          </cell>
          <cell r="J1147">
            <v>0</v>
          </cell>
          <cell r="K1147">
            <v>0</v>
          </cell>
        </row>
        <row r="1148">
          <cell r="F1148" t="str">
            <v>3.1.1.09.08 (-) IPIs/Revendas de Mercadorias</v>
          </cell>
          <cell r="I1148">
            <v>0</v>
          </cell>
          <cell r="J1148">
            <v>0</v>
          </cell>
          <cell r="K1148">
            <v>0</v>
          </cell>
        </row>
        <row r="1149">
          <cell r="G1149" t="str">
            <v>3.1.1.09.08.03 (-) IPIs/ Revendas de Mercador</v>
          </cell>
          <cell r="I1149">
            <v>0</v>
          </cell>
          <cell r="J1149">
            <v>0</v>
          </cell>
          <cell r="K1149">
            <v>0</v>
          </cell>
        </row>
        <row r="1150">
          <cell r="H1150" t="str">
            <v>3110908030 (-)IPI s/Rev de Mercadorias Divs no MI (Realiz)</v>
          </cell>
          <cell r="I1150">
            <v>0</v>
          </cell>
          <cell r="J1150">
            <v>0</v>
          </cell>
          <cell r="K1150">
            <v>0</v>
          </cell>
        </row>
        <row r="1151">
          <cell r="C1151" t="str">
            <v>3.1.3 - DEDUÇÕES DA RECEITA LIQUIDA</v>
          </cell>
          <cell r="I1151">
            <v>177177627.68000001</v>
          </cell>
          <cell r="J1151">
            <v>34275038.140000001</v>
          </cell>
          <cell r="K1151">
            <v>211452665.81999999</v>
          </cell>
        </row>
        <row r="1152">
          <cell r="D1152" t="str">
            <v>3.1.3.01 - Custo dos Produtos, Mercadorias e</v>
          </cell>
          <cell r="I1152">
            <v>177177627.68000001</v>
          </cell>
          <cell r="J1152">
            <v>34275038.140000001</v>
          </cell>
          <cell r="K1152">
            <v>211452665.81999999</v>
          </cell>
        </row>
        <row r="1153">
          <cell r="F1153" t="str">
            <v>3.1.3.01.01 - Custo dos Prod Vend (Fab. Próp)</v>
          </cell>
          <cell r="I1153">
            <v>173679042.30000001</v>
          </cell>
          <cell r="J1153">
            <v>33575129.969999999</v>
          </cell>
          <cell r="K1153">
            <v>207254172.27000001</v>
          </cell>
        </row>
        <row r="1154">
          <cell r="G1154" t="str">
            <v>3.1.3.01.01.01 - Custo de Exportação Direta d</v>
          </cell>
          <cell r="I1154">
            <v>-385213.34</v>
          </cell>
          <cell r="J1154">
            <v>1088203.92</v>
          </cell>
          <cell r="K1154">
            <v>702990.58</v>
          </cell>
        </row>
        <row r="1155">
          <cell r="H1155" t="str">
            <v>3130101010 Custo de Exportaçao Direta de Produtos (Realiz)</v>
          </cell>
          <cell r="I1155">
            <v>0</v>
          </cell>
          <cell r="J1155">
            <v>0</v>
          </cell>
          <cell r="K1155">
            <v>0</v>
          </cell>
        </row>
        <row r="1156">
          <cell r="H1156" t="str">
            <v>3130101012 Rev Prov p/ Desv de Exportaçao Direta de Produtos</v>
          </cell>
          <cell r="I1156">
            <v>-8853462.6699999999</v>
          </cell>
          <cell r="J1156">
            <v>-1076561.6299999999</v>
          </cell>
          <cell r="K1156">
            <v>-9930024.3000000007</v>
          </cell>
        </row>
        <row r="1157">
          <cell r="H1157" t="str">
            <v>3130101015 Prov p/Desv de Exportaçao Direta de Produtos</v>
          </cell>
          <cell r="I1157">
            <v>8468249.3300000001</v>
          </cell>
          <cell r="J1157">
            <v>2164765.5499999998</v>
          </cell>
          <cell r="K1157">
            <v>10633014.880000001</v>
          </cell>
        </row>
        <row r="1158">
          <cell r="G1158" t="str">
            <v>3.1.3.01.01.02 - Custo das Vendas a Comercial</v>
          </cell>
          <cell r="I1158">
            <v>0</v>
          </cell>
          <cell r="J1158">
            <v>0</v>
          </cell>
          <cell r="K1158">
            <v>0</v>
          </cell>
        </row>
        <row r="1159">
          <cell r="H1159" t="str">
            <v>3130101020 Cto das Vendas a Coml Export c/Fim Esp Export (R)</v>
          </cell>
          <cell r="I1159">
            <v>0</v>
          </cell>
          <cell r="J1159">
            <v>0</v>
          </cell>
          <cell r="K1159">
            <v>0</v>
          </cell>
        </row>
        <row r="1160">
          <cell r="G1160" t="str">
            <v>3.1.3.01.01.03 - Custo das Vendas de Produtos</v>
          </cell>
          <cell r="I1160">
            <v>174064255.63999999</v>
          </cell>
          <cell r="J1160">
            <v>32486926.050000001</v>
          </cell>
          <cell r="K1160">
            <v>206551181.69</v>
          </cell>
        </row>
        <row r="1161">
          <cell r="H1161" t="str">
            <v>3130101030 Custo das Vendas de Produtos MI (Realizado)</v>
          </cell>
          <cell r="I1161">
            <v>174053146.41999999</v>
          </cell>
          <cell r="J1161">
            <v>32486812.710000001</v>
          </cell>
          <cell r="K1161">
            <v>206539959.13</v>
          </cell>
        </row>
        <row r="1162">
          <cell r="H1162" t="str">
            <v>3130101031 Custo Vendas de Produtos MI - AJ</v>
          </cell>
          <cell r="I1162">
            <v>-116.37</v>
          </cell>
          <cell r="J1162">
            <v>6.71</v>
          </cell>
          <cell r="K1162">
            <v>-109.66</v>
          </cell>
        </row>
        <row r="1163">
          <cell r="H1163" t="str">
            <v>3130101039 Custo das Vendas de Produtos MI Serv (Realizado)</v>
          </cell>
          <cell r="I1163">
            <v>11225.59</v>
          </cell>
          <cell r="J1163">
            <v>106.63</v>
          </cell>
          <cell r="K1163">
            <v>11332.22</v>
          </cell>
        </row>
        <row r="1164">
          <cell r="F1164" t="str">
            <v>3.1.3.01.05 - Custo das Mercadorias Revendida</v>
          </cell>
          <cell r="I1164">
            <v>2842659.15</v>
          </cell>
          <cell r="J1164">
            <v>696978.61</v>
          </cell>
          <cell r="K1164">
            <v>3539637.76</v>
          </cell>
        </row>
        <row r="1165">
          <cell r="G1165" t="str">
            <v>3.1.3.01.05.01 - Custo de Exportação Direta d</v>
          </cell>
          <cell r="I1165">
            <v>0</v>
          </cell>
          <cell r="J1165">
            <v>0</v>
          </cell>
          <cell r="K1165">
            <v>0</v>
          </cell>
        </row>
        <row r="1166">
          <cell r="H1166" t="str">
            <v>3130105010 Custo de Export Direta de Mercadorias (Realizado)</v>
          </cell>
          <cell r="I1166">
            <v>0</v>
          </cell>
          <cell r="J1166">
            <v>0</v>
          </cell>
          <cell r="K1166">
            <v>0</v>
          </cell>
        </row>
        <row r="1167">
          <cell r="G1167" t="str">
            <v>3.1.3.01.05.03 - Custo das Revendas de Mercad</v>
          </cell>
          <cell r="I1167">
            <v>2842659.15</v>
          </cell>
          <cell r="J1167">
            <v>696978.61</v>
          </cell>
          <cell r="K1167">
            <v>3539637.76</v>
          </cell>
        </row>
        <row r="1168">
          <cell r="H1168" t="str">
            <v>3130105030 Custo das Revendas de Mercadorias no MI (Realiz)</v>
          </cell>
          <cell r="I1168">
            <v>2856657.21</v>
          </cell>
          <cell r="J1168">
            <v>696978.61</v>
          </cell>
          <cell r="K1168">
            <v>3553635.82</v>
          </cell>
        </row>
        <row r="1169">
          <cell r="H1169" t="str">
            <v>3130105031 Custo Revendas de Produtos MI - AJ</v>
          </cell>
          <cell r="I1169">
            <v>-13998.06</v>
          </cell>
          <cell r="J1169">
            <v>0</v>
          </cell>
          <cell r="K1169">
            <v>-13998.06</v>
          </cell>
        </row>
        <row r="1170">
          <cell r="F1170" t="str">
            <v>3.1.3.01.06 - Custo das Mercadorias Importada</v>
          </cell>
          <cell r="I1170">
            <v>624852.23</v>
          </cell>
          <cell r="J1170">
            <v>0</v>
          </cell>
          <cell r="K1170">
            <v>624852.23</v>
          </cell>
        </row>
        <row r="1171">
          <cell r="G1171" t="str">
            <v>3.1.3.01.06.03 - CUSTO DAS MERCADORIAS REVEND</v>
          </cell>
          <cell r="I1171">
            <v>624852.23</v>
          </cell>
          <cell r="J1171">
            <v>0</v>
          </cell>
          <cell r="K1171">
            <v>624852.23</v>
          </cell>
        </row>
        <row r="1172">
          <cell r="H1172" t="str">
            <v>3130106030 Custo da Revenda de Merc Importadas no MI (Realiz)</v>
          </cell>
          <cell r="I1172">
            <v>624852.23</v>
          </cell>
          <cell r="J1172">
            <v>0</v>
          </cell>
          <cell r="K1172">
            <v>624852.23</v>
          </cell>
        </row>
        <row r="1173">
          <cell r="F1173" t="str">
            <v>3.1.3.01.08 - Custo dos Materiais Diversos Re</v>
          </cell>
          <cell r="I1173">
            <v>0</v>
          </cell>
          <cell r="J1173">
            <v>0</v>
          </cell>
          <cell r="K1173">
            <v>0</v>
          </cell>
        </row>
        <row r="1174">
          <cell r="G1174" t="str">
            <v>3.1.3.01.08.03 - Custo da Revenda de Mercador</v>
          </cell>
          <cell r="I1174">
            <v>0</v>
          </cell>
          <cell r="J1174">
            <v>0</v>
          </cell>
          <cell r="K1174">
            <v>0</v>
          </cell>
        </row>
        <row r="1175">
          <cell r="H1175" t="str">
            <v>3130108030 Custo Rev de Mercadorias Diversos no MI (Realiz)</v>
          </cell>
          <cell r="I1175">
            <v>0</v>
          </cell>
          <cell r="J1175">
            <v>0</v>
          </cell>
          <cell r="K1175">
            <v>0</v>
          </cell>
        </row>
        <row r="1176">
          <cell r="F1176" t="str">
            <v>3.1.3.01.30 - Custo dos Serviços Vendidos</v>
          </cell>
          <cell r="I1176">
            <v>31074</v>
          </cell>
          <cell r="J1176">
            <v>2929.56</v>
          </cell>
          <cell r="K1176">
            <v>34003.56</v>
          </cell>
        </row>
        <row r="1177">
          <cell r="G1177" t="str">
            <v>3.1.3.01.30.03 - Custo das Vendas de Serviços</v>
          </cell>
          <cell r="I1177">
            <v>31074</v>
          </cell>
          <cell r="J1177">
            <v>2929.56</v>
          </cell>
          <cell r="K1177">
            <v>34003.56</v>
          </cell>
        </row>
        <row r="1178">
          <cell r="H1178" t="str">
            <v>3130130030 Custo das Vendas de Serviços no MI (Realizado)</v>
          </cell>
          <cell r="I1178">
            <v>31074</v>
          </cell>
          <cell r="J1178">
            <v>2929.56</v>
          </cell>
          <cell r="K1178">
            <v>34003.56</v>
          </cell>
        </row>
        <row r="1179">
          <cell r="C1179" t="str">
            <v>3.1.4 - DESPESAS COM VENDAS</v>
          </cell>
          <cell r="I1179">
            <v>32652481.949999999</v>
          </cell>
          <cell r="J1179">
            <v>5891325.21</v>
          </cell>
          <cell r="K1179">
            <v>38543807.159999996</v>
          </cell>
        </row>
        <row r="1180">
          <cell r="D1180" t="str">
            <v>3.1.4.01  - Despesas com Fretes sobre Vendas</v>
          </cell>
          <cell r="I1180">
            <v>32648417.59</v>
          </cell>
          <cell r="J1180">
            <v>5891324.3899999997</v>
          </cell>
          <cell r="K1180">
            <v>38539741.979999997</v>
          </cell>
        </row>
        <row r="1181">
          <cell r="F1181" t="str">
            <v>3.1.4.01.01 - Despesas com Fretes sobre Venda</v>
          </cell>
          <cell r="I1181">
            <v>31676663.32</v>
          </cell>
          <cell r="J1181">
            <v>5687297.8200000003</v>
          </cell>
          <cell r="K1181">
            <v>37363961.140000001</v>
          </cell>
        </row>
        <row r="1182">
          <cell r="G1182" t="str">
            <v>3.1.4.01.01.01 - Fretes sobre Exportação Dire</v>
          </cell>
          <cell r="I1182">
            <v>0</v>
          </cell>
          <cell r="J1182">
            <v>0</v>
          </cell>
          <cell r="K1182">
            <v>0</v>
          </cell>
        </row>
        <row r="1183">
          <cell r="H1183" t="str">
            <v>3140101010 Fretes s/Exportaçao Direta de Produtos (Realizado)</v>
          </cell>
          <cell r="I1183">
            <v>0</v>
          </cell>
          <cell r="J1183">
            <v>0</v>
          </cell>
          <cell r="K1183">
            <v>0</v>
          </cell>
        </row>
        <row r="1184">
          <cell r="H1184" t="str">
            <v>3140101011 Provisao de Fretes s/Exportaçao Direta de Produtos</v>
          </cell>
          <cell r="I1184">
            <v>0</v>
          </cell>
          <cell r="J1184">
            <v>0</v>
          </cell>
          <cell r="K1184">
            <v>0</v>
          </cell>
        </row>
        <row r="1185">
          <cell r="H1185" t="str">
            <v>3140101012 Rev Prov de Fretes s/Exportaçao Direta de Produtos</v>
          </cell>
          <cell r="I1185">
            <v>0</v>
          </cell>
          <cell r="J1185">
            <v>0</v>
          </cell>
          <cell r="K1185">
            <v>0</v>
          </cell>
        </row>
        <row r="1186">
          <cell r="G1186" t="str">
            <v>3.1.4.01.01.02 - Fretes sobre Vendas a Comerc</v>
          </cell>
          <cell r="I1186">
            <v>0</v>
          </cell>
          <cell r="J1186">
            <v>0</v>
          </cell>
          <cell r="K1186">
            <v>0</v>
          </cell>
        </row>
        <row r="1187">
          <cell r="H1187" t="str">
            <v>3140101020 Frete s/Venda Com Export c/Fim Esp Export (Realiz)</v>
          </cell>
          <cell r="I1187">
            <v>0</v>
          </cell>
          <cell r="J1187">
            <v>0</v>
          </cell>
          <cell r="K1187">
            <v>0</v>
          </cell>
        </row>
        <row r="1188">
          <cell r="H1188" t="str">
            <v>3140101021 Prov Fretes s/Venda Com Export c/Fim Esp de Export</v>
          </cell>
          <cell r="I1188">
            <v>0</v>
          </cell>
          <cell r="J1188">
            <v>0</v>
          </cell>
          <cell r="K1188">
            <v>0</v>
          </cell>
        </row>
        <row r="1189">
          <cell r="H1189" t="str">
            <v>3140101022 Rev Prov Fretes s/Venda Com Exp c/ Fim Esp Export</v>
          </cell>
          <cell r="I1189">
            <v>0</v>
          </cell>
          <cell r="J1189">
            <v>0</v>
          </cell>
          <cell r="K1189">
            <v>0</v>
          </cell>
        </row>
        <row r="1190">
          <cell r="G1190" t="str">
            <v>3.1.4.01.01.03 - Fretes sobre Vendas de Produ</v>
          </cell>
          <cell r="I1190">
            <v>31676663.32</v>
          </cell>
          <cell r="J1190">
            <v>5687297.8200000003</v>
          </cell>
          <cell r="K1190">
            <v>37363961.140000001</v>
          </cell>
        </row>
        <row r="1191">
          <cell r="H1191" t="str">
            <v>3140101030 Fretes s/Vendas de Produtos no MI (Realizado)</v>
          </cell>
          <cell r="I1191">
            <v>31676663.32</v>
          </cell>
          <cell r="J1191">
            <v>5687297.8200000003</v>
          </cell>
          <cell r="K1191">
            <v>37363961.140000001</v>
          </cell>
        </row>
        <row r="1192">
          <cell r="H1192" t="str">
            <v>3140101031 Provisao de Fretes s/Vendas de Produtos no MI</v>
          </cell>
          <cell r="I1192">
            <v>0</v>
          </cell>
          <cell r="J1192">
            <v>0</v>
          </cell>
          <cell r="K1192">
            <v>0</v>
          </cell>
        </row>
        <row r="1193">
          <cell r="H1193" t="str">
            <v>3140101032 Reversao Prov de Fretes s/Vendas de Produtos no MI</v>
          </cell>
          <cell r="I1193">
            <v>0</v>
          </cell>
          <cell r="J1193">
            <v>0</v>
          </cell>
          <cell r="K1193">
            <v>0</v>
          </cell>
        </row>
        <row r="1194">
          <cell r="F1194" t="str">
            <v>3.1.4.01.05 - Fretes sobre Revendas de Mercad</v>
          </cell>
          <cell r="I1194">
            <v>971754.27</v>
          </cell>
          <cell r="J1194">
            <v>204026.57</v>
          </cell>
          <cell r="K1194">
            <v>1175780.8400000001</v>
          </cell>
        </row>
        <row r="1195">
          <cell r="G1195" t="str">
            <v>3.1.4.01.05.01 - Fretes sobre Revendas de Mer</v>
          </cell>
          <cell r="I1195">
            <v>0</v>
          </cell>
          <cell r="J1195">
            <v>0</v>
          </cell>
          <cell r="K1195">
            <v>0</v>
          </cell>
        </row>
        <row r="1196">
          <cell r="H1196" t="str">
            <v>3140105010 Fretes s/Revendas de Mercs Nacinais no ME (Realiz)</v>
          </cell>
          <cell r="I1196">
            <v>0</v>
          </cell>
          <cell r="J1196">
            <v>0</v>
          </cell>
          <cell r="K1196">
            <v>0</v>
          </cell>
        </row>
        <row r="1197">
          <cell r="H1197" t="str">
            <v>3140105011 Provisao Fretes s/Revenda de Mercs Nacionais no ME</v>
          </cell>
          <cell r="I1197">
            <v>0</v>
          </cell>
          <cell r="J1197">
            <v>0</v>
          </cell>
          <cell r="K1197">
            <v>0</v>
          </cell>
        </row>
        <row r="1198">
          <cell r="H1198" t="str">
            <v>3140105012 Reversao Prov de Fretes s/Rev Merc Nacionais no ME</v>
          </cell>
          <cell r="I1198">
            <v>0</v>
          </cell>
          <cell r="J1198">
            <v>0</v>
          </cell>
          <cell r="K1198">
            <v>0</v>
          </cell>
        </row>
        <row r="1199">
          <cell r="G1199" t="str">
            <v>3.1.4.01.05.03 - Fretes sobre Revendas de Mer</v>
          </cell>
          <cell r="I1199">
            <v>971754.27</v>
          </cell>
          <cell r="J1199">
            <v>204026.57</v>
          </cell>
          <cell r="K1199">
            <v>1175780.8400000001</v>
          </cell>
        </row>
        <row r="1200">
          <cell r="H1200" t="str">
            <v>3140105030 Fretes s/Revendas de Mercadorias no MI (Realiz)</v>
          </cell>
          <cell r="I1200">
            <v>971754.27</v>
          </cell>
          <cell r="J1200">
            <v>204026.57</v>
          </cell>
          <cell r="K1200">
            <v>1175780.8400000001</v>
          </cell>
        </row>
        <row r="1201">
          <cell r="H1201" t="str">
            <v>3140105031 Provisao de Fretes s/ Revenda de Mercadorias no MI</v>
          </cell>
          <cell r="I1201">
            <v>0</v>
          </cell>
          <cell r="J1201">
            <v>0</v>
          </cell>
          <cell r="K1201">
            <v>0</v>
          </cell>
        </row>
        <row r="1202">
          <cell r="H1202" t="str">
            <v>3140105032 Reversao Prov de Fretes s/Rev de Mercadorias no MI</v>
          </cell>
          <cell r="I1202">
            <v>0</v>
          </cell>
          <cell r="J1202">
            <v>0</v>
          </cell>
          <cell r="K1202">
            <v>0</v>
          </cell>
        </row>
        <row r="1203">
          <cell r="F1203" t="str">
            <v>3.1.4.01.06 - Despesas com Fretes sobre Reven</v>
          </cell>
          <cell r="I1203">
            <v>0</v>
          </cell>
          <cell r="J1203">
            <v>0</v>
          </cell>
          <cell r="K1203">
            <v>0</v>
          </cell>
        </row>
        <row r="1204">
          <cell r="G1204" t="str">
            <v>3.1.4.01.06.03 - Fretes sobre Revendas de Mer</v>
          </cell>
          <cell r="I1204">
            <v>0</v>
          </cell>
          <cell r="J1204">
            <v>0</v>
          </cell>
          <cell r="K1204">
            <v>0</v>
          </cell>
        </row>
        <row r="1205">
          <cell r="H1205" t="str">
            <v>3140106030 Fretes s/Revendas de Mercs Imports no MI (Realiz)</v>
          </cell>
          <cell r="I1205">
            <v>0</v>
          </cell>
          <cell r="J1205">
            <v>0</v>
          </cell>
          <cell r="K1205">
            <v>0</v>
          </cell>
        </row>
        <row r="1206">
          <cell r="H1206" t="str">
            <v>3140106031 Provisao Fretes s/Revendas de Mercs Imports no MI</v>
          </cell>
          <cell r="I1206">
            <v>0</v>
          </cell>
          <cell r="J1206">
            <v>0</v>
          </cell>
          <cell r="K1206">
            <v>0</v>
          </cell>
        </row>
        <row r="1207">
          <cell r="H1207" t="str">
            <v>3140106032 Reversao Prov de Fretes s/Rev Mercs Imports no MI</v>
          </cell>
          <cell r="I1207">
            <v>0</v>
          </cell>
          <cell r="J1207">
            <v>0</v>
          </cell>
          <cell r="K1207">
            <v>0</v>
          </cell>
        </row>
        <row r="1208">
          <cell r="F1208" t="str">
            <v>3.1.4.01.08 - Despesas com Fretes sobre Reven</v>
          </cell>
          <cell r="I1208">
            <v>0</v>
          </cell>
          <cell r="J1208">
            <v>0</v>
          </cell>
          <cell r="K1208">
            <v>0</v>
          </cell>
        </row>
        <row r="1209">
          <cell r="G1209" t="str">
            <v>3.1.4.01.08.03 - Fretes sobre Revendas de Mer</v>
          </cell>
          <cell r="I1209">
            <v>0</v>
          </cell>
          <cell r="J1209">
            <v>0</v>
          </cell>
          <cell r="K1209">
            <v>0</v>
          </cell>
        </row>
        <row r="1210">
          <cell r="H1210" t="str">
            <v>3140108030 Fretes s/Revendas de Mercs Diversas no MI (Realiz)</v>
          </cell>
          <cell r="I1210">
            <v>0</v>
          </cell>
          <cell r="J1210">
            <v>0</v>
          </cell>
          <cell r="K1210">
            <v>0</v>
          </cell>
        </row>
        <row r="1211">
          <cell r="H1211" t="str">
            <v>3140108031 Provisao Fretes s/Revendas de Mercs Diversas no MI</v>
          </cell>
          <cell r="I1211">
            <v>0</v>
          </cell>
          <cell r="J1211">
            <v>0</v>
          </cell>
          <cell r="K1211">
            <v>0</v>
          </cell>
        </row>
        <row r="1212">
          <cell r="H1212" t="str">
            <v>3140108032 Reversao Prov Fretes s/Rev de Mercs Diversas no MI</v>
          </cell>
          <cell r="I1212">
            <v>0</v>
          </cell>
          <cell r="J1212">
            <v>0</v>
          </cell>
          <cell r="K1212">
            <v>0</v>
          </cell>
        </row>
        <row r="1213">
          <cell r="D1213" t="str">
            <v>3.1.4.03 - Despesas com Desembaraço/Movimenta</v>
          </cell>
          <cell r="I1213">
            <v>0</v>
          </cell>
          <cell r="J1213">
            <v>0</v>
          </cell>
          <cell r="K1213">
            <v>0</v>
          </cell>
        </row>
        <row r="1214">
          <cell r="F1214" t="str">
            <v>3.1.4.03.01 - Despesas com Desembaraço/Movime</v>
          </cell>
          <cell r="I1214">
            <v>0</v>
          </cell>
          <cell r="J1214">
            <v>0</v>
          </cell>
          <cell r="K1214">
            <v>0</v>
          </cell>
        </row>
        <row r="1215">
          <cell r="G1215" t="str">
            <v>3.1.4.03.01.01 - Despesas com Desembaraço/Mov</v>
          </cell>
          <cell r="I1215">
            <v>0</v>
          </cell>
          <cell r="J1215">
            <v>0</v>
          </cell>
          <cell r="K1215">
            <v>0</v>
          </cell>
        </row>
        <row r="1216">
          <cell r="H1216" t="str">
            <v>3140301010 Desp c/Desemb/Movim Export Prod FP ME (Realiz)</v>
          </cell>
          <cell r="I1216">
            <v>0</v>
          </cell>
          <cell r="J1216">
            <v>0</v>
          </cell>
          <cell r="K1216">
            <v>0</v>
          </cell>
        </row>
        <row r="1217">
          <cell r="F1217" t="str">
            <v>3.1.4.03.05 - Despesas com Desembaraço/Movime</v>
          </cell>
          <cell r="I1217">
            <v>0</v>
          </cell>
          <cell r="J1217">
            <v>0</v>
          </cell>
          <cell r="K1217">
            <v>0</v>
          </cell>
        </row>
        <row r="1218">
          <cell r="G1218" t="str">
            <v>3.1.4.03.05.01 - Despesas com Desembaraço/Mov</v>
          </cell>
          <cell r="I1218">
            <v>0</v>
          </cell>
          <cell r="J1218">
            <v>0</v>
          </cell>
          <cell r="K1218">
            <v>0</v>
          </cell>
        </row>
        <row r="1219">
          <cell r="H1219" t="str">
            <v>3140305010 Desp c/Desemb/Movim Export de Merc Rev (Realiz)</v>
          </cell>
          <cell r="I1219">
            <v>0</v>
          </cell>
          <cell r="J1219">
            <v>0</v>
          </cell>
          <cell r="K1219">
            <v>0</v>
          </cell>
        </row>
        <row r="1220">
          <cell r="D1220" t="str">
            <v>3.1.4.04 - Despesas com Armazenagem</v>
          </cell>
          <cell r="I1220">
            <v>0</v>
          </cell>
          <cell r="J1220">
            <v>0</v>
          </cell>
          <cell r="K1220">
            <v>0</v>
          </cell>
        </row>
        <row r="1221">
          <cell r="F1221" t="str">
            <v>3.1.4.04.01 - Despesas com Armazenagem sobre</v>
          </cell>
          <cell r="I1221">
            <v>0</v>
          </cell>
          <cell r="J1221">
            <v>0</v>
          </cell>
          <cell r="K1221">
            <v>0</v>
          </cell>
        </row>
        <row r="1222">
          <cell r="G1222" t="str">
            <v>3.1.4.04.01.03 - Despesas com Armazenagem sob</v>
          </cell>
          <cell r="I1222">
            <v>0</v>
          </cell>
          <cell r="J1222">
            <v>0</v>
          </cell>
          <cell r="K1222">
            <v>0</v>
          </cell>
        </row>
        <row r="1223">
          <cell r="H1223" t="str">
            <v>3140401030 Desp c/Armazenagem Produtos FP (Realizado)</v>
          </cell>
          <cell r="I1223">
            <v>0</v>
          </cell>
          <cell r="J1223">
            <v>0</v>
          </cell>
          <cell r="K1223">
            <v>0</v>
          </cell>
        </row>
        <row r="1224">
          <cell r="F1224" t="str">
            <v>3.1.4.04.05 - Despesas com Armazenagem sobre</v>
          </cell>
          <cell r="I1224">
            <v>0</v>
          </cell>
          <cell r="J1224">
            <v>0</v>
          </cell>
          <cell r="K1224">
            <v>0</v>
          </cell>
        </row>
        <row r="1225">
          <cell r="G1225" t="str">
            <v>3.1.4.04.05.03 - Despesas com Armazenagem sob</v>
          </cell>
          <cell r="I1225">
            <v>0</v>
          </cell>
          <cell r="J1225">
            <v>0</v>
          </cell>
          <cell r="K1225">
            <v>0</v>
          </cell>
        </row>
        <row r="1226">
          <cell r="H1226" t="str">
            <v>3140405030 Desp c/Armazenagem Merc Nacionais Rev (Realizado)</v>
          </cell>
          <cell r="I1226">
            <v>0</v>
          </cell>
          <cell r="J1226">
            <v>0</v>
          </cell>
          <cell r="K1226">
            <v>0</v>
          </cell>
        </row>
        <row r="1227">
          <cell r="F1227" t="str">
            <v>3.1.4.04.06 - Despesas com Armazenagem sobre</v>
          </cell>
          <cell r="I1227">
            <v>0</v>
          </cell>
          <cell r="J1227">
            <v>0</v>
          </cell>
          <cell r="K1227">
            <v>0</v>
          </cell>
        </row>
        <row r="1228">
          <cell r="G1228" t="str">
            <v>3.1.4.04.06.03 - Despesas com Armazenagem sob</v>
          </cell>
          <cell r="I1228">
            <v>0</v>
          </cell>
          <cell r="J1228">
            <v>0</v>
          </cell>
          <cell r="K1228">
            <v>0</v>
          </cell>
        </row>
        <row r="1229">
          <cell r="H1229" t="str">
            <v>3140406030 Desp c/Armazen Merc Imports p/Rev no MI (Realiz)</v>
          </cell>
          <cell r="I1229">
            <v>0</v>
          </cell>
          <cell r="J1229">
            <v>0</v>
          </cell>
          <cell r="K1229">
            <v>0</v>
          </cell>
        </row>
        <row r="1230">
          <cell r="D1230" t="str">
            <v>3.1.4.05 - Despesas com Fretes p/Armazenagem</v>
          </cell>
          <cell r="I1230">
            <v>4062.55</v>
          </cell>
          <cell r="J1230">
            <v>0</v>
          </cell>
          <cell r="K1230">
            <v>4062.55</v>
          </cell>
        </row>
        <row r="1231">
          <cell r="F1231" t="str">
            <v>3.1.4.05.01 - Desps c/Fretes de Remessas p/Ar</v>
          </cell>
          <cell r="I1231">
            <v>4062.55</v>
          </cell>
          <cell r="J1231">
            <v>0</v>
          </cell>
          <cell r="K1231">
            <v>4062.55</v>
          </cell>
        </row>
        <row r="1232">
          <cell r="G1232" t="str">
            <v>3.1.4.05.01.03 - Despesas com Remessas para T</v>
          </cell>
          <cell r="I1232">
            <v>4062.55</v>
          </cell>
          <cell r="J1232">
            <v>0</v>
          </cell>
          <cell r="K1232">
            <v>4062.55</v>
          </cell>
        </row>
        <row r="1233">
          <cell r="H1233" t="str">
            <v>3140501030 Desp c/Fretes de Remessas p/Armaz Prod FP (Realiz)</v>
          </cell>
          <cell r="I1233">
            <v>4062.55</v>
          </cell>
          <cell r="J1233">
            <v>0</v>
          </cell>
          <cell r="K1233">
            <v>4062.55</v>
          </cell>
        </row>
        <row r="1234">
          <cell r="D1234" t="str">
            <v>3.1.4.06 - Despesas com Embarques de Produtos</v>
          </cell>
          <cell r="I1234">
            <v>1.81</v>
          </cell>
          <cell r="J1234">
            <v>0.82</v>
          </cell>
          <cell r="K1234">
            <v>2.63</v>
          </cell>
        </row>
        <row r="1235">
          <cell r="F1235" t="str">
            <v>3.1.4.06.01 - Despesas com Embarque de Produt</v>
          </cell>
          <cell r="I1235">
            <v>1.81</v>
          </cell>
          <cell r="J1235">
            <v>0.82</v>
          </cell>
          <cell r="K1235">
            <v>2.63</v>
          </cell>
        </row>
        <row r="1236">
          <cell r="G1236" t="str">
            <v>3.1.4.06.01.03 - Despesas com Embarque de Pro</v>
          </cell>
          <cell r="I1236">
            <v>1.81</v>
          </cell>
          <cell r="J1236">
            <v>0.82</v>
          </cell>
          <cell r="K1236">
            <v>2.63</v>
          </cell>
        </row>
        <row r="1237">
          <cell r="H1237" t="str">
            <v>3140601030 Desp Remessas p/Testes Ensaios e Prod FP (Realiz)</v>
          </cell>
          <cell r="I1237">
            <v>1.81</v>
          </cell>
          <cell r="J1237">
            <v>0.82</v>
          </cell>
          <cell r="K1237">
            <v>2.63</v>
          </cell>
        </row>
        <row r="1238">
          <cell r="D1238" t="str">
            <v>3.1.4.07 - Despesas com Embarques de Produtos</v>
          </cell>
          <cell r="I1238">
            <v>0</v>
          </cell>
          <cell r="J1238">
            <v>0</v>
          </cell>
          <cell r="K1238">
            <v>0</v>
          </cell>
        </row>
        <row r="1239">
          <cell r="F1239" t="str">
            <v>3.1.4.07.01 - Despesas com Embarque de Produt</v>
          </cell>
          <cell r="I1239">
            <v>0</v>
          </cell>
          <cell r="J1239">
            <v>0</v>
          </cell>
          <cell r="K1239">
            <v>0</v>
          </cell>
        </row>
        <row r="1240">
          <cell r="G1240" t="str">
            <v>3.1.4.07.01.03 - Despesas com Embarque de Pro</v>
          </cell>
          <cell r="I1240">
            <v>0</v>
          </cell>
          <cell r="J1240">
            <v>0</v>
          </cell>
          <cell r="K1240">
            <v>0</v>
          </cell>
        </row>
        <row r="1241">
          <cell r="H1241" t="str">
            <v>3140701030 Desp c/Embarque de Produros FP p/MI (Realizado)</v>
          </cell>
          <cell r="I1241">
            <v>0</v>
          </cell>
          <cell r="J1241">
            <v>0</v>
          </cell>
          <cell r="K1241">
            <v>0</v>
          </cell>
        </row>
        <row r="1242">
          <cell r="C1242" t="str">
            <v>3.1.7 - DESPESAS OPERACIONAIS (DGA EC e FC)</v>
          </cell>
          <cell r="I1242">
            <v>37333729.890000001</v>
          </cell>
          <cell r="J1242">
            <v>7009248.5300000003</v>
          </cell>
          <cell r="K1242">
            <v>44342978.420000002</v>
          </cell>
        </row>
        <row r="1243">
          <cell r="D1243" t="str">
            <v>3.1.7.08 - Materiais de Consumo</v>
          </cell>
          <cell r="I1243">
            <v>73070.899999999994</v>
          </cell>
          <cell r="J1243">
            <v>25428.11</v>
          </cell>
          <cell r="K1243">
            <v>98499.01</v>
          </cell>
        </row>
        <row r="1244">
          <cell r="F1244" t="str">
            <v>3.1.7.08.01 - Materiais de Consumo - Operação</v>
          </cell>
          <cell r="I1244">
            <v>64190.05</v>
          </cell>
          <cell r="J1244">
            <v>21602.95</v>
          </cell>
          <cell r="K1244">
            <v>85793</v>
          </cell>
        </row>
        <row r="1245">
          <cell r="G1245" t="str">
            <v>3.1.7.08.01.04 - Consumo de Materiais p/Anali</v>
          </cell>
          <cell r="I1245">
            <v>0</v>
          </cell>
          <cell r="J1245">
            <v>0</v>
          </cell>
          <cell r="K1245">
            <v>0</v>
          </cell>
        </row>
        <row r="1246">
          <cell r="H1246" t="str">
            <v>3170801040 Mat Cons Oper-p/Analises Quimicas (Realizado)</v>
          </cell>
          <cell r="I1246">
            <v>0</v>
          </cell>
          <cell r="J1246">
            <v>0</v>
          </cell>
          <cell r="K1246">
            <v>0</v>
          </cell>
        </row>
        <row r="1247">
          <cell r="G1247" t="str">
            <v>3.1.7.08.01.05 - Consumo de Materiais p/Teste</v>
          </cell>
          <cell r="I1247">
            <v>0</v>
          </cell>
          <cell r="J1247">
            <v>0</v>
          </cell>
          <cell r="K1247">
            <v>0</v>
          </cell>
        </row>
        <row r="1248">
          <cell r="H1248" t="str">
            <v>3170801050 Mat Cons Oper-p/Teste e Ensaios (Realizado)</v>
          </cell>
          <cell r="I1248">
            <v>0</v>
          </cell>
          <cell r="J1248">
            <v>0</v>
          </cell>
          <cell r="K1248">
            <v>0</v>
          </cell>
        </row>
        <row r="1249">
          <cell r="G1249" t="str">
            <v>3.1.7.08.01.07 - Consumo de Materiais de Repa</v>
          </cell>
          <cell r="I1249">
            <v>593.87</v>
          </cell>
          <cell r="J1249">
            <v>0</v>
          </cell>
          <cell r="K1249">
            <v>593.87</v>
          </cell>
        </row>
        <row r="1250">
          <cell r="H1250" t="str">
            <v>3170801070 Mat Cons Oper-Reparo e Manutençao (Realiz)</v>
          </cell>
          <cell r="I1250">
            <v>593.87</v>
          </cell>
          <cell r="J1250">
            <v>0</v>
          </cell>
          <cell r="K1250">
            <v>593.87</v>
          </cell>
        </row>
        <row r="1251">
          <cell r="G1251" t="str">
            <v>3.1.7.08.01.08 - Consumo de Materiais de Cons</v>
          </cell>
          <cell r="I1251">
            <v>0</v>
          </cell>
          <cell r="J1251">
            <v>0</v>
          </cell>
          <cell r="K1251">
            <v>0</v>
          </cell>
        </row>
        <row r="1252">
          <cell r="H1252" t="str">
            <v>3170801080 Mat Cons Oper-Conservacao Ecologica (Realiz)</v>
          </cell>
          <cell r="I1252">
            <v>0</v>
          </cell>
          <cell r="J1252">
            <v>0</v>
          </cell>
          <cell r="K1252">
            <v>0</v>
          </cell>
        </row>
        <row r="1253">
          <cell r="G1253" t="str">
            <v>3.1.7.08.01.09 - Consumo de Materiais de Limp</v>
          </cell>
          <cell r="I1253">
            <v>14.79</v>
          </cell>
          <cell r="J1253">
            <v>58.17</v>
          </cell>
          <cell r="K1253">
            <v>72.959999999999994</v>
          </cell>
        </row>
        <row r="1254">
          <cell r="H1254" t="str">
            <v>3170801090 Mat Cons Oper-Limpeza (Realizado)</v>
          </cell>
          <cell r="I1254">
            <v>14.79</v>
          </cell>
          <cell r="J1254">
            <v>58.17</v>
          </cell>
          <cell r="K1254">
            <v>72.959999999999994</v>
          </cell>
        </row>
        <row r="1255">
          <cell r="G1255" t="str">
            <v>3.1.7.08.01.10 - Consumo de Materiais de Segu</v>
          </cell>
          <cell r="I1255">
            <v>1682</v>
          </cell>
          <cell r="J1255">
            <v>68.05</v>
          </cell>
          <cell r="K1255">
            <v>1750.05</v>
          </cell>
        </row>
        <row r="1256">
          <cell r="H1256" t="str">
            <v>3170801100 Mat Cons Oper-Segurança (Realizado)</v>
          </cell>
          <cell r="I1256">
            <v>1682</v>
          </cell>
          <cell r="J1256">
            <v>68.05</v>
          </cell>
          <cell r="K1256">
            <v>1750.05</v>
          </cell>
        </row>
        <row r="1257">
          <cell r="G1257" t="str">
            <v>3.1.7.08.01.11 - Consumo de Agua</v>
          </cell>
          <cell r="I1257">
            <v>0</v>
          </cell>
          <cell r="J1257">
            <v>0</v>
          </cell>
          <cell r="K1257">
            <v>0</v>
          </cell>
        </row>
        <row r="1258">
          <cell r="H1258" t="str">
            <v>3170801110 Mat Cons Oper-Agua (Realizado)</v>
          </cell>
          <cell r="I1258">
            <v>0</v>
          </cell>
          <cell r="J1258">
            <v>0</v>
          </cell>
          <cell r="K1258">
            <v>0</v>
          </cell>
        </row>
        <row r="1259">
          <cell r="G1259" t="str">
            <v>3.1.7.08.01.12 - Consumo de Luz</v>
          </cell>
          <cell r="I1259">
            <v>36153.519999999997</v>
          </cell>
          <cell r="J1259">
            <v>16687.75</v>
          </cell>
          <cell r="K1259">
            <v>52841.27</v>
          </cell>
        </row>
        <row r="1260">
          <cell r="H1260" t="str">
            <v>3170801120 Mat Cons Oper-Luz (Realizado)</v>
          </cell>
          <cell r="I1260">
            <v>36153.519999999997</v>
          </cell>
          <cell r="J1260">
            <v>16687.75</v>
          </cell>
          <cell r="K1260">
            <v>52841.27</v>
          </cell>
        </row>
        <row r="1261">
          <cell r="G1261" t="str">
            <v>3.1.7.08.01.13 - Consumo de Materiais de Escr</v>
          </cell>
          <cell r="I1261">
            <v>24807.67</v>
          </cell>
          <cell r="J1261">
            <v>4788.9799999999996</v>
          </cell>
          <cell r="K1261">
            <v>29596.65</v>
          </cell>
        </row>
        <row r="1262">
          <cell r="H1262" t="str">
            <v>3170801130 Mat Cons Oper-Escritorio (Realizado)</v>
          </cell>
          <cell r="I1262">
            <v>24807.67</v>
          </cell>
          <cell r="J1262">
            <v>4788.9799999999996</v>
          </cell>
          <cell r="K1262">
            <v>29596.65</v>
          </cell>
        </row>
        <row r="1263">
          <cell r="G1263" t="str">
            <v>3.1.7.08.01.14 - Consumo de Materiais de Imob</v>
          </cell>
          <cell r="I1263">
            <v>938.2</v>
          </cell>
          <cell r="J1263">
            <v>0</v>
          </cell>
          <cell r="K1263">
            <v>938.2</v>
          </cell>
        </row>
        <row r="1264">
          <cell r="H1264" t="str">
            <v>3170801140 Mat Cons Oper-Imobilizado (Realizado)</v>
          </cell>
          <cell r="I1264">
            <v>938.2</v>
          </cell>
          <cell r="J1264">
            <v>0</v>
          </cell>
          <cell r="K1264">
            <v>938.2</v>
          </cell>
        </row>
        <row r="1265">
          <cell r="F1265" t="str">
            <v>3.1.7.08.02 - Materiais de Consumo - Manutenç</v>
          </cell>
          <cell r="I1265">
            <v>8880.85</v>
          </cell>
          <cell r="J1265">
            <v>3825.16</v>
          </cell>
          <cell r="K1265">
            <v>12706.01</v>
          </cell>
        </row>
        <row r="1266">
          <cell r="G1266" t="str">
            <v>3.1.7.08.02.99 - Consumo de Materiais de Manu</v>
          </cell>
          <cell r="I1266">
            <v>8880.85</v>
          </cell>
          <cell r="J1266">
            <v>3825.16</v>
          </cell>
          <cell r="K1266">
            <v>12706.01</v>
          </cell>
        </row>
        <row r="1267">
          <cell r="H1267" t="str">
            <v>3170802990 Materias Consumo-Manutencao em Geral (Realiz)</v>
          </cell>
          <cell r="I1267">
            <v>8880.85</v>
          </cell>
          <cell r="J1267">
            <v>3825.16</v>
          </cell>
          <cell r="K1267">
            <v>12706.01</v>
          </cell>
        </row>
        <row r="1268">
          <cell r="D1268" t="str">
            <v>3.1.7.10 - Folha de Pagamento e Encargos Soci</v>
          </cell>
          <cell r="I1268">
            <v>15055999.359999999</v>
          </cell>
          <cell r="J1268">
            <v>2819455.71</v>
          </cell>
          <cell r="K1268">
            <v>17875455.07</v>
          </cell>
        </row>
        <row r="1269">
          <cell r="F1269" t="str">
            <v>3.1.7.10.01 - Folha de Pagamento</v>
          </cell>
          <cell r="I1269">
            <v>11912471.23</v>
          </cell>
          <cell r="J1269">
            <v>2193547.23</v>
          </cell>
          <cell r="K1269">
            <v>14106018.460000001</v>
          </cell>
        </row>
        <row r="1270">
          <cell r="G1270" t="str">
            <v>3.1.7.10.01.01 - Remuneração a Dirigentes e a</v>
          </cell>
          <cell r="I1270">
            <v>2528179.33</v>
          </cell>
          <cell r="J1270">
            <v>453242</v>
          </cell>
          <cell r="K1270">
            <v>2981421.33</v>
          </cell>
        </row>
        <row r="1271">
          <cell r="H1271" t="str">
            <v>3171001010 FLPG-Remuneraçao a Dirigentes Conselho Adm (Pgto)</v>
          </cell>
          <cell r="I1271">
            <v>2528179.33</v>
          </cell>
          <cell r="J1271">
            <v>453242</v>
          </cell>
          <cell r="K1271">
            <v>2981421.33</v>
          </cell>
        </row>
        <row r="1272">
          <cell r="G1272" t="str">
            <v>3.1.7.10.01.02 - Gratificações a Dirigentes e</v>
          </cell>
          <cell r="I1272">
            <v>1864438.51</v>
          </cell>
          <cell r="J1272">
            <v>366994</v>
          </cell>
          <cell r="K1272">
            <v>2231432.5099999998</v>
          </cell>
        </row>
        <row r="1273">
          <cell r="H1273" t="str">
            <v>3171001020 FLPG-Gratifiçao a Dirigentes Conselho Adm (Pgto)</v>
          </cell>
          <cell r="I1273">
            <v>3179664.51</v>
          </cell>
          <cell r="J1273">
            <v>0</v>
          </cell>
          <cell r="K1273">
            <v>3179664.51</v>
          </cell>
        </row>
        <row r="1274">
          <cell r="H1274" t="str">
            <v>3171001021 FLPG-Prov Gratificaçao a Dirigentes Conselho Adm</v>
          </cell>
          <cell r="I1274">
            <v>1864438.51</v>
          </cell>
          <cell r="J1274">
            <v>366994</v>
          </cell>
          <cell r="K1274">
            <v>2231432.5099999998</v>
          </cell>
        </row>
        <row r="1275">
          <cell r="H1275" t="str">
            <v>3171001022 FLPG-Rev Prov Gratif a Dirigentes Conselho Adm</v>
          </cell>
          <cell r="I1275">
            <v>-3179664.51</v>
          </cell>
          <cell r="J1275">
            <v>0</v>
          </cell>
          <cell r="K1275">
            <v>-3179664.51</v>
          </cell>
        </row>
        <row r="1276">
          <cell r="G1276" t="str">
            <v>3.1.7.10.01.03 - Ordenados, Salários e Outras</v>
          </cell>
          <cell r="I1276">
            <v>4808066.18</v>
          </cell>
          <cell r="J1276">
            <v>861685.94</v>
          </cell>
          <cell r="K1276">
            <v>5669752.1200000001</v>
          </cell>
        </row>
        <row r="1277">
          <cell r="H1277" t="str">
            <v>3171001030 FLPG-Ordenados, Salars e Outras Remun a Empreg (R)</v>
          </cell>
          <cell r="I1277">
            <v>4808066.18</v>
          </cell>
          <cell r="J1277">
            <v>861685.94</v>
          </cell>
          <cell r="K1277">
            <v>5669752.1200000001</v>
          </cell>
        </row>
        <row r="1278">
          <cell r="G1278" t="str">
            <v>3.1.7.10.01.04 - 13º Salario</v>
          </cell>
          <cell r="I1278">
            <v>440608.48</v>
          </cell>
          <cell r="J1278">
            <v>90041.3</v>
          </cell>
          <cell r="K1278">
            <v>530649.78</v>
          </cell>
        </row>
        <row r="1279">
          <cell r="H1279" t="str">
            <v>3171001040 FLPG-13º Salario (Realizado)</v>
          </cell>
          <cell r="I1279">
            <v>71138.710000000006</v>
          </cell>
          <cell r="J1279">
            <v>0</v>
          </cell>
          <cell r="K1279">
            <v>71138.710000000006</v>
          </cell>
        </row>
        <row r="1280">
          <cell r="H1280" t="str">
            <v>3171001041 FLPG-Provisao de 13º Salario</v>
          </cell>
          <cell r="I1280">
            <v>412526.43</v>
          </cell>
          <cell r="J1280">
            <v>90041.3</v>
          </cell>
          <cell r="K1280">
            <v>502567.73</v>
          </cell>
        </row>
        <row r="1281">
          <cell r="H1281" t="str">
            <v>3171001042 FLPG-Reversao Provisao de 13º Salario</v>
          </cell>
          <cell r="I1281">
            <v>-43056.66</v>
          </cell>
          <cell r="J1281">
            <v>0</v>
          </cell>
          <cell r="K1281">
            <v>-43056.66</v>
          </cell>
        </row>
        <row r="1282">
          <cell r="G1282" t="str">
            <v>3.1.7.10.01.05 - Ferias</v>
          </cell>
          <cell r="I1282">
            <v>807115.91</v>
          </cell>
          <cell r="J1282">
            <v>138141.25</v>
          </cell>
          <cell r="K1282">
            <v>945257.16</v>
          </cell>
        </row>
        <row r="1283">
          <cell r="H1283" t="str">
            <v>3171001050 FLPG-Ferias (Realizado)</v>
          </cell>
          <cell r="I1283">
            <v>850395.67</v>
          </cell>
          <cell r="J1283">
            <v>154268.82</v>
          </cell>
          <cell r="K1283">
            <v>1004664.49</v>
          </cell>
        </row>
        <row r="1284">
          <cell r="H1284" t="str">
            <v>3171001051 FLPG-Provisao de Ferias</v>
          </cell>
          <cell r="I1284">
            <v>388997.53</v>
          </cell>
          <cell r="J1284">
            <v>138141.25</v>
          </cell>
          <cell r="K1284">
            <v>527138.78</v>
          </cell>
        </row>
        <row r="1285">
          <cell r="H1285" t="str">
            <v>3171001052 FLPG-Reversap da Provisao de Ferias</v>
          </cell>
          <cell r="I1285">
            <v>-432277.29</v>
          </cell>
          <cell r="J1285">
            <v>-154268.82</v>
          </cell>
          <cell r="K1285">
            <v>-586546.11</v>
          </cell>
        </row>
        <row r="1286">
          <cell r="G1286" t="str">
            <v>3.1.7.10.01.08 - Gratificações Ferias</v>
          </cell>
          <cell r="I1286">
            <v>248703.08</v>
          </cell>
          <cell r="J1286">
            <v>48681.4</v>
          </cell>
          <cell r="K1286">
            <v>297384.48</v>
          </cell>
        </row>
        <row r="1287">
          <cell r="H1287" t="str">
            <v>3171001080 FLPG-Gratificaçao de Ferias (Realiz)</v>
          </cell>
          <cell r="I1287">
            <v>279829.92</v>
          </cell>
          <cell r="J1287">
            <v>61742.38</v>
          </cell>
          <cell r="K1287">
            <v>341572.3</v>
          </cell>
        </row>
        <row r="1288">
          <cell r="H1288" t="str">
            <v>3171001081 FLPG-Provisao de Gratificaçao de Ferias</v>
          </cell>
          <cell r="I1288">
            <v>248703.08</v>
          </cell>
          <cell r="J1288">
            <v>48681.4</v>
          </cell>
          <cell r="K1288">
            <v>297384.48</v>
          </cell>
        </row>
        <row r="1289">
          <cell r="H1289" t="str">
            <v>3171001082 FLPG-Reversao da Prov de Gratificaçao de Ferias</v>
          </cell>
          <cell r="I1289">
            <v>-279829.92</v>
          </cell>
          <cell r="J1289">
            <v>-61742.38</v>
          </cell>
          <cell r="K1289">
            <v>-341572.3</v>
          </cell>
        </row>
        <row r="1290">
          <cell r="G1290" t="str">
            <v>3.1.7.10.01.09 - Gratificações</v>
          </cell>
          <cell r="I1290">
            <v>1150803.58</v>
          </cell>
          <cell r="J1290">
            <v>206558</v>
          </cell>
          <cell r="K1290">
            <v>1357361.58</v>
          </cell>
        </row>
        <row r="1291">
          <cell r="H1291" t="str">
            <v>3171001090 FLPG-Gratificaçoes (Realizado)</v>
          </cell>
          <cell r="I1291">
            <v>1099378.08</v>
          </cell>
          <cell r="J1291">
            <v>0</v>
          </cell>
          <cell r="K1291">
            <v>1099378.08</v>
          </cell>
        </row>
        <row r="1292">
          <cell r="H1292" t="str">
            <v>3171001091 FLPG-Provisao de Gratificaçoes</v>
          </cell>
          <cell r="I1292">
            <v>976013.2</v>
          </cell>
          <cell r="J1292">
            <v>206558</v>
          </cell>
          <cell r="K1292">
            <v>1182571.2</v>
          </cell>
        </row>
        <row r="1293">
          <cell r="H1293" t="str">
            <v>3171001092 FLPG-Reversao da Provisao de Gratificacoes</v>
          </cell>
          <cell r="I1293">
            <v>-924587.7</v>
          </cell>
          <cell r="J1293">
            <v>0</v>
          </cell>
          <cell r="K1293">
            <v>-924587.7</v>
          </cell>
        </row>
        <row r="1294">
          <cell r="G1294" t="str">
            <v>3.1.7.10.01.10 - Gratificações Quinquenios</v>
          </cell>
          <cell r="I1294">
            <v>-155676.38</v>
          </cell>
          <cell r="J1294">
            <v>0</v>
          </cell>
          <cell r="K1294">
            <v>-155676.38</v>
          </cell>
        </row>
        <row r="1295">
          <cell r="H1295" t="str">
            <v>3171001100 FLPG-Gratificoes Quinquenios (Realizado)</v>
          </cell>
          <cell r="I1295">
            <v>40348.300000000003</v>
          </cell>
          <cell r="J1295">
            <v>4391.83</v>
          </cell>
          <cell r="K1295">
            <v>44740.13</v>
          </cell>
        </row>
        <row r="1296">
          <cell r="H1296" t="str">
            <v>3171001101 FLPG-Provisao de Gratificaçoes Quinquenios</v>
          </cell>
          <cell r="I1296">
            <v>-155676.38</v>
          </cell>
          <cell r="J1296">
            <v>0</v>
          </cell>
          <cell r="K1296">
            <v>-155676.38</v>
          </cell>
        </row>
        <row r="1297">
          <cell r="H1297" t="str">
            <v>3171001102 FLPG-Reversao Provisao Gratificacoes Quinquenios</v>
          </cell>
          <cell r="I1297">
            <v>-40348.300000000003</v>
          </cell>
          <cell r="J1297">
            <v>-4391.83</v>
          </cell>
          <cell r="K1297">
            <v>-44740.13</v>
          </cell>
        </row>
        <row r="1298">
          <cell r="G1298" t="str">
            <v>3.1.7.10.01.12 - Aviso Previo</v>
          </cell>
          <cell r="I1298">
            <v>0</v>
          </cell>
          <cell r="J1298">
            <v>0</v>
          </cell>
          <cell r="K1298">
            <v>0</v>
          </cell>
        </row>
        <row r="1299">
          <cell r="H1299" t="str">
            <v>3171001120 FLPG-Aviso Previo (Realizado)</v>
          </cell>
          <cell r="I1299">
            <v>386721.54</v>
          </cell>
          <cell r="J1299">
            <v>0</v>
          </cell>
          <cell r="K1299">
            <v>386721.54</v>
          </cell>
        </row>
        <row r="1300">
          <cell r="H1300" t="str">
            <v>3171001121 FLPG-Provisao de Aviso Previo</v>
          </cell>
          <cell r="I1300">
            <v>0</v>
          </cell>
          <cell r="J1300">
            <v>0</v>
          </cell>
          <cell r="K1300">
            <v>0</v>
          </cell>
        </row>
        <row r="1301">
          <cell r="H1301" t="str">
            <v>3171001122 FLPG-Reversao da Provisao de Aviso Previo</v>
          </cell>
          <cell r="I1301">
            <v>-386721.54</v>
          </cell>
          <cell r="J1301">
            <v>0</v>
          </cell>
          <cell r="K1301">
            <v>-386721.54</v>
          </cell>
        </row>
        <row r="1302">
          <cell r="G1302" t="str">
            <v>3.1.7.10.01.13 - Indenizações</v>
          </cell>
          <cell r="I1302">
            <v>55123.87</v>
          </cell>
          <cell r="J1302">
            <v>0</v>
          </cell>
          <cell r="K1302">
            <v>55123.87</v>
          </cell>
        </row>
        <row r="1303">
          <cell r="H1303" t="str">
            <v>3171001130 FLPG-Indenizacoes (Realizado)</v>
          </cell>
          <cell r="I1303">
            <v>55123.87</v>
          </cell>
          <cell r="J1303">
            <v>0</v>
          </cell>
          <cell r="K1303">
            <v>55123.87</v>
          </cell>
        </row>
        <row r="1304">
          <cell r="H1304" t="str">
            <v>3171001131 FLPG-Provisao de Indenizacoes</v>
          </cell>
          <cell r="I1304">
            <v>0</v>
          </cell>
          <cell r="J1304">
            <v>0</v>
          </cell>
          <cell r="K1304">
            <v>0</v>
          </cell>
        </row>
        <row r="1305">
          <cell r="H1305" t="str">
            <v>3171001132 FLPG-Reversao da Provisao de Indenizacoes</v>
          </cell>
          <cell r="I1305">
            <v>0</v>
          </cell>
          <cell r="J1305">
            <v>0</v>
          </cell>
          <cell r="K1305">
            <v>0</v>
          </cell>
        </row>
        <row r="1306">
          <cell r="G1306" t="str">
            <v>3.1.7.10.01.20 - Auxilio Natalidade</v>
          </cell>
          <cell r="I1306">
            <v>0</v>
          </cell>
          <cell r="J1306">
            <v>0</v>
          </cell>
          <cell r="K1306">
            <v>0</v>
          </cell>
        </row>
        <row r="1307">
          <cell r="H1307" t="str">
            <v>3171001200 FLPG-Auxilio Natalidade (Realizado)</v>
          </cell>
          <cell r="I1307">
            <v>0</v>
          </cell>
          <cell r="J1307">
            <v>0</v>
          </cell>
          <cell r="K1307">
            <v>0</v>
          </cell>
        </row>
        <row r="1308">
          <cell r="G1308" t="str">
            <v>3.1.7.10.01.21 - Auxilio Paternidade</v>
          </cell>
          <cell r="I1308">
            <v>0</v>
          </cell>
          <cell r="J1308">
            <v>0</v>
          </cell>
          <cell r="K1308">
            <v>0</v>
          </cell>
        </row>
        <row r="1309">
          <cell r="H1309" t="str">
            <v>3171001210 FLPG-Auxilio Paternidade (Realizado)</v>
          </cell>
          <cell r="I1309">
            <v>0</v>
          </cell>
          <cell r="J1309">
            <v>0</v>
          </cell>
          <cell r="K1309">
            <v>0</v>
          </cell>
        </row>
        <row r="1310">
          <cell r="G1310" t="str">
            <v>3.1.7.10.01.23 - Auxilio Enfermidade</v>
          </cell>
          <cell r="I1310">
            <v>0</v>
          </cell>
          <cell r="J1310">
            <v>0</v>
          </cell>
          <cell r="K1310">
            <v>0</v>
          </cell>
        </row>
        <row r="1311">
          <cell r="H1311" t="str">
            <v>3171001230 FLPG-Auxilio Enfermidade (Realizado)</v>
          </cell>
          <cell r="I1311">
            <v>0</v>
          </cell>
          <cell r="J1311">
            <v>0</v>
          </cell>
          <cell r="K1311">
            <v>0</v>
          </cell>
        </row>
        <row r="1312">
          <cell r="G1312" t="str">
            <v>3.1.7.10.01.24 - Auxilio Doença</v>
          </cell>
          <cell r="I1312">
            <v>16210.25</v>
          </cell>
          <cell r="J1312">
            <v>0</v>
          </cell>
          <cell r="K1312">
            <v>16210.25</v>
          </cell>
        </row>
        <row r="1313">
          <cell r="H1313" t="str">
            <v>3171001240 FLPG-Auxilio Doença (Realizado)</v>
          </cell>
          <cell r="I1313">
            <v>16210.25</v>
          </cell>
          <cell r="J1313">
            <v>0</v>
          </cell>
          <cell r="K1313">
            <v>16210.25</v>
          </cell>
        </row>
        <row r="1314">
          <cell r="G1314" t="str">
            <v>3.1.7.10.01.25 - Auxilio Ensino</v>
          </cell>
          <cell r="I1314">
            <v>96265.11</v>
          </cell>
          <cell r="J1314">
            <v>19081.509999999998</v>
          </cell>
          <cell r="K1314">
            <v>115346.62</v>
          </cell>
        </row>
        <row r="1315">
          <cell r="H1315" t="str">
            <v>3171001250 FLPG-Auxilio Ensino (Realizado)</v>
          </cell>
          <cell r="I1315">
            <v>96265.11</v>
          </cell>
          <cell r="J1315">
            <v>19081.509999999998</v>
          </cell>
          <cell r="K1315">
            <v>115346.62</v>
          </cell>
        </row>
        <row r="1316">
          <cell r="G1316" t="str">
            <v>3.1.7.10.01.30 - Bolsa Estudos de Estagiarios</v>
          </cell>
          <cell r="I1316">
            <v>47644.2</v>
          </cell>
          <cell r="J1316">
            <v>7473.6</v>
          </cell>
          <cell r="K1316">
            <v>55117.8</v>
          </cell>
        </row>
        <row r="1317">
          <cell r="H1317" t="str">
            <v>3171001300 FLPG-Bolsa Estudos de Estagiarios (Realizado)</v>
          </cell>
          <cell r="I1317">
            <v>47644.2</v>
          </cell>
          <cell r="J1317">
            <v>7473.6</v>
          </cell>
          <cell r="K1317">
            <v>55117.8</v>
          </cell>
        </row>
        <row r="1318">
          <cell r="G1318" t="str">
            <v>3.1.7.10.01.99 - Outros Gastos com Pessoal</v>
          </cell>
          <cell r="I1318">
            <v>4989.1099999999997</v>
          </cell>
          <cell r="J1318">
            <v>1648.23</v>
          </cell>
          <cell r="K1318">
            <v>6637.34</v>
          </cell>
        </row>
        <row r="1319">
          <cell r="H1319" t="str">
            <v>3171001990 Rateio da Mão de Obra da Manutenção</v>
          </cell>
          <cell r="I1319">
            <v>4989.1099999999997</v>
          </cell>
          <cell r="J1319">
            <v>1648.23</v>
          </cell>
          <cell r="K1319">
            <v>6637.34</v>
          </cell>
        </row>
        <row r="1320">
          <cell r="F1320" t="str">
            <v>3.1.7.10.02 - FGTS</v>
          </cell>
          <cell r="I1320">
            <v>898623.88</v>
          </cell>
          <cell r="J1320">
            <v>178552.33</v>
          </cell>
          <cell r="K1320">
            <v>1077176.21</v>
          </cell>
        </row>
        <row r="1321">
          <cell r="G1321" t="str">
            <v>3.1.7.10.02.01 - FGTS s/Foha de Pagamento</v>
          </cell>
          <cell r="I1321">
            <v>378660.07</v>
          </cell>
          <cell r="J1321">
            <v>69310.81</v>
          </cell>
          <cell r="K1321">
            <v>447970.88</v>
          </cell>
        </row>
        <row r="1322">
          <cell r="H1322" t="str">
            <v>3171002010 FGTS s/Folha de Pagamento (Realizado)</v>
          </cell>
          <cell r="I1322">
            <v>378660.07</v>
          </cell>
          <cell r="J1322">
            <v>69310.81</v>
          </cell>
          <cell r="K1322">
            <v>447970.88</v>
          </cell>
        </row>
        <row r="1323">
          <cell r="G1323" t="str">
            <v>3.1.7.10.02.02 - FGTS s/Férias</v>
          </cell>
          <cell r="I1323">
            <v>22002.99</v>
          </cell>
          <cell r="J1323">
            <v>7823.19</v>
          </cell>
          <cell r="K1323">
            <v>29826.18</v>
          </cell>
        </row>
        <row r="1324">
          <cell r="H1324" t="str">
            <v>3171002020 FGTS s/Ferias (Realizado)</v>
          </cell>
          <cell r="I1324">
            <v>25417.49</v>
          </cell>
          <cell r="J1324">
            <v>9122.2999999999993</v>
          </cell>
          <cell r="K1324">
            <v>34539.79</v>
          </cell>
        </row>
        <row r="1325">
          <cell r="H1325" t="str">
            <v>3171002021 Provisao de FGTS s/Ferias</v>
          </cell>
          <cell r="I1325">
            <v>40239.85</v>
          </cell>
          <cell r="J1325">
            <v>7823.19</v>
          </cell>
          <cell r="K1325">
            <v>48063.040000000001</v>
          </cell>
        </row>
        <row r="1326">
          <cell r="H1326" t="str">
            <v>3171002022 Reversao da Provisao de FGTS s/Ferias</v>
          </cell>
          <cell r="I1326">
            <v>-43654.35</v>
          </cell>
          <cell r="J1326">
            <v>-9122.2999999999993</v>
          </cell>
          <cell r="K1326">
            <v>-52776.65</v>
          </cell>
        </row>
        <row r="1327">
          <cell r="G1327" t="str">
            <v>3.1.7.10.02.03 - FGTS S/13º Salario</v>
          </cell>
          <cell r="I1327">
            <v>40790.82</v>
          </cell>
          <cell r="J1327">
            <v>9984.33</v>
          </cell>
          <cell r="K1327">
            <v>50775.15</v>
          </cell>
        </row>
        <row r="1328">
          <cell r="H1328" t="str">
            <v>3171002030 FGTS s/13º Salario (Realizado)</v>
          </cell>
          <cell r="I1328">
            <v>11252.47</v>
          </cell>
          <cell r="J1328">
            <v>2787.58</v>
          </cell>
          <cell r="K1328">
            <v>14040.05</v>
          </cell>
        </row>
        <row r="1329">
          <cell r="H1329" t="str">
            <v>3171002031 Provisao de FGTS s/13º Salario</v>
          </cell>
          <cell r="I1329">
            <v>43884.6</v>
          </cell>
          <cell r="J1329">
            <v>9984.33</v>
          </cell>
          <cell r="K1329">
            <v>53868.93</v>
          </cell>
        </row>
        <row r="1330">
          <cell r="H1330" t="str">
            <v>3171002032 Reversao da Provisao de FGTS s/13º Salario</v>
          </cell>
          <cell r="I1330">
            <v>-14346.25</v>
          </cell>
          <cell r="J1330">
            <v>-2787.58</v>
          </cell>
          <cell r="K1330">
            <v>-17133.830000000002</v>
          </cell>
        </row>
        <row r="1331">
          <cell r="G1331" t="str">
            <v>3.1.7.10.02.04 - FGTS S/Desligamento de Funci</v>
          </cell>
          <cell r="I1331">
            <v>457170</v>
          </cell>
          <cell r="J1331">
            <v>91434</v>
          </cell>
          <cell r="K1331">
            <v>548604</v>
          </cell>
        </row>
        <row r="1332">
          <cell r="H1332" t="str">
            <v>3171002040 FGTS s/Desligamento de Funcionario (Realizado)</v>
          </cell>
          <cell r="I1332">
            <v>1081639.71</v>
          </cell>
          <cell r="J1332">
            <v>0</v>
          </cell>
          <cell r="K1332">
            <v>1081639.71</v>
          </cell>
        </row>
        <row r="1333">
          <cell r="H1333" t="str">
            <v>3171002041 Provisao de FGTS s/Desligamento de Funcionario</v>
          </cell>
          <cell r="I1333">
            <v>457170</v>
          </cell>
          <cell r="J1333">
            <v>91434</v>
          </cell>
          <cell r="K1333">
            <v>548604</v>
          </cell>
        </row>
        <row r="1334">
          <cell r="H1334" t="str">
            <v>3171002042 Reversao Provisao de FGTS s/Desl Funcionario</v>
          </cell>
          <cell r="I1334">
            <v>-1081639.71</v>
          </cell>
          <cell r="J1334">
            <v>0</v>
          </cell>
          <cell r="K1334">
            <v>-1081639.71</v>
          </cell>
        </row>
        <row r="1335">
          <cell r="G1335" t="str">
            <v>3.1.7.10.02.05 - FGTS S/ Gratificações</v>
          </cell>
          <cell r="I1335">
            <v>0</v>
          </cell>
          <cell r="J1335">
            <v>0</v>
          </cell>
          <cell r="K1335">
            <v>0</v>
          </cell>
        </row>
        <row r="1336">
          <cell r="H1336" t="str">
            <v>3171002051 Provisao de FGTS s/Gratificações</v>
          </cell>
          <cell r="I1336">
            <v>0</v>
          </cell>
          <cell r="J1336">
            <v>0</v>
          </cell>
          <cell r="K1336">
            <v>0</v>
          </cell>
        </row>
        <row r="1337">
          <cell r="F1337" t="str">
            <v>3.1.7.10.03 - INSS</v>
          </cell>
          <cell r="I1337">
            <v>2244904.25</v>
          </cell>
          <cell r="J1337">
            <v>447356.15</v>
          </cell>
          <cell r="K1337">
            <v>2692260.4</v>
          </cell>
        </row>
        <row r="1338">
          <cell r="G1338" t="str">
            <v>3.1.7.10.03.01 - INSS s/Foha de Pagamento</v>
          </cell>
          <cell r="I1338">
            <v>1965904.09</v>
          </cell>
          <cell r="J1338">
            <v>355792.62</v>
          </cell>
          <cell r="K1338">
            <v>2321696.71</v>
          </cell>
        </row>
        <row r="1339">
          <cell r="H1339" t="str">
            <v>3171003010 INSS s/Folha de Pagamento (Realizado)</v>
          </cell>
          <cell r="I1339">
            <v>1965904.09</v>
          </cell>
          <cell r="J1339">
            <v>355792.62</v>
          </cell>
          <cell r="K1339">
            <v>2321696.71</v>
          </cell>
        </row>
        <row r="1340">
          <cell r="H1340" t="str">
            <v>3171003015 Recuperação de Desps c/INSS s/Folha</v>
          </cell>
          <cell r="I1340">
            <v>0</v>
          </cell>
          <cell r="J1340">
            <v>0</v>
          </cell>
          <cell r="K1340">
            <v>0</v>
          </cell>
        </row>
        <row r="1341">
          <cell r="G1341" t="str">
            <v>3.1.7.10.03.02 - INSS s/Férias</v>
          </cell>
          <cell r="I1341">
            <v>-67139.77</v>
          </cell>
          <cell r="J1341">
            <v>-3963.37</v>
          </cell>
          <cell r="K1341">
            <v>-71103.14</v>
          </cell>
        </row>
        <row r="1342">
          <cell r="H1342" t="str">
            <v>3171003020 INSS s/Ferias (Realizado)</v>
          </cell>
          <cell r="I1342">
            <v>0</v>
          </cell>
          <cell r="J1342">
            <v>0</v>
          </cell>
          <cell r="K1342">
            <v>0</v>
          </cell>
        </row>
        <row r="1343">
          <cell r="H1343" t="str">
            <v>3171003021 Provisao de INSS s/Ferias</v>
          </cell>
          <cell r="I1343">
            <v>67009.02</v>
          </cell>
          <cell r="J1343">
            <v>13259.32</v>
          </cell>
          <cell r="K1343">
            <v>80268.34</v>
          </cell>
        </row>
        <row r="1344">
          <cell r="H1344" t="str">
            <v>3171003022 Reversao da Provisao de INSS s/Ferias</v>
          </cell>
          <cell r="I1344">
            <v>-134148.79</v>
          </cell>
          <cell r="J1344">
            <v>-17222.689999999999</v>
          </cell>
          <cell r="K1344">
            <v>-151371.48000000001</v>
          </cell>
        </row>
        <row r="1345">
          <cell r="H1345" t="str">
            <v>3171003025 Recuperação de Desps c/INSS s/Ferias</v>
          </cell>
          <cell r="I1345">
            <v>0</v>
          </cell>
          <cell r="J1345">
            <v>0</v>
          </cell>
          <cell r="K1345">
            <v>0</v>
          </cell>
        </row>
        <row r="1346">
          <cell r="G1346" t="str">
            <v>3.1.7.10.03.03 - INSS S/13º Salario</v>
          </cell>
          <cell r="I1346">
            <v>89991.44</v>
          </cell>
          <cell r="J1346">
            <v>22127.9</v>
          </cell>
          <cell r="K1346">
            <v>112119.34</v>
          </cell>
        </row>
        <row r="1347">
          <cell r="H1347" t="str">
            <v>3171003030 INSS s/13º Salario (Realizado)</v>
          </cell>
          <cell r="I1347">
            <v>0</v>
          </cell>
          <cell r="J1347">
            <v>0</v>
          </cell>
          <cell r="K1347">
            <v>0</v>
          </cell>
        </row>
        <row r="1348">
          <cell r="H1348" t="str">
            <v>3171003031 Provisao de INSS s/13º Salario</v>
          </cell>
          <cell r="I1348">
            <v>100821.67</v>
          </cell>
          <cell r="J1348">
            <v>22127.9</v>
          </cell>
          <cell r="K1348">
            <v>122949.57</v>
          </cell>
        </row>
        <row r="1349">
          <cell r="H1349" t="str">
            <v>3171003032 Reversao da Provisao de INSS s/13º Salario</v>
          </cell>
          <cell r="I1349">
            <v>-10830.23</v>
          </cell>
          <cell r="J1349">
            <v>0</v>
          </cell>
          <cell r="K1349">
            <v>-10830.23</v>
          </cell>
        </row>
        <row r="1350">
          <cell r="G1350" t="str">
            <v>3.1.7.10.03.04 - INSS S/PLR</v>
          </cell>
          <cell r="I1350">
            <v>0</v>
          </cell>
          <cell r="J1350">
            <v>0</v>
          </cell>
          <cell r="K1350">
            <v>0</v>
          </cell>
        </row>
        <row r="1351">
          <cell r="H1351" t="str">
            <v>3171003040 INSS s/PLR (Realizado)</v>
          </cell>
          <cell r="I1351">
            <v>0</v>
          </cell>
          <cell r="J1351">
            <v>0</v>
          </cell>
          <cell r="K1351">
            <v>0</v>
          </cell>
        </row>
        <row r="1352">
          <cell r="G1352" t="str">
            <v>3.1.7.10.03.05 - INSS S/ Gratificações</v>
          </cell>
          <cell r="I1352">
            <v>256148.49</v>
          </cell>
          <cell r="J1352">
            <v>73399</v>
          </cell>
          <cell r="K1352">
            <v>329547.49</v>
          </cell>
        </row>
        <row r="1353">
          <cell r="H1353" t="str">
            <v>3171003051 Provisao de INSS s/Gratificações</v>
          </cell>
          <cell r="I1353">
            <v>256148.49</v>
          </cell>
          <cell r="J1353">
            <v>73399</v>
          </cell>
          <cell r="K1353">
            <v>329547.49</v>
          </cell>
        </row>
        <row r="1354">
          <cell r="D1354" t="str">
            <v>3.1.7.15 - Beneficios a Empregados</v>
          </cell>
          <cell r="I1354">
            <v>6462724.21</v>
          </cell>
          <cell r="J1354">
            <v>1368976.51</v>
          </cell>
          <cell r="K1354">
            <v>7831700.7199999997</v>
          </cell>
        </row>
        <row r="1355">
          <cell r="F1355" t="str">
            <v>3.1.7.15.01 - Previdencia Privada</v>
          </cell>
          <cell r="I1355">
            <v>1618657.09</v>
          </cell>
          <cell r="J1355">
            <v>317190.92</v>
          </cell>
          <cell r="K1355">
            <v>1935848.01</v>
          </cell>
        </row>
        <row r="1356">
          <cell r="G1356" t="str">
            <v>3.1.7.15.01.01 - Previdencia Privada - Contri</v>
          </cell>
          <cell r="I1356">
            <v>1618657.09</v>
          </cell>
          <cell r="J1356">
            <v>317190.92</v>
          </cell>
          <cell r="K1356">
            <v>1935848.01</v>
          </cell>
        </row>
        <row r="1357">
          <cell r="H1357" t="str">
            <v>3171501010 Prev Priv CD-Contribuicoes da Empresa (Realizado)</v>
          </cell>
          <cell r="I1357">
            <v>2380605.69</v>
          </cell>
          <cell r="J1357">
            <v>460181.43</v>
          </cell>
          <cell r="K1357">
            <v>2840787.12</v>
          </cell>
        </row>
        <row r="1358">
          <cell r="H1358" t="str">
            <v>3171501015 Prev Priv CD-Participaçao dos Empregados</v>
          </cell>
          <cell r="I1358">
            <v>-761948.6</v>
          </cell>
          <cell r="J1358">
            <v>-142990.51</v>
          </cell>
          <cell r="K1358">
            <v>-904939.11</v>
          </cell>
        </row>
        <row r="1359">
          <cell r="G1359" t="str">
            <v>3.1.7.15.01.02 - Previdencia Privada - Benefi</v>
          </cell>
          <cell r="I1359">
            <v>0</v>
          </cell>
          <cell r="J1359">
            <v>0</v>
          </cell>
          <cell r="K1359">
            <v>0</v>
          </cell>
        </row>
        <row r="1360">
          <cell r="H1360" t="str">
            <v>3171501020 Prev Priv BD-Contribuiçoes da Empresa (Realiz)</v>
          </cell>
          <cell r="I1360">
            <v>0</v>
          </cell>
          <cell r="J1360">
            <v>0</v>
          </cell>
          <cell r="K1360">
            <v>0</v>
          </cell>
        </row>
        <row r="1361">
          <cell r="H1361" t="str">
            <v>3171501021 Prev Priv BD-Provisao Previdencia Privada-Empresa</v>
          </cell>
          <cell r="I1361">
            <v>0</v>
          </cell>
          <cell r="J1361">
            <v>0</v>
          </cell>
          <cell r="K1361">
            <v>0</v>
          </cell>
        </row>
        <row r="1362">
          <cell r="H1362" t="str">
            <v>3171501022 Prev Priv BD-Reversao Prov Previdencia Privada Emp</v>
          </cell>
          <cell r="I1362">
            <v>0</v>
          </cell>
          <cell r="J1362">
            <v>0</v>
          </cell>
          <cell r="K1362">
            <v>0</v>
          </cell>
        </row>
        <row r="1363">
          <cell r="G1363" t="str">
            <v>3.1.7.15.01.03 - Despesas Administrativas c/P</v>
          </cell>
          <cell r="I1363">
            <v>0</v>
          </cell>
          <cell r="J1363">
            <v>0</v>
          </cell>
          <cell r="K1363">
            <v>0</v>
          </cell>
        </row>
        <row r="1364">
          <cell r="H1364" t="str">
            <v>3171501030 Desp Adm c/Plano Previdencia Privada (Realiz)</v>
          </cell>
          <cell r="I1364">
            <v>0</v>
          </cell>
          <cell r="J1364">
            <v>0</v>
          </cell>
          <cell r="K1364">
            <v>0</v>
          </cell>
        </row>
        <row r="1365">
          <cell r="F1365" t="str">
            <v>3.1.7.15.02 - Seguro Social</v>
          </cell>
          <cell r="I1365">
            <v>298752.63</v>
          </cell>
          <cell r="J1365">
            <v>55965.43</v>
          </cell>
          <cell r="K1365">
            <v>354718.06</v>
          </cell>
        </row>
        <row r="1366">
          <cell r="G1366" t="str">
            <v>3.1.7.15.02.01 - Seguro de Vida em Grupo</v>
          </cell>
          <cell r="I1366">
            <v>298752.63</v>
          </cell>
          <cell r="J1366">
            <v>55965.43</v>
          </cell>
          <cell r="K1366">
            <v>354718.06</v>
          </cell>
        </row>
        <row r="1367">
          <cell r="H1367" t="str">
            <v>3171502010 Seguro de Vida em Grupo (Realizado)</v>
          </cell>
          <cell r="I1367">
            <v>0</v>
          </cell>
          <cell r="J1367">
            <v>0</v>
          </cell>
          <cell r="K1367">
            <v>0</v>
          </cell>
        </row>
        <row r="1368">
          <cell r="H1368" t="str">
            <v>3171502011 Provisao Seguro de Vida em Grupo</v>
          </cell>
          <cell r="I1368">
            <v>298752.63</v>
          </cell>
          <cell r="J1368">
            <v>55965.43</v>
          </cell>
          <cell r="K1368">
            <v>354718.06</v>
          </cell>
        </row>
        <row r="1369">
          <cell r="H1369" t="str">
            <v>3171502012 Reversao da Provisao de Seguro de Vida em Grupo</v>
          </cell>
          <cell r="I1369">
            <v>0</v>
          </cell>
          <cell r="J1369">
            <v>0</v>
          </cell>
          <cell r="K1369">
            <v>0</v>
          </cell>
        </row>
        <row r="1370">
          <cell r="F1370" t="str">
            <v>3.1.7.15.03 - Despesas Medicas e Odontologica</v>
          </cell>
          <cell r="I1370">
            <v>2247426.36</v>
          </cell>
          <cell r="J1370">
            <v>516135.89</v>
          </cell>
          <cell r="K1370">
            <v>2763562.25</v>
          </cell>
        </row>
        <row r="1371">
          <cell r="G1371" t="str">
            <v>3.1.7.15.03.01 - Assistencia Médica e Hospita</v>
          </cell>
          <cell r="I1371">
            <v>1958184.12</v>
          </cell>
          <cell r="J1371">
            <v>479716.36</v>
          </cell>
          <cell r="K1371">
            <v>2437900.48</v>
          </cell>
        </row>
        <row r="1372">
          <cell r="H1372" t="str">
            <v>3171503010 Assistencia Medica e Hospitalar (Realizado)</v>
          </cell>
          <cell r="I1372">
            <v>2077319.78</v>
          </cell>
          <cell r="J1372">
            <v>504219.42</v>
          </cell>
          <cell r="K1372">
            <v>2581539.2000000002</v>
          </cell>
        </row>
        <row r="1373">
          <cell r="H1373" t="str">
            <v>3171503015 Partic dos Empregados Assistenc Medica e Hospit</v>
          </cell>
          <cell r="I1373">
            <v>-119135.66</v>
          </cell>
          <cell r="J1373">
            <v>-24503.06</v>
          </cell>
          <cell r="K1373">
            <v>-143638.72</v>
          </cell>
        </row>
        <row r="1374">
          <cell r="G1374" t="str">
            <v>3.1.7.15.03.02 - Assistencia Médica e Hospita</v>
          </cell>
          <cell r="I1374">
            <v>137165</v>
          </cell>
          <cell r="J1374">
            <v>27433</v>
          </cell>
          <cell r="K1374">
            <v>164598</v>
          </cell>
        </row>
        <row r="1375">
          <cell r="H1375" t="str">
            <v>3171503020 Assistencia Medica e Hospitalar Aposent (Realiz)</v>
          </cell>
          <cell r="I1375">
            <v>188974.33</v>
          </cell>
          <cell r="J1375">
            <v>48192.59</v>
          </cell>
          <cell r="K1375">
            <v>237166.92</v>
          </cell>
        </row>
        <row r="1376">
          <cell r="H1376" t="str">
            <v>3171503021 Provisao Assistencia Medica Hospitalar Aposentados</v>
          </cell>
          <cell r="I1376">
            <v>137165</v>
          </cell>
          <cell r="J1376">
            <v>27433</v>
          </cell>
          <cell r="K1376">
            <v>164598</v>
          </cell>
        </row>
        <row r="1377">
          <cell r="H1377" t="str">
            <v>3171503022 Reversao Prov Assist Medica Hospitalar Aposentados</v>
          </cell>
          <cell r="I1377">
            <v>-188974.33</v>
          </cell>
          <cell r="J1377">
            <v>-48192.59</v>
          </cell>
          <cell r="K1377">
            <v>-237166.92</v>
          </cell>
        </row>
        <row r="1378">
          <cell r="G1378" t="str">
            <v>3.1.7.15.03.03 - Assistencia Odontologica</v>
          </cell>
          <cell r="I1378">
            <v>90856.06</v>
          </cell>
          <cell r="J1378">
            <v>-1212.24</v>
          </cell>
          <cell r="K1378">
            <v>89643.82</v>
          </cell>
        </row>
        <row r="1379">
          <cell r="H1379" t="str">
            <v>3171503030 Assistencia Odontologica (Realizado)</v>
          </cell>
          <cell r="I1379">
            <v>99964.52</v>
          </cell>
          <cell r="J1379">
            <v>380</v>
          </cell>
          <cell r="K1379">
            <v>100344.52</v>
          </cell>
        </row>
        <row r="1380">
          <cell r="H1380" t="str">
            <v>3171503035 Participacao dos Empregados Assist Odontologica</v>
          </cell>
          <cell r="I1380">
            <v>-9108.4599999999991</v>
          </cell>
          <cell r="J1380">
            <v>-1592.24</v>
          </cell>
          <cell r="K1380">
            <v>-10700.7</v>
          </cell>
        </row>
        <row r="1381">
          <cell r="G1381" t="str">
            <v>3.1.7.15.03.04 - Despesas Medicas e Hospitala</v>
          </cell>
          <cell r="I1381">
            <v>61221.18</v>
          </cell>
          <cell r="J1381">
            <v>10198.77</v>
          </cell>
          <cell r="K1381">
            <v>71419.95</v>
          </cell>
        </row>
        <row r="1382">
          <cell r="H1382" t="str">
            <v>3171503040 Despesas Medicas e Hospitalares (Realizado)</v>
          </cell>
          <cell r="I1382">
            <v>61221.18</v>
          </cell>
          <cell r="J1382">
            <v>10198.77</v>
          </cell>
          <cell r="K1382">
            <v>71419.95</v>
          </cell>
        </row>
        <row r="1383">
          <cell r="F1383" t="str">
            <v>3.1.7.15.04 - Desenvolvimento Profissional</v>
          </cell>
          <cell r="I1383">
            <v>151644.9</v>
          </cell>
          <cell r="J1383">
            <v>20324.86</v>
          </cell>
          <cell r="K1383">
            <v>171969.76</v>
          </cell>
        </row>
        <row r="1384">
          <cell r="G1384" t="str">
            <v>3.1.7.15.04.01 - Cursos</v>
          </cell>
          <cell r="I1384">
            <v>106314.54</v>
          </cell>
          <cell r="J1384">
            <v>13906.16</v>
          </cell>
          <cell r="K1384">
            <v>120220.7</v>
          </cell>
        </row>
        <row r="1385">
          <cell r="H1385" t="str">
            <v>3171504010 Desenv Prof-Cursos (Realizado)</v>
          </cell>
          <cell r="I1385">
            <v>106314.54</v>
          </cell>
          <cell r="J1385">
            <v>13906.16</v>
          </cell>
          <cell r="K1385">
            <v>120220.7</v>
          </cell>
        </row>
        <row r="1386">
          <cell r="G1386" t="str">
            <v>3.1.7.15.04.02 - Material de Consumo em Curso</v>
          </cell>
          <cell r="I1386">
            <v>1564.9</v>
          </cell>
          <cell r="J1386">
            <v>0</v>
          </cell>
          <cell r="K1386">
            <v>1564.9</v>
          </cell>
        </row>
        <row r="1387">
          <cell r="H1387" t="str">
            <v>3171504020 Desenv Prof-Material de Consumo em Cursos (Realiz)</v>
          </cell>
          <cell r="I1387">
            <v>1564.9</v>
          </cell>
          <cell r="J1387">
            <v>0</v>
          </cell>
          <cell r="K1387">
            <v>1564.9</v>
          </cell>
        </row>
        <row r="1388">
          <cell r="G1388" t="str">
            <v>3.1.7.15.04.03 - Serviços de Terceiros em Cur</v>
          </cell>
          <cell r="I1388">
            <v>1770</v>
          </cell>
          <cell r="J1388">
            <v>0</v>
          </cell>
          <cell r="K1388">
            <v>1770</v>
          </cell>
        </row>
        <row r="1389">
          <cell r="H1389" t="str">
            <v>3171504030 Desenv Prof-Serviços de Tercrs em Cursos (Realiz)</v>
          </cell>
          <cell r="I1389">
            <v>1770</v>
          </cell>
          <cell r="J1389">
            <v>0</v>
          </cell>
          <cell r="K1389">
            <v>1770</v>
          </cell>
        </row>
        <row r="1390">
          <cell r="G1390" t="str">
            <v>3.1.7.15.04.04 - Diarias em Cursos</v>
          </cell>
          <cell r="I1390">
            <v>537.02</v>
          </cell>
          <cell r="J1390">
            <v>941.9</v>
          </cell>
          <cell r="K1390">
            <v>1478.92</v>
          </cell>
        </row>
        <row r="1391">
          <cell r="H1391" t="str">
            <v>3171504040 Desenv Prof-Diarias em Cursos (Realizado)</v>
          </cell>
          <cell r="I1391">
            <v>537.02</v>
          </cell>
          <cell r="J1391">
            <v>941.9</v>
          </cell>
          <cell r="K1391">
            <v>1478.92</v>
          </cell>
        </row>
        <row r="1392">
          <cell r="G1392" t="str">
            <v>3.1.7.15.04.05 - Transportes em Cursos</v>
          </cell>
          <cell r="I1392">
            <v>16037.95</v>
          </cell>
          <cell r="J1392">
            <v>4018.58</v>
          </cell>
          <cell r="K1392">
            <v>20056.53</v>
          </cell>
        </row>
        <row r="1393">
          <cell r="H1393" t="str">
            <v>3171504050 Desenv Prof-Transportes em Cursos (Realizado)</v>
          </cell>
          <cell r="I1393">
            <v>16037.95</v>
          </cell>
          <cell r="J1393">
            <v>4018.58</v>
          </cell>
          <cell r="K1393">
            <v>20056.53</v>
          </cell>
        </row>
        <row r="1394">
          <cell r="G1394" t="str">
            <v>3.1.7.15.04.06 - Refeições em Cursos</v>
          </cell>
          <cell r="I1394">
            <v>19282.490000000002</v>
          </cell>
          <cell r="J1394">
            <v>230.62</v>
          </cell>
          <cell r="K1394">
            <v>19513.11</v>
          </cell>
        </row>
        <row r="1395">
          <cell r="H1395" t="str">
            <v>3171504060 Desenv Prof-Refeiçoes em Cursos (Realizado)</v>
          </cell>
          <cell r="I1395">
            <v>19282.490000000002</v>
          </cell>
          <cell r="J1395">
            <v>230.62</v>
          </cell>
          <cell r="K1395">
            <v>19513.11</v>
          </cell>
        </row>
        <row r="1396">
          <cell r="G1396" t="str">
            <v>3.1.7.15.04.07 - Aprendizagem de Menores em C</v>
          </cell>
          <cell r="I1396">
            <v>6138</v>
          </cell>
          <cell r="J1396">
            <v>1227.5999999999999</v>
          </cell>
          <cell r="K1396">
            <v>7365.6</v>
          </cell>
        </row>
        <row r="1397">
          <cell r="H1397" t="str">
            <v>3171504070 Desenv Prof-Aprendiz de Menores em Cursos (Realiz)</v>
          </cell>
          <cell r="I1397">
            <v>6138</v>
          </cell>
          <cell r="J1397">
            <v>1227.5999999999999</v>
          </cell>
          <cell r="K1397">
            <v>7365.6</v>
          </cell>
        </row>
        <row r="1398">
          <cell r="F1398" t="str">
            <v>3.1.7.15.05 - Despesas Sociais com Pessoal</v>
          </cell>
          <cell r="I1398">
            <v>49175.98</v>
          </cell>
          <cell r="J1398">
            <v>14623.43</v>
          </cell>
          <cell r="K1398">
            <v>63799.41</v>
          </cell>
        </row>
        <row r="1399">
          <cell r="G1399" t="str">
            <v>3.1.7.15.05.01 - Contribuições a Associação D</v>
          </cell>
          <cell r="I1399">
            <v>0</v>
          </cell>
          <cell r="J1399">
            <v>6967</v>
          </cell>
          <cell r="K1399">
            <v>6967</v>
          </cell>
        </row>
        <row r="1400">
          <cell r="H1400" t="str">
            <v>3171505010 Desp Soc-Contrib Associaçao Desportiva (Realizado)</v>
          </cell>
          <cell r="I1400">
            <v>0</v>
          </cell>
          <cell r="J1400">
            <v>6967</v>
          </cell>
          <cell r="K1400">
            <v>6967</v>
          </cell>
        </row>
        <row r="1401">
          <cell r="G1401" t="str">
            <v>3.1.7.15.05.02 - Comemorações e Eventos</v>
          </cell>
          <cell r="I1401">
            <v>21081.32</v>
          </cell>
          <cell r="J1401">
            <v>4886.43</v>
          </cell>
          <cell r="K1401">
            <v>25967.75</v>
          </cell>
        </row>
        <row r="1402">
          <cell r="H1402" t="str">
            <v>3171505020 Desp Soc-Comemoraçoes e Eventos (Realizado)</v>
          </cell>
          <cell r="I1402">
            <v>21081.32</v>
          </cell>
          <cell r="J1402">
            <v>4886.43</v>
          </cell>
          <cell r="K1402">
            <v>25967.75</v>
          </cell>
        </row>
        <row r="1403">
          <cell r="G1403" t="str">
            <v>3.1.7.15.05.03 - Assistencia Social a Funcion</v>
          </cell>
          <cell r="I1403">
            <v>24789.66</v>
          </cell>
          <cell r="J1403">
            <v>2770</v>
          </cell>
          <cell r="K1403">
            <v>27559.66</v>
          </cell>
        </row>
        <row r="1404">
          <cell r="H1404" t="str">
            <v>3171505030 Desp Soc-Assistencia Social Funcionarios (Realiz)</v>
          </cell>
          <cell r="I1404">
            <v>24789.66</v>
          </cell>
          <cell r="J1404">
            <v>2770</v>
          </cell>
          <cell r="K1404">
            <v>27559.66</v>
          </cell>
        </row>
        <row r="1405">
          <cell r="G1405" t="str">
            <v>3.1.7.15.05.04 - Vestuario</v>
          </cell>
          <cell r="I1405">
            <v>0</v>
          </cell>
          <cell r="J1405">
            <v>0</v>
          </cell>
          <cell r="K1405">
            <v>0</v>
          </cell>
        </row>
        <row r="1406">
          <cell r="H1406" t="str">
            <v>3171505040 Desp Soc-Vestuario (Realizado)</v>
          </cell>
          <cell r="I1406">
            <v>0</v>
          </cell>
          <cell r="J1406">
            <v>0</v>
          </cell>
          <cell r="K1406">
            <v>0</v>
          </cell>
        </row>
        <row r="1407">
          <cell r="G1407" t="str">
            <v>3.1.7.15.05.05 - Comunicação Interna</v>
          </cell>
          <cell r="I1407">
            <v>3305</v>
          </cell>
          <cell r="J1407">
            <v>0</v>
          </cell>
          <cell r="K1407">
            <v>3305</v>
          </cell>
        </row>
        <row r="1408">
          <cell r="H1408" t="str">
            <v>3171505050 Desp Soc-Comunicaçao Interna (Realizado)</v>
          </cell>
          <cell r="I1408">
            <v>3305</v>
          </cell>
          <cell r="J1408">
            <v>0</v>
          </cell>
          <cell r="K1408">
            <v>3305</v>
          </cell>
        </row>
        <row r="1409">
          <cell r="F1409" t="str">
            <v>3.1.7.15.06 - Despesas com Transporte do Pess</v>
          </cell>
          <cell r="I1409">
            <v>1323118.42</v>
          </cell>
          <cell r="J1409">
            <v>258764.96</v>
          </cell>
          <cell r="K1409">
            <v>1581883.38</v>
          </cell>
        </row>
        <row r="1410">
          <cell r="G1410" t="str">
            <v>3.1.7.15.06.01 - Condução Contratada</v>
          </cell>
          <cell r="I1410">
            <v>1156167.75</v>
          </cell>
          <cell r="J1410">
            <v>236491.13</v>
          </cell>
          <cell r="K1410">
            <v>1392658.88</v>
          </cell>
        </row>
        <row r="1411">
          <cell r="H1411" t="str">
            <v>3171506010 Desp Transp-Conduçao Contratada (Realizado)</v>
          </cell>
          <cell r="I1411">
            <v>1171726.2</v>
          </cell>
          <cell r="J1411">
            <v>239647.73</v>
          </cell>
          <cell r="K1411">
            <v>1411373.93</v>
          </cell>
        </row>
        <row r="1412">
          <cell r="H1412" t="str">
            <v>3171506015 Participaçao dos Empregados-Conduçao Contratada</v>
          </cell>
          <cell r="I1412">
            <v>-15558.45</v>
          </cell>
          <cell r="J1412">
            <v>-3156.6</v>
          </cell>
          <cell r="K1412">
            <v>-18715.05</v>
          </cell>
        </row>
        <row r="1413">
          <cell r="G1413" t="str">
            <v>3.1.7.15.06.02 - Vale Transporte</v>
          </cell>
          <cell r="I1413">
            <v>26888.83</v>
          </cell>
          <cell r="J1413">
            <v>96.65</v>
          </cell>
          <cell r="K1413">
            <v>26985.48</v>
          </cell>
        </row>
        <row r="1414">
          <cell r="H1414" t="str">
            <v>3171506020 Despesa Vale Transporte (Realizado)</v>
          </cell>
          <cell r="I1414">
            <v>28071.19</v>
          </cell>
          <cell r="J1414">
            <v>314</v>
          </cell>
          <cell r="K1414">
            <v>28385.19</v>
          </cell>
        </row>
        <row r="1415">
          <cell r="H1415" t="str">
            <v>3171506025 Participaçao dos Empregados-Vale Transporte</v>
          </cell>
          <cell r="I1415">
            <v>-1182.3599999999999</v>
          </cell>
          <cell r="J1415">
            <v>-217.35</v>
          </cell>
          <cell r="K1415">
            <v>-1399.71</v>
          </cell>
        </row>
        <row r="1416">
          <cell r="G1416" t="str">
            <v>3.1.7.15.06.03 - Taxi e Conduções</v>
          </cell>
          <cell r="I1416">
            <v>126250.74</v>
          </cell>
          <cell r="J1416">
            <v>22177.18</v>
          </cell>
          <cell r="K1416">
            <v>148427.92000000001</v>
          </cell>
        </row>
        <row r="1417">
          <cell r="H1417" t="str">
            <v>3171506030 Despesa Taxi e Conduçoes (Realizado)</v>
          </cell>
          <cell r="I1417">
            <v>126250.74</v>
          </cell>
          <cell r="J1417">
            <v>22177.18</v>
          </cell>
          <cell r="K1417">
            <v>148427.92000000001</v>
          </cell>
        </row>
        <row r="1418">
          <cell r="G1418" t="str">
            <v>3.1.7.15.06.04 - Aluguel de Veiculos</v>
          </cell>
          <cell r="I1418">
            <v>13811.1</v>
          </cell>
          <cell r="J1418">
            <v>0</v>
          </cell>
          <cell r="K1418">
            <v>13811.1</v>
          </cell>
        </row>
        <row r="1419">
          <cell r="H1419" t="str">
            <v>3171506040 Despesa Aluguel de Veiculos (Realizado)</v>
          </cell>
          <cell r="I1419">
            <v>13811.1</v>
          </cell>
          <cell r="J1419">
            <v>0</v>
          </cell>
          <cell r="K1419">
            <v>13811.1</v>
          </cell>
        </row>
        <row r="1420">
          <cell r="G1420" t="str">
            <v>3.1.7.15.06.05 - Aluguel de Outros Veículos</v>
          </cell>
          <cell r="I1420">
            <v>0</v>
          </cell>
          <cell r="J1420">
            <v>0</v>
          </cell>
          <cell r="K1420">
            <v>0</v>
          </cell>
        </row>
        <row r="1421">
          <cell r="H1421" t="str">
            <v>3171506050 Despesas com Aluguel de Outros Veiculos(Realizado)</v>
          </cell>
          <cell r="I1421">
            <v>0</v>
          </cell>
          <cell r="J1421">
            <v>0</v>
          </cell>
          <cell r="K1421">
            <v>0</v>
          </cell>
        </row>
        <row r="1422">
          <cell r="F1422" t="str">
            <v>3.1.7.15.07 - Despesas com Refeições</v>
          </cell>
          <cell r="I1422">
            <v>773948.83</v>
          </cell>
          <cell r="J1422">
            <v>185971.02</v>
          </cell>
          <cell r="K1422">
            <v>959919.85</v>
          </cell>
        </row>
        <row r="1423">
          <cell r="G1423" t="str">
            <v>3.1.7.15.07.01 - Refeições Prontas</v>
          </cell>
          <cell r="I1423">
            <v>544889.56000000006</v>
          </cell>
          <cell r="J1423">
            <v>128194.18</v>
          </cell>
          <cell r="K1423">
            <v>673083.74</v>
          </cell>
        </row>
        <row r="1424">
          <cell r="H1424" t="str">
            <v>3171507010 Despesa Refeiçoes Prontas (Realizado)</v>
          </cell>
          <cell r="I1424">
            <v>606977.28000000003</v>
          </cell>
          <cell r="J1424">
            <v>141389.98000000001</v>
          </cell>
          <cell r="K1424">
            <v>748367.26</v>
          </cell>
        </row>
        <row r="1425">
          <cell r="H1425" t="str">
            <v>3171507015 Participaçao dos Empregados-Refeiçoes Prontas</v>
          </cell>
          <cell r="I1425">
            <v>-62087.72</v>
          </cell>
          <cell r="J1425">
            <v>-13195.8</v>
          </cell>
          <cell r="K1425">
            <v>-75283.520000000004</v>
          </cell>
        </row>
        <row r="1426">
          <cell r="G1426" t="str">
            <v>3.1.7.15.07.02 - Material de Consumo - Refeit</v>
          </cell>
          <cell r="I1426">
            <v>76388.73</v>
          </cell>
          <cell r="J1426">
            <v>17545.8</v>
          </cell>
          <cell r="K1426">
            <v>93934.53</v>
          </cell>
        </row>
        <row r="1427">
          <cell r="H1427" t="str">
            <v>3171507020 Despesa Material de Consumo Refeitorio (Realiz)</v>
          </cell>
          <cell r="I1427">
            <v>67578.710000000006</v>
          </cell>
          <cell r="J1427">
            <v>16182.7</v>
          </cell>
          <cell r="K1427">
            <v>83761.41</v>
          </cell>
        </row>
        <row r="1428">
          <cell r="H1428" t="str">
            <v>3171507025 Desp Material Consumo Refeitorio Descont Func-R</v>
          </cell>
          <cell r="I1428">
            <v>8810.02</v>
          </cell>
          <cell r="J1428">
            <v>1363.1</v>
          </cell>
          <cell r="K1428">
            <v>10173.120000000001</v>
          </cell>
        </row>
        <row r="1429">
          <cell r="G1429" t="str">
            <v>3.1.7.15.07.03 - Refeições - Visita e Outras</v>
          </cell>
          <cell r="I1429">
            <v>89204.94</v>
          </cell>
          <cell r="J1429">
            <v>23487.54</v>
          </cell>
          <cell r="K1429">
            <v>112692.48</v>
          </cell>
        </row>
        <row r="1430">
          <cell r="H1430" t="str">
            <v>3171507030 Despesa Refeiçoes-Visita e Outras (Realizado)</v>
          </cell>
          <cell r="I1430">
            <v>89204.94</v>
          </cell>
          <cell r="J1430">
            <v>23487.54</v>
          </cell>
          <cell r="K1430">
            <v>112692.48</v>
          </cell>
        </row>
        <row r="1431">
          <cell r="G1431" t="str">
            <v>3.1.7.15.07.04 - Refeições e Lanches Externos</v>
          </cell>
          <cell r="I1431">
            <v>63465.599999999999</v>
          </cell>
          <cell r="J1431">
            <v>16743.5</v>
          </cell>
          <cell r="K1431">
            <v>80209.100000000006</v>
          </cell>
        </row>
        <row r="1432">
          <cell r="H1432" t="str">
            <v>3171507040 Despesa Refeiçoes-Lanches Externos (Realizado)</v>
          </cell>
          <cell r="I1432">
            <v>63465.599999999999</v>
          </cell>
          <cell r="J1432">
            <v>16743.5</v>
          </cell>
          <cell r="K1432">
            <v>80209.100000000006</v>
          </cell>
        </row>
        <row r="1433">
          <cell r="D1433" t="str">
            <v>3.1.7.19 - Outras Despesas com Colaboradores</v>
          </cell>
          <cell r="I1433">
            <v>167673.78</v>
          </cell>
          <cell r="J1433">
            <v>-1189.6199999999999</v>
          </cell>
          <cell r="K1433">
            <v>166484.16</v>
          </cell>
        </row>
        <row r="1434">
          <cell r="F1434" t="str">
            <v>3.1.7.19.01 - Seleção e Recrutamento</v>
          </cell>
          <cell r="I1434">
            <v>1860</v>
          </cell>
          <cell r="J1434">
            <v>0</v>
          </cell>
          <cell r="K1434">
            <v>1860</v>
          </cell>
        </row>
        <row r="1435">
          <cell r="G1435" t="str">
            <v>3.1.7.19.01.01 - Serviços de Terceiros p/Sele</v>
          </cell>
          <cell r="I1435">
            <v>1860</v>
          </cell>
          <cell r="J1435">
            <v>0</v>
          </cell>
          <cell r="K1435">
            <v>1860</v>
          </cell>
        </row>
        <row r="1436">
          <cell r="H1436" t="str">
            <v>3171901010 Sel Recrut-Servs de Tercrs p/Seleçao e Recrut (R)</v>
          </cell>
          <cell r="I1436">
            <v>1860</v>
          </cell>
          <cell r="J1436">
            <v>0</v>
          </cell>
          <cell r="K1436">
            <v>1860</v>
          </cell>
        </row>
        <row r="1437">
          <cell r="G1437" t="str">
            <v>3.1.7.19.01.02 - Anuncios p/Seleção e Recruta</v>
          </cell>
          <cell r="I1437">
            <v>0</v>
          </cell>
          <cell r="J1437">
            <v>0</v>
          </cell>
          <cell r="K1437">
            <v>0</v>
          </cell>
        </row>
        <row r="1438">
          <cell r="H1438" t="str">
            <v>3171901020 Sel Recrut-Anunc p/Seleçao e Recrut (Realiz)</v>
          </cell>
          <cell r="I1438">
            <v>0</v>
          </cell>
          <cell r="J1438">
            <v>0</v>
          </cell>
          <cell r="K1438">
            <v>0</v>
          </cell>
        </row>
        <row r="1439">
          <cell r="F1439" t="str">
            <v>3.1.7.19.02 - Despesas com Viagens</v>
          </cell>
          <cell r="I1439">
            <v>165813.78</v>
          </cell>
          <cell r="J1439">
            <v>-1189.6199999999999</v>
          </cell>
          <cell r="K1439">
            <v>164624.16</v>
          </cell>
        </row>
        <row r="1440">
          <cell r="G1440" t="str">
            <v>3.1.7.19.02.01 - Viagens Nacionais</v>
          </cell>
          <cell r="I1440">
            <v>153580.79999999999</v>
          </cell>
          <cell r="J1440">
            <v>23426.7</v>
          </cell>
          <cell r="K1440">
            <v>177007.5</v>
          </cell>
        </row>
        <row r="1441">
          <cell r="H1441" t="str">
            <v>3171902010 Despesa Viagens Nacionais (Realizado)</v>
          </cell>
          <cell r="I1441">
            <v>153580.79999999999</v>
          </cell>
          <cell r="J1441">
            <v>23426.7</v>
          </cell>
          <cell r="K1441">
            <v>177007.5</v>
          </cell>
        </row>
        <row r="1442">
          <cell r="G1442" t="str">
            <v>3.1.7.19.02.02 - Viagens Internacionais</v>
          </cell>
          <cell r="I1442">
            <v>12232.98</v>
          </cell>
          <cell r="J1442">
            <v>-24616.32</v>
          </cell>
          <cell r="K1442">
            <v>-12383.34</v>
          </cell>
        </row>
        <row r="1443">
          <cell r="H1443" t="str">
            <v>3171902020 Despesas Viagens Internacionais (Realizado)</v>
          </cell>
          <cell r="I1443">
            <v>12232.98</v>
          </cell>
          <cell r="J1443">
            <v>-24616.32</v>
          </cell>
          <cell r="K1443">
            <v>-12383.34</v>
          </cell>
        </row>
        <row r="1444">
          <cell r="D1444" t="str">
            <v>3.1.7.20 - Serviços Prestados por Terceiros</v>
          </cell>
          <cell r="I1444">
            <v>6482296.3099999996</v>
          </cell>
          <cell r="J1444">
            <v>954865.28</v>
          </cell>
          <cell r="K1444">
            <v>7437161.5899999999</v>
          </cell>
        </row>
        <row r="1445">
          <cell r="F1445" t="str">
            <v>3.1.7.20.01 - Prestação de Serviços de Advoca</v>
          </cell>
          <cell r="I1445">
            <v>2780663.81</v>
          </cell>
          <cell r="J1445">
            <v>305574.53999999998</v>
          </cell>
          <cell r="K1445">
            <v>3086238.35</v>
          </cell>
        </row>
        <row r="1446">
          <cell r="G1446" t="str">
            <v>3.1.7.20.01.01 - Prestação de Serviços de Adv</v>
          </cell>
          <cell r="I1446">
            <v>2780663.81</v>
          </cell>
          <cell r="J1446">
            <v>305574.53999999998</v>
          </cell>
          <cell r="K1446">
            <v>3086238.35</v>
          </cell>
        </row>
        <row r="1447">
          <cell r="H1447" t="str">
            <v>3172001010 Serviços Prestados Advocacia p/PJ (Realizado)</v>
          </cell>
          <cell r="I1447">
            <v>2853870.54</v>
          </cell>
          <cell r="J1447">
            <v>305574.53999999998</v>
          </cell>
          <cell r="K1447">
            <v>3159445.08</v>
          </cell>
        </row>
        <row r="1448">
          <cell r="H1448" t="str">
            <v>3172001015 Rec Desps c/Honorarios Advocaticios (Realizado)</v>
          </cell>
          <cell r="I1448">
            <v>-73206.73</v>
          </cell>
          <cell r="J1448">
            <v>0</v>
          </cell>
          <cell r="K1448">
            <v>-73206.73</v>
          </cell>
        </row>
        <row r="1449">
          <cell r="G1449" t="str">
            <v>3.1.7.20.01.02 - Serviços Prestados de Advoca</v>
          </cell>
          <cell r="I1449">
            <v>0</v>
          </cell>
          <cell r="J1449">
            <v>0</v>
          </cell>
          <cell r="K1449">
            <v>0</v>
          </cell>
        </row>
        <row r="1450">
          <cell r="H1450" t="str">
            <v>3172001020 Serviço Prest Advocacia p/Coop de Trab (Realiz)</v>
          </cell>
          <cell r="I1450">
            <v>0</v>
          </cell>
          <cell r="J1450">
            <v>0</v>
          </cell>
          <cell r="K1450">
            <v>0</v>
          </cell>
        </row>
        <row r="1451">
          <cell r="G1451" t="str">
            <v>3.1.7.20.01.04 - Prestação de Serviços de Adv</v>
          </cell>
          <cell r="I1451">
            <v>0</v>
          </cell>
          <cell r="J1451">
            <v>0</v>
          </cell>
          <cell r="K1451">
            <v>0</v>
          </cell>
        </row>
        <row r="1452">
          <cell r="H1452" t="str">
            <v>3172001040 Serv Prest Advocacia p/PF s/ Vinculo Empr (Realiz)</v>
          </cell>
          <cell r="I1452">
            <v>0</v>
          </cell>
          <cell r="J1452">
            <v>0</v>
          </cell>
          <cell r="K1452">
            <v>0</v>
          </cell>
        </row>
        <row r="1453">
          <cell r="F1453" t="str">
            <v>3.1.7.20.02 - Prestação Serviços de Auditoria</v>
          </cell>
          <cell r="I1453">
            <v>133750</v>
          </cell>
          <cell r="J1453">
            <v>26750</v>
          </cell>
          <cell r="K1453">
            <v>160500</v>
          </cell>
        </row>
        <row r="1454">
          <cell r="G1454" t="str">
            <v>3.1.7.20.02.01 - Prestação de Serviços de Aud</v>
          </cell>
          <cell r="I1454">
            <v>133750</v>
          </cell>
          <cell r="J1454">
            <v>26750</v>
          </cell>
          <cell r="K1454">
            <v>160500</v>
          </cell>
        </row>
        <row r="1455">
          <cell r="H1455" t="str">
            <v>3172002010 Serviços Prestados Auditoria  p/PJ (Realizado)</v>
          </cell>
          <cell r="I1455">
            <v>133750</v>
          </cell>
          <cell r="J1455">
            <v>26750</v>
          </cell>
          <cell r="K1455">
            <v>160500</v>
          </cell>
        </row>
        <row r="1456">
          <cell r="G1456" t="str">
            <v>3.1.7.20.02.02 - Serviços Prestados de Audito</v>
          </cell>
          <cell r="I1456">
            <v>0</v>
          </cell>
          <cell r="J1456">
            <v>0</v>
          </cell>
          <cell r="K1456">
            <v>0</v>
          </cell>
        </row>
        <row r="1457">
          <cell r="H1457" t="str">
            <v>3172002020 Serviços Prest Auditoria p/ Coop Trab (Realiz)</v>
          </cell>
          <cell r="I1457">
            <v>0</v>
          </cell>
          <cell r="J1457">
            <v>0</v>
          </cell>
          <cell r="K1457">
            <v>0</v>
          </cell>
        </row>
        <row r="1458">
          <cell r="G1458" t="str">
            <v>3.1.7.20.02.04 - Prestação de Serviços de Aud</v>
          </cell>
          <cell r="I1458">
            <v>0</v>
          </cell>
          <cell r="J1458">
            <v>0</v>
          </cell>
          <cell r="K1458">
            <v>0</v>
          </cell>
        </row>
        <row r="1459">
          <cell r="H1459" t="str">
            <v>3172002040 Serviços Prest Auditoria p/PF s/Vinc Empr (Realiz)</v>
          </cell>
          <cell r="I1459">
            <v>0</v>
          </cell>
          <cell r="J1459">
            <v>0</v>
          </cell>
          <cell r="K1459">
            <v>0</v>
          </cell>
        </row>
        <row r="1460">
          <cell r="F1460" t="str">
            <v>3.1.7.20.03 - Prestação Serviços de Consultor</v>
          </cell>
          <cell r="I1460">
            <v>1806506.82</v>
          </cell>
          <cell r="J1460">
            <v>310391.95</v>
          </cell>
          <cell r="K1460">
            <v>2116898.77</v>
          </cell>
        </row>
        <row r="1461">
          <cell r="G1461" t="str">
            <v>3.1.7.20.03.01 - Prestação de Serviços de Con</v>
          </cell>
          <cell r="I1461">
            <v>1708169.75</v>
          </cell>
          <cell r="J1461">
            <v>289971.07</v>
          </cell>
          <cell r="K1461">
            <v>1998140.82</v>
          </cell>
        </row>
        <row r="1462">
          <cell r="H1462" t="str">
            <v>3172003010 Serviços Prestados Consultoria p/PJ (Realizado)</v>
          </cell>
          <cell r="I1462">
            <v>1708169.75</v>
          </cell>
          <cell r="J1462">
            <v>289971.07</v>
          </cell>
          <cell r="K1462">
            <v>1998140.82</v>
          </cell>
        </row>
        <row r="1463">
          <cell r="G1463" t="str">
            <v>3.1.7.20.03.02 - Serviços Prestados de Consul</v>
          </cell>
          <cell r="I1463">
            <v>0</v>
          </cell>
          <cell r="J1463">
            <v>0</v>
          </cell>
          <cell r="K1463">
            <v>0</v>
          </cell>
        </row>
        <row r="1464">
          <cell r="H1464" t="str">
            <v>3172003020 Serv Prest Consultoria p/Coop Trab (Realizado)</v>
          </cell>
          <cell r="I1464">
            <v>0</v>
          </cell>
          <cell r="J1464">
            <v>0</v>
          </cell>
          <cell r="K1464">
            <v>0</v>
          </cell>
        </row>
        <row r="1465">
          <cell r="G1465" t="str">
            <v>3.1.7.20.03.04 - Prestação de Serviços de Con</v>
          </cell>
          <cell r="I1465">
            <v>98337.07</v>
          </cell>
          <cell r="J1465">
            <v>20420.88</v>
          </cell>
          <cell r="K1465">
            <v>118757.95</v>
          </cell>
        </row>
        <row r="1466">
          <cell r="H1466" t="str">
            <v>3172003040 Serv Prest Consultoria p/PF s/Vinc Empr (Realiz)</v>
          </cell>
          <cell r="I1466">
            <v>98337.07</v>
          </cell>
          <cell r="J1466">
            <v>20420.88</v>
          </cell>
          <cell r="K1466">
            <v>118757.95</v>
          </cell>
        </row>
        <row r="1467">
          <cell r="F1467" t="str">
            <v>3.1.7.20.07 - Prestação de Serviços Informaçõ</v>
          </cell>
          <cell r="I1467">
            <v>89858.33</v>
          </cell>
          <cell r="J1467">
            <v>3579.75</v>
          </cell>
          <cell r="K1467">
            <v>93438.080000000002</v>
          </cell>
        </row>
        <row r="1468">
          <cell r="G1468" t="str">
            <v>3.1.7.20.07.01 - Prestação de Serviços de Inf</v>
          </cell>
          <cell r="I1468">
            <v>89858.33</v>
          </cell>
          <cell r="J1468">
            <v>3579.75</v>
          </cell>
          <cell r="K1468">
            <v>93438.080000000002</v>
          </cell>
        </row>
        <row r="1469">
          <cell r="H1469" t="str">
            <v>3172007010 Serv Prest Informaçoes Cadastrais p/PJ (Realiz)</v>
          </cell>
          <cell r="I1469">
            <v>89858.33</v>
          </cell>
          <cell r="J1469">
            <v>3579.75</v>
          </cell>
          <cell r="K1469">
            <v>93438.080000000002</v>
          </cell>
        </row>
        <row r="1470">
          <cell r="G1470" t="str">
            <v>3.1.7.20.07.02 - Serviços Prestados de Inform</v>
          </cell>
          <cell r="I1470">
            <v>0</v>
          </cell>
          <cell r="J1470">
            <v>0</v>
          </cell>
          <cell r="K1470">
            <v>0</v>
          </cell>
        </row>
        <row r="1471">
          <cell r="H1471" t="str">
            <v>3172007020 Serv Prest Inform Cadastrais p/Coop Trab (Realiz)</v>
          </cell>
          <cell r="I1471">
            <v>0</v>
          </cell>
          <cell r="J1471">
            <v>0</v>
          </cell>
          <cell r="K1471">
            <v>0</v>
          </cell>
        </row>
        <row r="1472">
          <cell r="G1472" t="str">
            <v>3.1.7.20.07.04 - Prestação de Serviços de Inf</v>
          </cell>
          <cell r="I1472">
            <v>0</v>
          </cell>
          <cell r="J1472">
            <v>0</v>
          </cell>
          <cell r="K1472">
            <v>0</v>
          </cell>
        </row>
        <row r="1473">
          <cell r="H1473" t="str">
            <v>3172007040 Serv Prest Inform Cadastrais p/PF s/Vinc Empr (R)</v>
          </cell>
          <cell r="I1473">
            <v>0</v>
          </cell>
          <cell r="J1473">
            <v>0</v>
          </cell>
          <cell r="K1473">
            <v>0</v>
          </cell>
        </row>
        <row r="1474">
          <cell r="F1474" t="str">
            <v>3.1.7.20.08 - Prestação de Serviços de Propag</v>
          </cell>
          <cell r="I1474">
            <v>29173</v>
          </cell>
          <cell r="J1474">
            <v>5900</v>
          </cell>
          <cell r="K1474">
            <v>35073</v>
          </cell>
        </row>
        <row r="1475">
          <cell r="G1475" t="str">
            <v>3.1.7.20.08.01 - Prestação de Serviços de Pro</v>
          </cell>
          <cell r="I1475">
            <v>29173</v>
          </cell>
          <cell r="J1475">
            <v>5900</v>
          </cell>
          <cell r="K1475">
            <v>35073</v>
          </cell>
        </row>
        <row r="1476">
          <cell r="H1476" t="str">
            <v>3172008010 Serv Prest Propaganda e Publicidade p/PJ (Realiz)</v>
          </cell>
          <cell r="I1476">
            <v>29173</v>
          </cell>
          <cell r="J1476">
            <v>5900</v>
          </cell>
          <cell r="K1476">
            <v>35073</v>
          </cell>
        </row>
        <row r="1477">
          <cell r="G1477" t="str">
            <v>3.1.7.20.08.02 - Serviços Prestados de Propag</v>
          </cell>
          <cell r="I1477">
            <v>0</v>
          </cell>
          <cell r="J1477">
            <v>0</v>
          </cell>
          <cell r="K1477">
            <v>0</v>
          </cell>
        </row>
        <row r="1478">
          <cell r="H1478" t="str">
            <v>3172008020 Serviços Prest Propag Public p/Coop Trab (Realiz)</v>
          </cell>
          <cell r="I1478">
            <v>0</v>
          </cell>
          <cell r="J1478">
            <v>0</v>
          </cell>
          <cell r="K1478">
            <v>0</v>
          </cell>
        </row>
        <row r="1479">
          <cell r="G1479" t="str">
            <v>3.1.7.20.08.04 - Prestação de Serviços de Pro</v>
          </cell>
          <cell r="I1479">
            <v>0</v>
          </cell>
          <cell r="J1479">
            <v>0</v>
          </cell>
          <cell r="K1479">
            <v>0</v>
          </cell>
        </row>
        <row r="1480">
          <cell r="H1480" t="str">
            <v>3172008040 Serv Prest Propag Public p/PF s/Vinc Empr (Realiz)</v>
          </cell>
          <cell r="I1480">
            <v>0</v>
          </cell>
          <cell r="J1480">
            <v>0</v>
          </cell>
          <cell r="K1480">
            <v>0</v>
          </cell>
        </row>
        <row r="1481">
          <cell r="F1481" t="str">
            <v>3.1.7.20.09 - Prestação de Serviços de Atuali</v>
          </cell>
          <cell r="I1481">
            <v>570428.48</v>
          </cell>
          <cell r="J1481">
            <v>70985.06</v>
          </cell>
          <cell r="K1481">
            <v>641413.54</v>
          </cell>
        </row>
        <row r="1482">
          <cell r="G1482" t="str">
            <v>3.1.7.20.09.01 - Prestação de Serviços de Atu</v>
          </cell>
          <cell r="I1482">
            <v>570428.48</v>
          </cell>
          <cell r="J1482">
            <v>70985.06</v>
          </cell>
          <cell r="K1482">
            <v>641413.54</v>
          </cell>
        </row>
        <row r="1483">
          <cell r="H1483" t="str">
            <v>3172009010 Serv Prest Atualiz/Suporte Tecnico p/PJ (Realiz)</v>
          </cell>
          <cell r="I1483">
            <v>570428.48</v>
          </cell>
          <cell r="J1483">
            <v>70985.06</v>
          </cell>
          <cell r="K1483">
            <v>641413.54</v>
          </cell>
        </row>
        <row r="1484">
          <cell r="G1484" t="str">
            <v>3.1.7.20.09.02 - Serviços Prestados de Atuali</v>
          </cell>
          <cell r="I1484">
            <v>0</v>
          </cell>
          <cell r="J1484">
            <v>0</v>
          </cell>
          <cell r="K1484">
            <v>0</v>
          </cell>
        </row>
        <row r="1485">
          <cell r="H1485" t="str">
            <v>3172009020 Serv Prest Atual/Suporte Tec p/Coop Trab (Realiz)</v>
          </cell>
          <cell r="I1485">
            <v>0</v>
          </cell>
          <cell r="J1485">
            <v>0</v>
          </cell>
          <cell r="K1485">
            <v>0</v>
          </cell>
        </row>
        <row r="1486">
          <cell r="G1486" t="str">
            <v>3.1.7.20.09.04 - Prestação de Serviços de Atu</v>
          </cell>
          <cell r="I1486">
            <v>0</v>
          </cell>
          <cell r="J1486">
            <v>0</v>
          </cell>
          <cell r="K1486">
            <v>0</v>
          </cell>
        </row>
        <row r="1487">
          <cell r="H1487" t="str">
            <v>3172009040 Serv Prest Atual/Sup Tec p/PF s/Vinc Empr (Realiz)</v>
          </cell>
          <cell r="I1487">
            <v>0</v>
          </cell>
          <cell r="J1487">
            <v>0</v>
          </cell>
          <cell r="K1487">
            <v>0</v>
          </cell>
        </row>
        <row r="1488">
          <cell r="F1488" t="str">
            <v>3.1.7.20.10 - Prestação de Serviços Temporári</v>
          </cell>
          <cell r="I1488">
            <v>140311.60999999999</v>
          </cell>
          <cell r="J1488">
            <v>99461.46</v>
          </cell>
          <cell r="K1488">
            <v>239773.07</v>
          </cell>
        </row>
        <row r="1489">
          <cell r="G1489" t="str">
            <v>3.1.7.20.10.01 - Prestação de Serviços Tempor</v>
          </cell>
          <cell r="I1489">
            <v>140311.60999999999</v>
          </cell>
          <cell r="J1489">
            <v>99461.46</v>
          </cell>
          <cell r="K1489">
            <v>239773.07</v>
          </cell>
        </row>
        <row r="1490">
          <cell r="H1490" t="str">
            <v>3172010010 Serviços Prestados Temporario p/PJ (Realizado)</v>
          </cell>
          <cell r="I1490">
            <v>140311.60999999999</v>
          </cell>
          <cell r="J1490">
            <v>99461.46</v>
          </cell>
          <cell r="K1490">
            <v>239773.07</v>
          </cell>
        </row>
        <row r="1491">
          <cell r="G1491" t="str">
            <v>3.1.7.20.10.02 - Serviços Prestados Temporári</v>
          </cell>
          <cell r="I1491">
            <v>0</v>
          </cell>
          <cell r="J1491">
            <v>0</v>
          </cell>
          <cell r="K1491">
            <v>0</v>
          </cell>
        </row>
        <row r="1492">
          <cell r="H1492" t="str">
            <v>3172010020 Serv Prest Temporario p/Cooperativa Trab (Realiz)</v>
          </cell>
          <cell r="I1492">
            <v>0</v>
          </cell>
          <cell r="J1492">
            <v>0</v>
          </cell>
          <cell r="K1492">
            <v>0</v>
          </cell>
        </row>
        <row r="1493">
          <cell r="F1493" t="str">
            <v>3.1.7.20.11 - Prestação de Serviços de Limpez</v>
          </cell>
          <cell r="I1493">
            <v>76673.210000000006</v>
          </cell>
          <cell r="J1493">
            <v>13963.57</v>
          </cell>
          <cell r="K1493">
            <v>90636.78</v>
          </cell>
        </row>
        <row r="1494">
          <cell r="G1494" t="str">
            <v>3.1.7.20.11.01 - Prestação de Serviços de Lim</v>
          </cell>
          <cell r="I1494">
            <v>76673.210000000006</v>
          </cell>
          <cell r="J1494">
            <v>13963.57</v>
          </cell>
          <cell r="K1494">
            <v>90636.78</v>
          </cell>
        </row>
        <row r="1495">
          <cell r="H1495" t="str">
            <v>3172011010 Serviços Prestados Limpeza p/ PJ (Realizado)</v>
          </cell>
          <cell r="I1495">
            <v>76673.210000000006</v>
          </cell>
          <cell r="J1495">
            <v>13963.57</v>
          </cell>
          <cell r="K1495">
            <v>90636.78</v>
          </cell>
        </row>
        <row r="1496">
          <cell r="G1496" t="str">
            <v>3.1.7.20.11.02 - Serviços Prestados de Limpez</v>
          </cell>
          <cell r="I1496">
            <v>0</v>
          </cell>
          <cell r="J1496">
            <v>0</v>
          </cell>
          <cell r="K1496">
            <v>0</v>
          </cell>
        </row>
        <row r="1497">
          <cell r="H1497" t="str">
            <v>3172011020 Serv Prest Limpeza p/Cooperativa Trabalho (Realiz)</v>
          </cell>
          <cell r="I1497">
            <v>0</v>
          </cell>
          <cell r="J1497">
            <v>0</v>
          </cell>
          <cell r="K1497">
            <v>0</v>
          </cell>
        </row>
        <row r="1498">
          <cell r="G1498" t="str">
            <v>3.1.7.20.11.04 - Prestação de Serviços de Lim</v>
          </cell>
          <cell r="I1498">
            <v>0</v>
          </cell>
          <cell r="J1498">
            <v>0</v>
          </cell>
          <cell r="K1498">
            <v>0</v>
          </cell>
        </row>
        <row r="1499">
          <cell r="H1499" t="str">
            <v>3172011040 Serv Prest Limpeza p/PF s/Vinculo Empr (Realiz)</v>
          </cell>
          <cell r="I1499">
            <v>0</v>
          </cell>
          <cell r="J1499">
            <v>0</v>
          </cell>
          <cell r="K1499">
            <v>0</v>
          </cell>
        </row>
        <row r="1500">
          <cell r="F1500" t="str">
            <v>3.1.7.20.12 - Prestação de Serviços de Vigila</v>
          </cell>
          <cell r="I1500">
            <v>568488.23</v>
          </cell>
          <cell r="J1500">
            <v>0</v>
          </cell>
          <cell r="K1500">
            <v>568488.23</v>
          </cell>
        </row>
        <row r="1501">
          <cell r="G1501" t="str">
            <v>3.1.7.20.12.01 - Prestação de Serviços de Vig</v>
          </cell>
          <cell r="I1501">
            <v>568488.23</v>
          </cell>
          <cell r="J1501">
            <v>0</v>
          </cell>
          <cell r="K1501">
            <v>568488.23</v>
          </cell>
        </row>
        <row r="1502">
          <cell r="H1502" t="str">
            <v>3172012010 Serviços Prestados Vigilancia PJ (Realiz)</v>
          </cell>
          <cell r="I1502">
            <v>568488.23</v>
          </cell>
          <cell r="J1502">
            <v>0</v>
          </cell>
          <cell r="K1502">
            <v>568488.23</v>
          </cell>
        </row>
        <row r="1503">
          <cell r="G1503" t="str">
            <v>3.1.7.20.12.02 - Serviços Prestados de Vigila</v>
          </cell>
          <cell r="I1503">
            <v>0</v>
          </cell>
          <cell r="J1503">
            <v>0</v>
          </cell>
          <cell r="K1503">
            <v>0</v>
          </cell>
        </row>
        <row r="1504">
          <cell r="H1504" t="str">
            <v>3172012020 Serv Prest Vigilancia Cooperativa Trab (Realiz)</v>
          </cell>
          <cell r="I1504">
            <v>0</v>
          </cell>
          <cell r="J1504">
            <v>0</v>
          </cell>
          <cell r="K1504">
            <v>0</v>
          </cell>
        </row>
        <row r="1505">
          <cell r="G1505" t="str">
            <v>3.1.7.20.12.04 - Prestação de Serviços de Vig</v>
          </cell>
          <cell r="I1505">
            <v>0</v>
          </cell>
          <cell r="J1505">
            <v>0</v>
          </cell>
          <cell r="K1505">
            <v>0</v>
          </cell>
        </row>
        <row r="1506">
          <cell r="H1506" t="str">
            <v>3172012040 Serv Prest Vigilancia p/PF s/Vinculo Empr (Realiz)</v>
          </cell>
          <cell r="I1506">
            <v>0</v>
          </cell>
          <cell r="J1506">
            <v>0</v>
          </cell>
          <cell r="K1506">
            <v>0</v>
          </cell>
        </row>
        <row r="1507">
          <cell r="F1507" t="str">
            <v>3.1.7.20.13 - Prestação de Serviços de Jardin</v>
          </cell>
          <cell r="I1507">
            <v>0</v>
          </cell>
          <cell r="J1507">
            <v>0</v>
          </cell>
          <cell r="K1507">
            <v>0</v>
          </cell>
        </row>
        <row r="1508">
          <cell r="G1508" t="str">
            <v>3.1.7.20.13.01 - Prestação de Serviços de Jar</v>
          </cell>
          <cell r="I1508">
            <v>0</v>
          </cell>
          <cell r="J1508">
            <v>0</v>
          </cell>
          <cell r="K1508">
            <v>0</v>
          </cell>
        </row>
        <row r="1509">
          <cell r="H1509" t="str">
            <v>3172013010 Serviços Prestados Jardinagem p/PJ (Realizado)</v>
          </cell>
          <cell r="I1509">
            <v>0</v>
          </cell>
          <cell r="J1509">
            <v>0</v>
          </cell>
          <cell r="K1509">
            <v>0</v>
          </cell>
        </row>
        <row r="1510">
          <cell r="G1510" t="str">
            <v>3.1.7.20.13.02 - Serviços Prestados de Jardin</v>
          </cell>
          <cell r="I1510">
            <v>0</v>
          </cell>
          <cell r="J1510">
            <v>0</v>
          </cell>
          <cell r="K1510">
            <v>0</v>
          </cell>
        </row>
        <row r="1511">
          <cell r="H1511" t="str">
            <v>3172013020 Serv Prest Jardinagem p/Cooperativa Trab (Realiz)</v>
          </cell>
          <cell r="I1511">
            <v>0</v>
          </cell>
          <cell r="J1511">
            <v>0</v>
          </cell>
          <cell r="K1511">
            <v>0</v>
          </cell>
        </row>
        <row r="1512">
          <cell r="G1512" t="str">
            <v>3.1.7.20.13.04 - Prestação de Serviços de Jar</v>
          </cell>
          <cell r="I1512">
            <v>0</v>
          </cell>
          <cell r="J1512">
            <v>0</v>
          </cell>
          <cell r="K1512">
            <v>0</v>
          </cell>
        </row>
        <row r="1513">
          <cell r="H1513" t="str">
            <v>3172013040 Serv Prest Jardinagem p/PF s/Vinculo Empr (Realiz)</v>
          </cell>
          <cell r="I1513">
            <v>0</v>
          </cell>
          <cell r="J1513">
            <v>0</v>
          </cell>
          <cell r="K1513">
            <v>0</v>
          </cell>
        </row>
        <row r="1514">
          <cell r="F1514" t="str">
            <v>3.1.7.20.15 - Prestação de Serviços de Fretes</v>
          </cell>
          <cell r="I1514">
            <v>0</v>
          </cell>
          <cell r="J1514">
            <v>0</v>
          </cell>
          <cell r="K1514">
            <v>0</v>
          </cell>
        </row>
        <row r="1515">
          <cell r="G1515" t="str">
            <v>3.1.7.20.15.01 - Prestação de Serviços de Fre</v>
          </cell>
          <cell r="I1515">
            <v>0</v>
          </cell>
          <cell r="J1515">
            <v>0</v>
          </cell>
          <cell r="K1515">
            <v>0</v>
          </cell>
        </row>
        <row r="1516">
          <cell r="H1516" t="str">
            <v>3172015010 Serv Prest Fretes Carretos s/Compras p/PJ (Realiz)</v>
          </cell>
          <cell r="I1516">
            <v>0</v>
          </cell>
          <cell r="J1516">
            <v>0</v>
          </cell>
          <cell r="K1516">
            <v>0</v>
          </cell>
        </row>
        <row r="1517">
          <cell r="G1517" t="str">
            <v>3.1.7.20.15.02 - Serviços Prestados de Fretes</v>
          </cell>
          <cell r="I1517">
            <v>0</v>
          </cell>
          <cell r="J1517">
            <v>0</v>
          </cell>
          <cell r="K1517">
            <v>0</v>
          </cell>
        </row>
        <row r="1518">
          <cell r="H1518" t="str">
            <v>3172015020 Serv Prest Fret Carret s/Comp p/Coop Trab (Realiz)</v>
          </cell>
          <cell r="I1518">
            <v>0</v>
          </cell>
          <cell r="J1518">
            <v>0</v>
          </cell>
          <cell r="K1518">
            <v>0</v>
          </cell>
        </row>
        <row r="1519">
          <cell r="G1519" t="str">
            <v>3.1.7.20.15.04 - Prestação de Serviços de Fre</v>
          </cell>
          <cell r="I1519">
            <v>0</v>
          </cell>
          <cell r="J1519">
            <v>0</v>
          </cell>
          <cell r="K1519">
            <v>0</v>
          </cell>
        </row>
        <row r="1520">
          <cell r="H1520" t="str">
            <v>3172015040 Serv Prest Fret Carr s/Comp p/PF s/Vin Emp(Realiz)</v>
          </cell>
          <cell r="I1520">
            <v>0</v>
          </cell>
          <cell r="J1520">
            <v>0</v>
          </cell>
          <cell r="K1520">
            <v>0</v>
          </cell>
        </row>
        <row r="1521">
          <cell r="F1521" t="str">
            <v>3.1.7.20.16 - Prestação de Serviços de Constr</v>
          </cell>
          <cell r="I1521">
            <v>0</v>
          </cell>
          <cell r="J1521">
            <v>0</v>
          </cell>
          <cell r="K1521">
            <v>0</v>
          </cell>
        </row>
        <row r="1522">
          <cell r="G1522" t="str">
            <v>3.1.7.20.16.01 - Prestação de Serviços de Con</v>
          </cell>
          <cell r="I1522">
            <v>0</v>
          </cell>
          <cell r="J1522">
            <v>0</v>
          </cell>
          <cell r="K1522">
            <v>0</v>
          </cell>
        </row>
        <row r="1523">
          <cell r="H1523" t="str">
            <v>3172016010 Serviços Prestados Construçao Civil p/PJ (Realiz)</v>
          </cell>
          <cell r="I1523">
            <v>0</v>
          </cell>
          <cell r="J1523">
            <v>0</v>
          </cell>
          <cell r="K1523">
            <v>0</v>
          </cell>
        </row>
        <row r="1524">
          <cell r="G1524" t="str">
            <v>3.1.7.20.16.02 - Serviços Prestados de Constr</v>
          </cell>
          <cell r="I1524">
            <v>0</v>
          </cell>
          <cell r="J1524">
            <v>0</v>
          </cell>
          <cell r="K1524">
            <v>0</v>
          </cell>
        </row>
        <row r="1525">
          <cell r="H1525" t="str">
            <v>3172016020 Serv Prest Construçao Civil p/Coop Trab (Realiz)</v>
          </cell>
          <cell r="I1525">
            <v>0</v>
          </cell>
          <cell r="J1525">
            <v>0</v>
          </cell>
          <cell r="K1525">
            <v>0</v>
          </cell>
        </row>
        <row r="1526">
          <cell r="G1526" t="str">
            <v>3.1.7.20.16.04 - Prestação de Serviços de Con</v>
          </cell>
          <cell r="I1526">
            <v>0</v>
          </cell>
          <cell r="J1526">
            <v>0</v>
          </cell>
          <cell r="K1526">
            <v>0</v>
          </cell>
        </row>
        <row r="1527">
          <cell r="H1527" t="str">
            <v>3172016040 Serv Prest Constr Civil p/PF s/Vinc Empr (Realiz)</v>
          </cell>
          <cell r="I1527">
            <v>0</v>
          </cell>
          <cell r="J1527">
            <v>0</v>
          </cell>
          <cell r="K1527">
            <v>0</v>
          </cell>
        </row>
        <row r="1528">
          <cell r="F1528" t="str">
            <v>3.1.7.20.17 - Prestação de Serviços de Engenh</v>
          </cell>
          <cell r="I1528">
            <v>0</v>
          </cell>
          <cell r="J1528">
            <v>0</v>
          </cell>
          <cell r="K1528">
            <v>0</v>
          </cell>
        </row>
        <row r="1529">
          <cell r="G1529" t="str">
            <v>3.1.7.20.17.01 - Prestação de Serviços de Eng</v>
          </cell>
          <cell r="I1529">
            <v>0</v>
          </cell>
          <cell r="J1529">
            <v>0</v>
          </cell>
          <cell r="K1529">
            <v>0</v>
          </cell>
        </row>
        <row r="1530">
          <cell r="H1530" t="str">
            <v>3172017010 Serviços Prestados Engenharia p/PJ (Realiz)</v>
          </cell>
          <cell r="I1530">
            <v>0</v>
          </cell>
          <cell r="J1530">
            <v>0</v>
          </cell>
          <cell r="K1530">
            <v>0</v>
          </cell>
        </row>
        <row r="1531">
          <cell r="G1531" t="str">
            <v>3.1.7.20.17.02 -Serviços Prestados de Engenha</v>
          </cell>
          <cell r="I1531">
            <v>0</v>
          </cell>
          <cell r="J1531">
            <v>0</v>
          </cell>
          <cell r="K1531">
            <v>0</v>
          </cell>
        </row>
        <row r="1532">
          <cell r="H1532" t="str">
            <v>3172017020 Serviços Prestados Engenharia p/Coop Trab (Realiz)</v>
          </cell>
          <cell r="I1532">
            <v>0</v>
          </cell>
          <cell r="J1532">
            <v>0</v>
          </cell>
          <cell r="K1532">
            <v>0</v>
          </cell>
        </row>
        <row r="1533">
          <cell r="G1533" t="str">
            <v>3.1.7.20.17.04 - Prestação de Serviços de Eng</v>
          </cell>
          <cell r="I1533">
            <v>0</v>
          </cell>
          <cell r="J1533">
            <v>0</v>
          </cell>
          <cell r="K1533">
            <v>0</v>
          </cell>
        </row>
        <row r="1534">
          <cell r="H1534" t="str">
            <v>3172017040 Serv Prest Engenharia p/PF s/Vinc Empr (Realiz)</v>
          </cell>
          <cell r="I1534">
            <v>0</v>
          </cell>
          <cell r="J1534">
            <v>0</v>
          </cell>
          <cell r="K1534">
            <v>0</v>
          </cell>
        </row>
        <row r="1535">
          <cell r="F1535" t="str">
            <v>3.1.7.20.18 - Prestação de Serviços de Reparo</v>
          </cell>
          <cell r="I1535">
            <v>58070.03</v>
          </cell>
          <cell r="J1535">
            <v>6159.66</v>
          </cell>
          <cell r="K1535">
            <v>64229.69</v>
          </cell>
        </row>
        <row r="1536">
          <cell r="G1536" t="str">
            <v>3.1.7.20.18.01 - Prestação de Serviços de Rep</v>
          </cell>
          <cell r="I1536">
            <v>58070.03</v>
          </cell>
          <cell r="J1536">
            <v>6159.66</v>
          </cell>
          <cell r="K1536">
            <v>64229.69</v>
          </cell>
        </row>
        <row r="1537">
          <cell r="H1537" t="str">
            <v>3172018010 Serv Prest Reparos Assist Tecnica p/PJ (Realiz)</v>
          </cell>
          <cell r="I1537">
            <v>58070.03</v>
          </cell>
          <cell r="J1537">
            <v>6159.66</v>
          </cell>
          <cell r="K1537">
            <v>64229.69</v>
          </cell>
        </row>
        <row r="1538">
          <cell r="G1538" t="str">
            <v>3.1.7.20.18.02 - Serviços Prestados de Reparo</v>
          </cell>
          <cell r="I1538">
            <v>0</v>
          </cell>
          <cell r="J1538">
            <v>0</v>
          </cell>
          <cell r="K1538">
            <v>0</v>
          </cell>
        </row>
        <row r="1539">
          <cell r="H1539" t="str">
            <v>3172018020 Serv Prest Rep Assist Tecnica p/Coop Trab (Realiz)</v>
          </cell>
          <cell r="I1539">
            <v>0</v>
          </cell>
          <cell r="J1539">
            <v>0</v>
          </cell>
          <cell r="K1539">
            <v>0</v>
          </cell>
        </row>
        <row r="1540">
          <cell r="G1540" t="str">
            <v>3.1.7.20.18.04 - Prestação de Serviços de Rep</v>
          </cell>
          <cell r="I1540">
            <v>0</v>
          </cell>
          <cell r="J1540">
            <v>0</v>
          </cell>
          <cell r="K1540">
            <v>0</v>
          </cell>
        </row>
        <row r="1541">
          <cell r="H1541" t="str">
            <v>3172018040 Serv Prest Rep Assist Tec p/PF s/Vinc Emp (Realiz)</v>
          </cell>
          <cell r="I1541">
            <v>0</v>
          </cell>
          <cell r="J1541">
            <v>0</v>
          </cell>
          <cell r="K1541">
            <v>0</v>
          </cell>
        </row>
        <row r="1542">
          <cell r="F1542" t="str">
            <v>3.1.7.20.99 - Prestação de Serviços Tecnicos</v>
          </cell>
          <cell r="I1542">
            <v>228372.79</v>
          </cell>
          <cell r="J1542">
            <v>112099.29</v>
          </cell>
          <cell r="K1542">
            <v>340472.08</v>
          </cell>
        </row>
        <row r="1543">
          <cell r="G1543" t="str">
            <v>3.1.7.20.99.01 - Prestação de Serviços de Tec</v>
          </cell>
          <cell r="I1543">
            <v>216582.79</v>
          </cell>
          <cell r="J1543">
            <v>109627.15</v>
          </cell>
          <cell r="K1543">
            <v>326209.94</v>
          </cell>
        </row>
        <row r="1544">
          <cell r="H1544" t="str">
            <v>3172099010 Prest Serv Tecnicos Profissionais p/PJ (Realiz)</v>
          </cell>
          <cell r="I1544">
            <v>216582.79</v>
          </cell>
          <cell r="J1544">
            <v>109627.15</v>
          </cell>
          <cell r="K1544">
            <v>326209.94</v>
          </cell>
        </row>
        <row r="1545">
          <cell r="G1545" t="str">
            <v>3.1.7.20.99.02 - Serviços Prestados de Tecnic</v>
          </cell>
          <cell r="I1545">
            <v>0</v>
          </cell>
          <cell r="J1545">
            <v>0</v>
          </cell>
          <cell r="K1545">
            <v>0</v>
          </cell>
        </row>
        <row r="1546">
          <cell r="H1546" t="str">
            <v>3172099020 Prest Serv Tec Profissionais p/Coop Trab (Realiz)</v>
          </cell>
          <cell r="I1546">
            <v>0</v>
          </cell>
          <cell r="J1546">
            <v>0</v>
          </cell>
          <cell r="K1546">
            <v>0</v>
          </cell>
        </row>
        <row r="1547">
          <cell r="G1547" t="str">
            <v>3.1.7.20.99.04 - Prestação de Serviços de Tec</v>
          </cell>
          <cell r="I1547">
            <v>11790</v>
          </cell>
          <cell r="J1547">
            <v>2472.14</v>
          </cell>
          <cell r="K1547">
            <v>14262.14</v>
          </cell>
        </row>
        <row r="1548">
          <cell r="H1548" t="str">
            <v>3172099040 Serv Prest Tec Profissionais p/PF s/Vin Empr (R)</v>
          </cell>
          <cell r="I1548">
            <v>11790</v>
          </cell>
          <cell r="J1548">
            <v>2472.14</v>
          </cell>
          <cell r="K1548">
            <v>14262.14</v>
          </cell>
        </row>
        <row r="1549">
          <cell r="D1549" t="str">
            <v>3.1.7.21 - Serviços Prestados por Terceiros -</v>
          </cell>
          <cell r="I1549">
            <v>19492.16</v>
          </cell>
          <cell r="J1549">
            <v>6244.67</v>
          </cell>
          <cell r="K1549">
            <v>25736.83</v>
          </cell>
        </row>
        <row r="1550">
          <cell r="F1550" t="str">
            <v>3.1.7.21.50 - Prestação de Serviços de Manute</v>
          </cell>
          <cell r="I1550">
            <v>8720.2199999999993</v>
          </cell>
          <cell r="J1550">
            <v>1324.56</v>
          </cell>
          <cell r="K1550">
            <v>10044.780000000001</v>
          </cell>
        </row>
        <row r="1551">
          <cell r="G1551" t="str">
            <v>3.1.7.21.50.01 - Prestação de Serviços de Man</v>
          </cell>
          <cell r="I1551">
            <v>8720.2199999999993</v>
          </cell>
          <cell r="J1551">
            <v>1324.56</v>
          </cell>
          <cell r="K1551">
            <v>10044.780000000001</v>
          </cell>
        </row>
        <row r="1552">
          <cell r="H1552" t="str">
            <v>3172150010 Serv Prest Manutençao Civil p/PJ (Realizado)</v>
          </cell>
          <cell r="I1552">
            <v>8720.2199999999993</v>
          </cell>
          <cell r="J1552">
            <v>1324.56</v>
          </cell>
          <cell r="K1552">
            <v>10044.780000000001</v>
          </cell>
        </row>
        <row r="1553">
          <cell r="G1553" t="str">
            <v>3.1.7.21.50.02 - Serviços Prestados de Manute</v>
          </cell>
          <cell r="I1553">
            <v>0</v>
          </cell>
          <cell r="J1553">
            <v>0</v>
          </cell>
          <cell r="K1553">
            <v>0</v>
          </cell>
        </row>
        <row r="1554">
          <cell r="H1554" t="str">
            <v>3172150020 Serv Prest Manutençao Civil p/Coop Trab (Realiz)</v>
          </cell>
          <cell r="I1554">
            <v>0</v>
          </cell>
          <cell r="J1554">
            <v>0</v>
          </cell>
          <cell r="K1554">
            <v>0</v>
          </cell>
        </row>
        <row r="1555">
          <cell r="G1555" t="str">
            <v>3.1.7.21.50.04 - Prestação de Serviços de Man</v>
          </cell>
          <cell r="I1555">
            <v>0</v>
          </cell>
          <cell r="J1555">
            <v>0</v>
          </cell>
          <cell r="K1555">
            <v>0</v>
          </cell>
        </row>
        <row r="1556">
          <cell r="H1556" t="str">
            <v>3172150040 Serv Prest Manut Civil p/PF s/Vin Empr (Realiz)</v>
          </cell>
          <cell r="I1556">
            <v>0</v>
          </cell>
          <cell r="J1556">
            <v>0</v>
          </cell>
          <cell r="K1556">
            <v>0</v>
          </cell>
        </row>
        <row r="1557">
          <cell r="F1557" t="str">
            <v>3.1.7.21.51 - Prestação de Serviços de Eletri</v>
          </cell>
          <cell r="I1557">
            <v>3834.16</v>
          </cell>
          <cell r="J1557">
            <v>1920.11</v>
          </cell>
          <cell r="K1557">
            <v>5754.27</v>
          </cell>
        </row>
        <row r="1558">
          <cell r="G1558" t="str">
            <v>3.1.7.21.51.01 - Prestação de Serviços de Man</v>
          </cell>
          <cell r="I1558">
            <v>3834.16</v>
          </cell>
          <cell r="J1558">
            <v>1920.11</v>
          </cell>
          <cell r="K1558">
            <v>5754.27</v>
          </cell>
        </row>
        <row r="1559">
          <cell r="H1559" t="str">
            <v>3172151010 Serv Prest Manutençao Eletricos p/PJ (Realiz)</v>
          </cell>
          <cell r="I1559">
            <v>3834.16</v>
          </cell>
          <cell r="J1559">
            <v>1920.11</v>
          </cell>
          <cell r="K1559">
            <v>5754.27</v>
          </cell>
        </row>
        <row r="1560">
          <cell r="G1560" t="str">
            <v>3.1.7.21.51.02 - Serviços de Manutenção Elétr</v>
          </cell>
          <cell r="I1560">
            <v>0</v>
          </cell>
          <cell r="J1560">
            <v>0</v>
          </cell>
          <cell r="K1560">
            <v>0</v>
          </cell>
        </row>
        <row r="1561">
          <cell r="H1561" t="str">
            <v>3172151020 Serv Manutençao Eletricos p/Coop Trabalho (Realiz)</v>
          </cell>
          <cell r="I1561">
            <v>0</v>
          </cell>
          <cell r="J1561">
            <v>0</v>
          </cell>
          <cell r="K1561">
            <v>0</v>
          </cell>
        </row>
        <row r="1562">
          <cell r="G1562" t="str">
            <v>3.1.7.21.51.04 - Prestação de Serviços de Man</v>
          </cell>
          <cell r="I1562">
            <v>0</v>
          </cell>
          <cell r="J1562">
            <v>0</v>
          </cell>
          <cell r="K1562">
            <v>0</v>
          </cell>
        </row>
        <row r="1563">
          <cell r="H1563" t="str">
            <v>3172151040 Serv Prest Manut Eletricos p/PF s/Vin Emp (Realiz)</v>
          </cell>
          <cell r="I1563">
            <v>0</v>
          </cell>
          <cell r="J1563">
            <v>0</v>
          </cell>
          <cell r="K1563">
            <v>0</v>
          </cell>
        </row>
        <row r="1564">
          <cell r="F1564" t="str">
            <v>3.1.7.21.52 - Prestação de Serviços de Manute</v>
          </cell>
          <cell r="I1564">
            <v>0</v>
          </cell>
          <cell r="J1564">
            <v>0</v>
          </cell>
          <cell r="K1564">
            <v>0</v>
          </cell>
        </row>
        <row r="1565">
          <cell r="G1565" t="str">
            <v>3.1.7.21.52.01 - Prestação de Serviços de Man</v>
          </cell>
          <cell r="I1565">
            <v>0</v>
          </cell>
          <cell r="J1565">
            <v>0</v>
          </cell>
          <cell r="K1565">
            <v>0</v>
          </cell>
        </row>
        <row r="1566">
          <cell r="H1566" t="str">
            <v>3172152010 Serv Prest Manutençao Mecânicos p/PJ (Realizado)</v>
          </cell>
          <cell r="I1566">
            <v>0</v>
          </cell>
          <cell r="J1566">
            <v>0</v>
          </cell>
          <cell r="K1566">
            <v>0</v>
          </cell>
        </row>
        <row r="1567">
          <cell r="G1567" t="str">
            <v>3.1.7.21.52.02 - Serviços Prestados de Manute</v>
          </cell>
          <cell r="I1567">
            <v>0</v>
          </cell>
          <cell r="J1567">
            <v>0</v>
          </cell>
          <cell r="K1567">
            <v>0</v>
          </cell>
        </row>
        <row r="1568">
          <cell r="H1568" t="str">
            <v>3172152020 Serv Prest Manut Mecânicos p/Coop Trab (Realiz)</v>
          </cell>
          <cell r="I1568">
            <v>0</v>
          </cell>
          <cell r="J1568">
            <v>0</v>
          </cell>
          <cell r="K1568">
            <v>0</v>
          </cell>
        </row>
        <row r="1569">
          <cell r="G1569" t="str">
            <v>3.1.7.21.52.04 - Prestação de Serviços de Man</v>
          </cell>
          <cell r="I1569">
            <v>0</v>
          </cell>
          <cell r="J1569">
            <v>0</v>
          </cell>
          <cell r="K1569">
            <v>0</v>
          </cell>
        </row>
        <row r="1570">
          <cell r="H1570" t="str">
            <v>3172152040 Serv Prest Manut Mecânicos p/PF s/Vin Emp (Realiz)</v>
          </cell>
          <cell r="I1570">
            <v>0</v>
          </cell>
          <cell r="J1570">
            <v>0</v>
          </cell>
          <cell r="K1570">
            <v>0</v>
          </cell>
        </row>
        <row r="1571">
          <cell r="F1571" t="str">
            <v>3.1.7.21.99 - Prestação de Serviços de Manute</v>
          </cell>
          <cell r="I1571">
            <v>6937.78</v>
          </cell>
          <cell r="J1571">
            <v>3000</v>
          </cell>
          <cell r="K1571">
            <v>9937.7800000000007</v>
          </cell>
        </row>
        <row r="1572">
          <cell r="G1572" t="str">
            <v>3.1.7.21.99.01 - Prestação de Serviços de Man</v>
          </cell>
          <cell r="I1572">
            <v>6937.78</v>
          </cell>
          <cell r="J1572">
            <v>3000</v>
          </cell>
          <cell r="K1572">
            <v>9937.7800000000007</v>
          </cell>
        </row>
        <row r="1573">
          <cell r="H1573" t="str">
            <v>3172199010 Serv Prest Manutençao Geral p/PJ (Realizado)</v>
          </cell>
          <cell r="I1573">
            <v>6937.78</v>
          </cell>
          <cell r="J1573">
            <v>3000</v>
          </cell>
          <cell r="K1573">
            <v>9937.7800000000007</v>
          </cell>
        </row>
        <row r="1574">
          <cell r="G1574" t="str">
            <v>3.1.7.21.99.02 - Serviços Prestados de Manute</v>
          </cell>
          <cell r="I1574">
            <v>0</v>
          </cell>
          <cell r="J1574">
            <v>0</v>
          </cell>
          <cell r="K1574">
            <v>0</v>
          </cell>
        </row>
        <row r="1575">
          <cell r="H1575" t="str">
            <v>3172199020 Serv Prest Manutençao Geral p/Coop Trab (Realiz)</v>
          </cell>
          <cell r="I1575">
            <v>0</v>
          </cell>
          <cell r="J1575">
            <v>0</v>
          </cell>
          <cell r="K1575">
            <v>0</v>
          </cell>
        </row>
        <row r="1576">
          <cell r="G1576" t="str">
            <v>3.1.7.21.99.04 - Prestação de Serviços de Man</v>
          </cell>
          <cell r="I1576">
            <v>0</v>
          </cell>
          <cell r="J1576">
            <v>0</v>
          </cell>
          <cell r="K1576">
            <v>0</v>
          </cell>
        </row>
        <row r="1577">
          <cell r="H1577" t="str">
            <v>3172199040 Serv Prest Manut Geral p/ PF s/Vin Empr (Realiz)</v>
          </cell>
          <cell r="I1577">
            <v>0</v>
          </cell>
          <cell r="J1577">
            <v>0</v>
          </cell>
          <cell r="K1577">
            <v>0</v>
          </cell>
        </row>
        <row r="1578">
          <cell r="D1578" t="str">
            <v>3.1.7.35 - Despesas com Comunicações</v>
          </cell>
          <cell r="I1578">
            <v>244843.92</v>
          </cell>
          <cell r="J1578">
            <v>40124.639999999999</v>
          </cell>
          <cell r="K1578">
            <v>284968.56</v>
          </cell>
        </row>
        <row r="1579">
          <cell r="F1579" t="str">
            <v>3.1.7.35.01 - Despesas com Correspondencias</v>
          </cell>
          <cell r="I1579">
            <v>77429.429999999993</v>
          </cell>
          <cell r="J1579">
            <v>13233.22</v>
          </cell>
          <cell r="K1579">
            <v>90662.65</v>
          </cell>
        </row>
        <row r="1580">
          <cell r="G1580" t="str">
            <v>3.1.7.35.01.01 - Despesas com Malote</v>
          </cell>
          <cell r="I1580">
            <v>67935.240000000005</v>
          </cell>
          <cell r="J1580">
            <v>12169.4</v>
          </cell>
          <cell r="K1580">
            <v>80104.639999999999</v>
          </cell>
        </row>
        <row r="1581">
          <cell r="H1581" t="str">
            <v>3173501010 Desp Correspondencia-Malote (Realizado)</v>
          </cell>
          <cell r="I1581">
            <v>67935.240000000005</v>
          </cell>
          <cell r="J1581">
            <v>12169.4</v>
          </cell>
          <cell r="K1581">
            <v>80104.639999999999</v>
          </cell>
        </row>
        <row r="1582">
          <cell r="G1582" t="str">
            <v>3.1.7.35.01.02 - Despesas com Postais</v>
          </cell>
          <cell r="I1582">
            <v>9494.19</v>
          </cell>
          <cell r="J1582">
            <v>1063.82</v>
          </cell>
          <cell r="K1582">
            <v>10558.01</v>
          </cell>
        </row>
        <row r="1583">
          <cell r="H1583" t="str">
            <v>3173501020 Desp Correspondencia-Postais (Realizado)</v>
          </cell>
          <cell r="I1583">
            <v>9494.19</v>
          </cell>
          <cell r="J1583">
            <v>1063.82</v>
          </cell>
          <cell r="K1583">
            <v>10558.01</v>
          </cell>
        </row>
        <row r="1584">
          <cell r="F1584" t="str">
            <v>3.1.7.35.05 - Despesas com Telecomunicações</v>
          </cell>
          <cell r="I1584">
            <v>167414.49</v>
          </cell>
          <cell r="J1584">
            <v>26891.42</v>
          </cell>
          <cell r="K1584">
            <v>194305.91</v>
          </cell>
        </row>
        <row r="1585">
          <cell r="G1585" t="str">
            <v>3.1.7.35.05.01 - Despesas com Telefonia Fixa</v>
          </cell>
          <cell r="I1585">
            <v>-8298.66</v>
          </cell>
          <cell r="J1585">
            <v>-4094.61</v>
          </cell>
          <cell r="K1585">
            <v>-12393.27</v>
          </cell>
        </row>
        <row r="1586">
          <cell r="H1586" t="str">
            <v>3173505010 Desp Telec-Desp c/Telefonia Fixa (Realizado)</v>
          </cell>
          <cell r="I1586">
            <v>-8298.66</v>
          </cell>
          <cell r="J1586">
            <v>-4094.61</v>
          </cell>
          <cell r="K1586">
            <v>-12393.27</v>
          </cell>
        </row>
        <row r="1587">
          <cell r="G1587" t="str">
            <v>3.1.7.35.05.02 - Despesas com Telefonia Móvel</v>
          </cell>
          <cell r="I1587">
            <v>64432.37</v>
          </cell>
          <cell r="J1587">
            <v>7729.62</v>
          </cell>
          <cell r="K1587">
            <v>72161.990000000005</v>
          </cell>
        </row>
        <row r="1588">
          <cell r="H1588" t="str">
            <v>3173505020 Desp Telec-Desp c/Telefonia Movel (Realizado)</v>
          </cell>
          <cell r="I1588">
            <v>64432.37</v>
          </cell>
          <cell r="J1588">
            <v>7729.62</v>
          </cell>
          <cell r="K1588">
            <v>72161.990000000005</v>
          </cell>
        </row>
        <row r="1589">
          <cell r="G1589" t="str">
            <v>3.1.7.35.05.03 - Despesas com Comunicação de</v>
          </cell>
          <cell r="I1589">
            <v>71524.87</v>
          </cell>
          <cell r="J1589">
            <v>14197.28</v>
          </cell>
          <cell r="K1589">
            <v>85722.15</v>
          </cell>
        </row>
        <row r="1590">
          <cell r="H1590" t="str">
            <v>3173505030 Desp Telec-Desp Comun Dados EC/FC Internet(Realiz)</v>
          </cell>
          <cell r="I1590">
            <v>71524.87</v>
          </cell>
          <cell r="J1590">
            <v>14197.28</v>
          </cell>
          <cell r="K1590">
            <v>85722.15</v>
          </cell>
        </row>
        <row r="1591">
          <cell r="G1591" t="str">
            <v>3.1.7.35.05.04 - Despesas com Comunicação de</v>
          </cell>
          <cell r="I1591">
            <v>34261.910000000003</v>
          </cell>
          <cell r="J1591">
            <v>8063.1</v>
          </cell>
          <cell r="K1591">
            <v>42325.01</v>
          </cell>
        </row>
        <row r="1592">
          <cell r="H1592" t="str">
            <v>3173505040 Desp Telec-Desp Comum Dados Internet (Realizado)</v>
          </cell>
          <cell r="I1592">
            <v>34261.910000000003</v>
          </cell>
          <cell r="J1592">
            <v>8063.1</v>
          </cell>
          <cell r="K1592">
            <v>42325.01</v>
          </cell>
        </row>
        <row r="1593">
          <cell r="G1593" t="str">
            <v>3.1.7.35.05.05 - Despesas com Comunicação de</v>
          </cell>
          <cell r="I1593">
            <v>0</v>
          </cell>
          <cell r="J1593">
            <v>0</v>
          </cell>
          <cell r="K1593">
            <v>0</v>
          </cell>
        </row>
        <row r="1594">
          <cell r="H1594" t="str">
            <v>3173505050 Desp Telec-Desp Comum Dados Subestaçao (Realizado)</v>
          </cell>
          <cell r="I1594">
            <v>0</v>
          </cell>
          <cell r="J1594">
            <v>0</v>
          </cell>
          <cell r="K1594">
            <v>0</v>
          </cell>
        </row>
        <row r="1595">
          <cell r="G1595" t="str">
            <v>3.1.7.35.05.06 - Despesas com Comunicação de</v>
          </cell>
          <cell r="I1595">
            <v>2365.84</v>
          </cell>
          <cell r="J1595">
            <v>484.99</v>
          </cell>
          <cell r="K1595">
            <v>2850.83</v>
          </cell>
        </row>
        <row r="1596">
          <cell r="H1596" t="str">
            <v>3173505060 Desp Telec-Desp Comum Dados Banda Larga(Realizado)</v>
          </cell>
          <cell r="I1596">
            <v>2365.84</v>
          </cell>
          <cell r="J1596">
            <v>484.99</v>
          </cell>
          <cell r="K1596">
            <v>2850.83</v>
          </cell>
        </row>
        <row r="1597">
          <cell r="G1597" t="str">
            <v>3.1.7.35.05.07 - Despesas com Comunicação de</v>
          </cell>
          <cell r="I1597">
            <v>3128.16</v>
          </cell>
          <cell r="J1597">
            <v>511.04</v>
          </cell>
          <cell r="K1597">
            <v>3639.2</v>
          </cell>
        </row>
        <row r="1598">
          <cell r="H1598" t="str">
            <v>3173505070 Desp Telec-Desp Comum Dados Video Conferen(Realiz)</v>
          </cell>
          <cell r="I1598">
            <v>3128.16</v>
          </cell>
          <cell r="J1598">
            <v>511.04</v>
          </cell>
          <cell r="K1598">
            <v>3639.2</v>
          </cell>
        </row>
        <row r="1599">
          <cell r="D1599" t="str">
            <v>3.1.7.40 - Despesas Legais e Fiscais</v>
          </cell>
          <cell r="I1599">
            <v>1145345.71</v>
          </cell>
          <cell r="J1599">
            <v>208025.91</v>
          </cell>
          <cell r="K1599">
            <v>1353371.62</v>
          </cell>
        </row>
        <row r="1600">
          <cell r="F1600" t="str">
            <v>3.1.7.40.01 - Despesas Legais</v>
          </cell>
          <cell r="I1600">
            <v>118921.2</v>
          </cell>
          <cell r="J1600">
            <v>4171.91</v>
          </cell>
          <cell r="K1600">
            <v>123093.11</v>
          </cell>
        </row>
        <row r="1601">
          <cell r="G1601" t="str">
            <v>3.1.7.40.01.01 - Despesas com Publicações de</v>
          </cell>
          <cell r="I1601">
            <v>26965.31</v>
          </cell>
          <cell r="J1601">
            <v>73.599999999999994</v>
          </cell>
          <cell r="K1601">
            <v>27038.91</v>
          </cell>
        </row>
        <row r="1602">
          <cell r="H1602" t="str">
            <v>3174001010 DLF-Desp c/Publicidade Atas e Balanços (Realizado)</v>
          </cell>
          <cell r="I1602">
            <v>26965.31</v>
          </cell>
          <cell r="J1602">
            <v>73.599999999999994</v>
          </cell>
          <cell r="K1602">
            <v>27038.91</v>
          </cell>
        </row>
        <row r="1603">
          <cell r="G1603" t="str">
            <v>3.1.7.40.01.02 - Despesas com Escrituras, Pro</v>
          </cell>
          <cell r="I1603">
            <v>170</v>
          </cell>
          <cell r="J1603">
            <v>0</v>
          </cell>
          <cell r="K1603">
            <v>170</v>
          </cell>
        </row>
        <row r="1604">
          <cell r="H1604" t="str">
            <v>3174001020 DLF-Desp Escritur Procuraçoes e Contratos (Realiz)</v>
          </cell>
          <cell r="I1604">
            <v>170</v>
          </cell>
          <cell r="J1604">
            <v>0</v>
          </cell>
          <cell r="K1604">
            <v>170</v>
          </cell>
        </row>
        <row r="1605">
          <cell r="G1605" t="str">
            <v>3.1.7.40.01.03 - Despesas com Autentição e Re</v>
          </cell>
          <cell r="I1605">
            <v>12452.61</v>
          </cell>
          <cell r="J1605">
            <v>783.51</v>
          </cell>
          <cell r="K1605">
            <v>13236.12</v>
          </cell>
        </row>
        <row r="1606">
          <cell r="H1606" t="str">
            <v>3174001030 DLF-Desp Autenticidade Reconhecde Firmas (Realiz)</v>
          </cell>
          <cell r="I1606">
            <v>12452.61</v>
          </cell>
          <cell r="J1606">
            <v>783.51</v>
          </cell>
          <cell r="K1606">
            <v>13236.12</v>
          </cell>
        </row>
        <row r="1607">
          <cell r="G1607" t="str">
            <v>3.1.7.40.01.04 - Despesas com Custas Judiciai</v>
          </cell>
          <cell r="I1607">
            <v>25204.63</v>
          </cell>
          <cell r="J1607">
            <v>0</v>
          </cell>
          <cell r="K1607">
            <v>25204.63</v>
          </cell>
        </row>
        <row r="1608">
          <cell r="H1608" t="str">
            <v>3174001040 DLF-Desp c/ Custas Judiciais (Realizado)</v>
          </cell>
          <cell r="I1608">
            <v>25204.63</v>
          </cell>
          <cell r="J1608">
            <v>0</v>
          </cell>
          <cell r="K1608">
            <v>25204.63</v>
          </cell>
        </row>
        <row r="1609">
          <cell r="G1609" t="str">
            <v>3.1.7.40.01.99 - Outras Despesas Legais</v>
          </cell>
          <cell r="I1609">
            <v>54128.65</v>
          </cell>
          <cell r="J1609">
            <v>3314.8</v>
          </cell>
          <cell r="K1609">
            <v>57443.45</v>
          </cell>
        </row>
        <row r="1610">
          <cell r="H1610" t="str">
            <v>3174001990 DLF-Outras Despesas Legais (Realizado)</v>
          </cell>
          <cell r="I1610">
            <v>54128.65</v>
          </cell>
          <cell r="J1610">
            <v>3314.8</v>
          </cell>
          <cell r="K1610">
            <v>57443.45</v>
          </cell>
        </row>
        <row r="1611">
          <cell r="F1611" t="str">
            <v>3.1.7.40.02 - Despesas com Impostos, Taxas e</v>
          </cell>
          <cell r="I1611">
            <v>1021296.31</v>
          </cell>
          <cell r="J1611">
            <v>203854</v>
          </cell>
          <cell r="K1611">
            <v>1225150.31</v>
          </cell>
        </row>
        <row r="1612">
          <cell r="G1612" t="str">
            <v>3.1.7.40.02.01 - Contribuição Sindical Patron</v>
          </cell>
          <cell r="I1612">
            <v>3338.82</v>
          </cell>
          <cell r="J1612">
            <v>0</v>
          </cell>
          <cell r="K1612">
            <v>3338.82</v>
          </cell>
        </row>
        <row r="1613">
          <cell r="H1613" t="str">
            <v>3174002010 DITC-Contribuiçao Sindical Patronal (Realizado)</v>
          </cell>
          <cell r="I1613">
            <v>3338.82</v>
          </cell>
          <cell r="J1613">
            <v>0</v>
          </cell>
          <cell r="K1613">
            <v>3338.82</v>
          </cell>
        </row>
        <row r="1614">
          <cell r="G1614" t="str">
            <v>3.1.7.40.02.02 - Predial e Territorial</v>
          </cell>
          <cell r="I1614">
            <v>1002036.4</v>
          </cell>
          <cell r="J1614">
            <v>200407.29</v>
          </cell>
          <cell r="K1614">
            <v>1202443.69</v>
          </cell>
        </row>
        <row r="1615">
          <cell r="H1615" t="str">
            <v>3174002020 DITC-Predial e Territorial (Realizado)</v>
          </cell>
          <cell r="I1615">
            <v>938366.4</v>
          </cell>
          <cell r="J1615">
            <v>187673.29</v>
          </cell>
          <cell r="K1615">
            <v>1126039.69</v>
          </cell>
        </row>
        <row r="1616">
          <cell r="H1616" t="str">
            <v>3174002021 DITC-Provisao Imposto Predial Territorial (Realiz)</v>
          </cell>
          <cell r="I1616">
            <v>63670</v>
          </cell>
          <cell r="J1616">
            <v>12734</v>
          </cell>
          <cell r="K1616">
            <v>76404</v>
          </cell>
        </row>
        <row r="1617">
          <cell r="H1617" t="str">
            <v>3174002022 DITC-Rev Prov Imposto Predial Territorial (Realiz)</v>
          </cell>
          <cell r="I1617">
            <v>0</v>
          </cell>
          <cell r="J1617">
            <v>0</v>
          </cell>
          <cell r="K1617">
            <v>0</v>
          </cell>
        </row>
        <row r="1618">
          <cell r="G1618" t="str">
            <v>3.1.7.40.02.03 - Licença e Funcionamento</v>
          </cell>
          <cell r="I1618">
            <v>8008.8</v>
          </cell>
          <cell r="J1618">
            <v>2669.59</v>
          </cell>
          <cell r="K1618">
            <v>10678.39</v>
          </cell>
        </row>
        <row r="1619">
          <cell r="H1619" t="str">
            <v>3174002030 DITC-Licença e Funcionamento (Realizado)</v>
          </cell>
          <cell r="I1619">
            <v>8008.8</v>
          </cell>
          <cell r="J1619">
            <v>2669.59</v>
          </cell>
          <cell r="K1619">
            <v>10678.39</v>
          </cell>
        </row>
        <row r="1620">
          <cell r="G1620" t="str">
            <v>3.1.7.40.02.04 - ICMS s/Aquisição de Imobiliz</v>
          </cell>
          <cell r="I1620">
            <v>3260.28</v>
          </cell>
          <cell r="J1620">
            <v>777.12</v>
          </cell>
          <cell r="K1620">
            <v>4037.4</v>
          </cell>
        </row>
        <row r="1621">
          <cell r="H1621" t="str">
            <v>3174002040 DITC-ICMS s/Aquisiçao de Imobilizado (Realizado)</v>
          </cell>
          <cell r="I1621">
            <v>3260.28</v>
          </cell>
          <cell r="J1621">
            <v>777.12</v>
          </cell>
          <cell r="K1621">
            <v>4037.4</v>
          </cell>
        </row>
        <row r="1622">
          <cell r="G1622" t="str">
            <v>3.1.7.40.02.05 - ICMS - Débitos Extemporaneos</v>
          </cell>
          <cell r="I1622">
            <v>0</v>
          </cell>
          <cell r="J1622">
            <v>0</v>
          </cell>
          <cell r="K1622">
            <v>0</v>
          </cell>
        </row>
        <row r="1623">
          <cell r="H1623" t="str">
            <v>3174002050 DITC-ICMS-Debitos Extemporaneos (Realizado)</v>
          </cell>
          <cell r="I1623">
            <v>0</v>
          </cell>
          <cell r="J1623">
            <v>0</v>
          </cell>
          <cell r="K1623">
            <v>0</v>
          </cell>
        </row>
        <row r="1624">
          <cell r="G1624" t="str">
            <v>3.1.7.40.02.06 - Taxas Municipais, Estaduais</v>
          </cell>
          <cell r="I1624">
            <v>4652.01</v>
          </cell>
          <cell r="J1624">
            <v>0</v>
          </cell>
          <cell r="K1624">
            <v>4652.01</v>
          </cell>
        </row>
        <row r="1625">
          <cell r="H1625" t="str">
            <v>3174002060 DITC-Txs Municipais,Estaduais,Federais (Realizado)</v>
          </cell>
          <cell r="I1625">
            <v>4652.01</v>
          </cell>
          <cell r="J1625">
            <v>0</v>
          </cell>
          <cell r="K1625">
            <v>4652.01</v>
          </cell>
        </row>
        <row r="1626">
          <cell r="F1626" t="str">
            <v>3.1.7.40.03 - Multas</v>
          </cell>
          <cell r="I1626">
            <v>5128.2</v>
          </cell>
          <cell r="J1626">
            <v>0</v>
          </cell>
          <cell r="K1626">
            <v>5128.2</v>
          </cell>
        </row>
        <row r="1627">
          <cell r="G1627" t="str">
            <v>3.1.7.40.03.01 - Multas Fiscais Indedutiveis</v>
          </cell>
          <cell r="I1627">
            <v>5128.2</v>
          </cell>
          <cell r="J1627">
            <v>0</v>
          </cell>
          <cell r="K1627">
            <v>5128.2</v>
          </cell>
        </row>
        <row r="1628">
          <cell r="H1628" t="str">
            <v>3174003010 Multas Fiscais Indedutiveis (Realizado)</v>
          </cell>
          <cell r="I1628">
            <v>5128.2</v>
          </cell>
          <cell r="J1628">
            <v>0</v>
          </cell>
          <cell r="K1628">
            <v>5128.2</v>
          </cell>
        </row>
        <row r="1629">
          <cell r="G1629" t="str">
            <v>3.1.7.40.03.02 - Multas Fiscais Dedutiveis</v>
          </cell>
          <cell r="I1629">
            <v>0</v>
          </cell>
          <cell r="J1629">
            <v>0</v>
          </cell>
          <cell r="K1629">
            <v>0</v>
          </cell>
        </row>
        <row r="1630">
          <cell r="H1630" t="str">
            <v>3174003020 Multas Fiscais Dedutiveis (Realizado)</v>
          </cell>
          <cell r="I1630">
            <v>0</v>
          </cell>
          <cell r="J1630">
            <v>0</v>
          </cell>
          <cell r="K1630">
            <v>0</v>
          </cell>
        </row>
        <row r="1631">
          <cell r="G1631" t="str">
            <v>3.1.7.40.03.03 - Multas Contratuais</v>
          </cell>
          <cell r="I1631">
            <v>0</v>
          </cell>
          <cell r="J1631">
            <v>0</v>
          </cell>
          <cell r="K1631">
            <v>0</v>
          </cell>
        </row>
        <row r="1632">
          <cell r="H1632" t="str">
            <v>3174003030 Multas Contratuais (Realizado)</v>
          </cell>
          <cell r="I1632">
            <v>0</v>
          </cell>
          <cell r="J1632">
            <v>0</v>
          </cell>
          <cell r="K1632">
            <v>0</v>
          </cell>
        </row>
        <row r="1633">
          <cell r="D1633" t="str">
            <v>3.1.7.50 - Despesas com Seguros</v>
          </cell>
          <cell r="I1633">
            <v>1121995.29</v>
          </cell>
          <cell r="J1633">
            <v>227584.48</v>
          </cell>
          <cell r="K1633">
            <v>1349579.77</v>
          </cell>
        </row>
        <row r="1634">
          <cell r="F1634" t="str">
            <v>3.1.7.50.01 - Despesas com Seguros</v>
          </cell>
          <cell r="I1634">
            <v>1121995.29</v>
          </cell>
          <cell r="J1634">
            <v>227584.48</v>
          </cell>
          <cell r="K1634">
            <v>1349579.77</v>
          </cell>
        </row>
        <row r="1635">
          <cell r="G1635" t="str">
            <v>3.1.7.50.01.01 - Seguro de Automoveis</v>
          </cell>
          <cell r="I1635">
            <v>16364.67</v>
          </cell>
          <cell r="J1635">
            <v>8797.9500000000007</v>
          </cell>
          <cell r="K1635">
            <v>25162.62</v>
          </cell>
        </row>
        <row r="1636">
          <cell r="H1636" t="str">
            <v>3175001010 Desp Seguro-Automoveis (Realizado)</v>
          </cell>
          <cell r="I1636">
            <v>16364.67</v>
          </cell>
          <cell r="J1636">
            <v>8797.9500000000007</v>
          </cell>
          <cell r="K1636">
            <v>25162.62</v>
          </cell>
        </row>
        <row r="1637">
          <cell r="G1637" t="str">
            <v>3.1.7.50.01.02 - Seguro de Responsabilidade C</v>
          </cell>
          <cell r="I1637">
            <v>284987.09999999998</v>
          </cell>
          <cell r="J1637">
            <v>51591.16</v>
          </cell>
          <cell r="K1637">
            <v>336578.26</v>
          </cell>
        </row>
        <row r="1638">
          <cell r="H1638" t="str">
            <v>3175001020 Desp Seguro-Responsabilidade Civil (Realizado)</v>
          </cell>
          <cell r="I1638">
            <v>284987.09999999998</v>
          </cell>
          <cell r="J1638">
            <v>51591.16</v>
          </cell>
          <cell r="K1638">
            <v>336578.26</v>
          </cell>
        </row>
        <row r="1639">
          <cell r="G1639" t="str">
            <v>3.1.7.50.01.03 - Seguro de Risco Nomeado</v>
          </cell>
          <cell r="I1639">
            <v>733386.25</v>
          </cell>
          <cell r="J1639">
            <v>146677.25</v>
          </cell>
          <cell r="K1639">
            <v>880063.5</v>
          </cell>
        </row>
        <row r="1640">
          <cell r="H1640" t="str">
            <v>3175001030 Desp Seguro-Risco Nomeado (Realizado)</v>
          </cell>
          <cell r="I1640">
            <v>733386.25</v>
          </cell>
          <cell r="J1640">
            <v>146677.25</v>
          </cell>
          <cell r="K1640">
            <v>880063.5</v>
          </cell>
        </row>
        <row r="1641">
          <cell r="G1641" t="str">
            <v>3.1.7.50.01.04 - Seguro de Riscos Diversos</v>
          </cell>
          <cell r="I1641">
            <v>2590.6</v>
          </cell>
          <cell r="J1641">
            <v>518.12</v>
          </cell>
          <cell r="K1641">
            <v>3108.72</v>
          </cell>
        </row>
        <row r="1642">
          <cell r="H1642" t="str">
            <v>3175001040 Desp Seguro-Riscos Diversos (Realizado)</v>
          </cell>
          <cell r="I1642">
            <v>2590.6</v>
          </cell>
          <cell r="J1642">
            <v>518.12</v>
          </cell>
          <cell r="K1642">
            <v>3108.72</v>
          </cell>
        </row>
        <row r="1643">
          <cell r="G1643" t="str">
            <v>3.1.7.50.01.05 - Seguros de Resp Ambiental</v>
          </cell>
          <cell r="I1643">
            <v>84666.67</v>
          </cell>
          <cell r="J1643">
            <v>20000</v>
          </cell>
          <cell r="K1643">
            <v>104666.67</v>
          </cell>
        </row>
        <row r="1644">
          <cell r="H1644" t="str">
            <v>3175001050 Desp Seguro-Ambiental (Realizado)</v>
          </cell>
          <cell r="I1644">
            <v>84666.67</v>
          </cell>
          <cell r="J1644">
            <v>20000</v>
          </cell>
          <cell r="K1644">
            <v>104666.67</v>
          </cell>
        </row>
        <row r="1645">
          <cell r="D1645" t="str">
            <v>3.1.7.60 - Despesas com Realização de Eventos</v>
          </cell>
          <cell r="I1645">
            <v>158231.06</v>
          </cell>
          <cell r="J1645">
            <v>111888.44</v>
          </cell>
          <cell r="K1645">
            <v>270119.5</v>
          </cell>
        </row>
        <row r="1646">
          <cell r="F1646" t="str">
            <v>3.1.7.60.01 - Despesas com Realização de Even</v>
          </cell>
          <cell r="I1646">
            <v>8867.32</v>
          </cell>
          <cell r="J1646">
            <v>3348.96</v>
          </cell>
          <cell r="K1646">
            <v>12216.28</v>
          </cell>
        </row>
        <row r="1647">
          <cell r="G1647" t="str">
            <v>3.1.7.60.01.01 - Seminarios Fora da Cia</v>
          </cell>
          <cell r="I1647">
            <v>8867.32</v>
          </cell>
          <cell r="J1647">
            <v>0</v>
          </cell>
          <cell r="K1647">
            <v>8867.32</v>
          </cell>
        </row>
        <row r="1648">
          <cell r="H1648" t="str">
            <v>3176001010 Desp Real Even-Semi Fora da Cia Gestao (Realizado)</v>
          </cell>
          <cell r="I1648">
            <v>8867.32</v>
          </cell>
          <cell r="J1648">
            <v>0</v>
          </cell>
          <cell r="K1648">
            <v>8867.32</v>
          </cell>
        </row>
        <row r="1649">
          <cell r="G1649" t="str">
            <v>3.1.7.60.01.02 - Eventos</v>
          </cell>
          <cell r="I1649">
            <v>0</v>
          </cell>
          <cell r="J1649">
            <v>3348.96</v>
          </cell>
          <cell r="K1649">
            <v>3348.96</v>
          </cell>
        </row>
        <row r="1650">
          <cell r="H1650" t="str">
            <v>3176001020 Desp Reali Eventos-Eventos Gestao (Realizado)</v>
          </cell>
          <cell r="I1650">
            <v>0</v>
          </cell>
          <cell r="J1650">
            <v>3348.96</v>
          </cell>
          <cell r="K1650">
            <v>3348.96</v>
          </cell>
        </row>
        <row r="1651">
          <cell r="F1651" t="str">
            <v>3.1.7.60.02 - Despesas com Marketing (Realiza</v>
          </cell>
          <cell r="I1651">
            <v>149363.74</v>
          </cell>
          <cell r="J1651">
            <v>108539.48</v>
          </cell>
          <cell r="K1651">
            <v>257903.22</v>
          </cell>
        </row>
        <row r="1652">
          <cell r="G1652" t="str">
            <v>3.1.7.60.02.01 - Eventos de Marketing</v>
          </cell>
          <cell r="I1652">
            <v>300</v>
          </cell>
          <cell r="J1652">
            <v>0</v>
          </cell>
          <cell r="K1652">
            <v>300</v>
          </cell>
        </row>
        <row r="1653">
          <cell r="H1653" t="str">
            <v>3176002010 Desp Eventos Marketing (Realizado)</v>
          </cell>
          <cell r="I1653">
            <v>300</v>
          </cell>
          <cell r="J1653">
            <v>0</v>
          </cell>
          <cell r="K1653">
            <v>300</v>
          </cell>
        </row>
        <row r="1654">
          <cell r="G1654" t="str">
            <v>3.1.7.60.02.02 - Despesas com Relações Public</v>
          </cell>
          <cell r="I1654">
            <v>115813.74</v>
          </cell>
          <cell r="J1654">
            <v>100054.48</v>
          </cell>
          <cell r="K1654">
            <v>215868.22</v>
          </cell>
        </row>
        <row r="1655">
          <cell r="H1655" t="str">
            <v>3176002020 Desp c/Marketing-Relaçoes Publicas (Realizado)</v>
          </cell>
          <cell r="I1655">
            <v>115813.74</v>
          </cell>
          <cell r="J1655">
            <v>100054.48</v>
          </cell>
          <cell r="K1655">
            <v>215868.22</v>
          </cell>
        </row>
        <row r="1656">
          <cell r="G1656" t="str">
            <v>3.1.7.60.02.03 - Patrocínios</v>
          </cell>
          <cell r="I1656">
            <v>13800</v>
          </cell>
          <cell r="J1656">
            <v>2760</v>
          </cell>
          <cell r="K1656">
            <v>16560</v>
          </cell>
        </row>
        <row r="1657">
          <cell r="H1657" t="str">
            <v>3176002030 Desp c/Marketing-Patrocinios (Realizado)</v>
          </cell>
          <cell r="I1657">
            <v>13800</v>
          </cell>
          <cell r="J1657">
            <v>2760</v>
          </cell>
          <cell r="K1657">
            <v>16560</v>
          </cell>
        </row>
        <row r="1658">
          <cell r="G1658" t="str">
            <v>3.1.7.60.02.04 - Programa Fabrica Aberta</v>
          </cell>
          <cell r="I1658">
            <v>19450</v>
          </cell>
          <cell r="J1658">
            <v>5725</v>
          </cell>
          <cell r="K1658">
            <v>25175</v>
          </cell>
        </row>
        <row r="1659">
          <cell r="H1659" t="str">
            <v>3176002040 Desp c/Marketing-Programa Fabrica Aberta (Realiz)</v>
          </cell>
          <cell r="I1659">
            <v>19450</v>
          </cell>
          <cell r="J1659">
            <v>5725</v>
          </cell>
          <cell r="K1659">
            <v>25175</v>
          </cell>
        </row>
        <row r="1660">
          <cell r="D1660" t="str">
            <v>3.1.7.70 - Estudos e Pesquisas Científicas e</v>
          </cell>
          <cell r="I1660">
            <v>20760</v>
          </cell>
          <cell r="J1660">
            <v>0</v>
          </cell>
          <cell r="K1660">
            <v>20760</v>
          </cell>
        </row>
        <row r="1661">
          <cell r="F1661" t="str">
            <v>3.1.7.70.01 - Pesquisas Científicas e Tecnoló</v>
          </cell>
          <cell r="I1661">
            <v>0</v>
          </cell>
          <cell r="J1661">
            <v>0</v>
          </cell>
          <cell r="K1661">
            <v>0</v>
          </cell>
        </row>
        <row r="1662">
          <cell r="G1662" t="str">
            <v>3.1.7.70.01.01 - Pesquisas Científicas e Tecn</v>
          </cell>
          <cell r="I1662">
            <v>0</v>
          </cell>
          <cell r="J1662">
            <v>0</v>
          </cell>
          <cell r="K1662">
            <v>0</v>
          </cell>
        </row>
        <row r="1663">
          <cell r="H1663" t="str">
            <v>3177001010 EPCT-Pesq Cientif e Tecnolog Incentivados (Realiz)</v>
          </cell>
          <cell r="I1663">
            <v>0</v>
          </cell>
          <cell r="J1663">
            <v>0</v>
          </cell>
          <cell r="K1663">
            <v>0</v>
          </cell>
        </row>
        <row r="1664">
          <cell r="F1664" t="str">
            <v>3.1.7.70.02 - Estudos  e Pesquisas</v>
          </cell>
          <cell r="I1664">
            <v>20760</v>
          </cell>
          <cell r="J1664">
            <v>0</v>
          </cell>
          <cell r="K1664">
            <v>20760</v>
          </cell>
        </row>
        <row r="1665">
          <cell r="G1665" t="str">
            <v>3.1.7.70.02.02 - Estudos de Engenharia</v>
          </cell>
          <cell r="I1665">
            <v>20760</v>
          </cell>
          <cell r="J1665">
            <v>0</v>
          </cell>
          <cell r="K1665">
            <v>20760</v>
          </cell>
        </row>
        <row r="1666">
          <cell r="H1666" t="str">
            <v>3177002020 EPCT-Estudos de Engenharia(Realizado)</v>
          </cell>
          <cell r="I1666">
            <v>20760</v>
          </cell>
          <cell r="J1666">
            <v>0</v>
          </cell>
          <cell r="K1666">
            <v>20760</v>
          </cell>
        </row>
        <row r="1667">
          <cell r="D1667" t="str">
            <v>3.1.7.80 - Doações, Patrocínios e Contribuiçõ</v>
          </cell>
          <cell r="I1667">
            <v>574881.22</v>
          </cell>
          <cell r="J1667">
            <v>85162.02</v>
          </cell>
          <cell r="K1667">
            <v>660043.24</v>
          </cell>
        </row>
        <row r="1668">
          <cell r="F1668" t="str">
            <v>3.1.7.80.01 - Doações, Patrocínios e Contribu</v>
          </cell>
          <cell r="I1668">
            <v>21500.29</v>
          </cell>
          <cell r="J1668">
            <v>3984.65</v>
          </cell>
          <cell r="K1668">
            <v>25484.94</v>
          </cell>
        </row>
        <row r="1669">
          <cell r="G1669" t="str">
            <v>3.1.7.80.01.01 - Doações e Patrocínios de Car</v>
          </cell>
          <cell r="I1669">
            <v>0</v>
          </cell>
          <cell r="J1669">
            <v>0</v>
          </cell>
          <cell r="K1669">
            <v>0</v>
          </cell>
        </row>
        <row r="1670">
          <cell r="H1670" t="str">
            <v>3178001010 DPC Ind-Carater Cultural, Artistico Lei 8313/91(R)</v>
          </cell>
          <cell r="I1670">
            <v>0</v>
          </cell>
          <cell r="J1670">
            <v>0</v>
          </cell>
          <cell r="K1670">
            <v>0</v>
          </cell>
        </row>
        <row r="1671">
          <cell r="G1671" t="str">
            <v>3.1.7.80.01.03 - Doações a Instituições de En</v>
          </cell>
          <cell r="I1671">
            <v>0</v>
          </cell>
          <cell r="J1671">
            <v>0</v>
          </cell>
          <cell r="K1671">
            <v>0</v>
          </cell>
        </row>
        <row r="1672">
          <cell r="H1672" t="str">
            <v>3178001030 DPC Ind-Instit Ensin Pesq L 9249/95 art.13,§2 (R)</v>
          </cell>
          <cell r="I1672">
            <v>0</v>
          </cell>
          <cell r="J1672">
            <v>0</v>
          </cell>
          <cell r="K1672">
            <v>0</v>
          </cell>
        </row>
        <row r="1673">
          <cell r="G1673" t="str">
            <v>3.1.7.80.01.99 - Outras Contribuições e Doaçõ</v>
          </cell>
          <cell r="I1673">
            <v>21500.29</v>
          </cell>
          <cell r="J1673">
            <v>3984.65</v>
          </cell>
          <cell r="K1673">
            <v>25484.94</v>
          </cell>
        </row>
        <row r="1674">
          <cell r="H1674" t="str">
            <v>3178001990 DPC Ind-Outras Contrib/Doaçoes Indeduts (Realiz)</v>
          </cell>
          <cell r="I1674">
            <v>21500.29</v>
          </cell>
          <cell r="J1674">
            <v>3984.65</v>
          </cell>
          <cell r="K1674">
            <v>25484.94</v>
          </cell>
        </row>
        <row r="1675">
          <cell r="F1675" t="str">
            <v>3.1.7.80.02 - Doações, Patrocínios e Contribu</v>
          </cell>
          <cell r="I1675">
            <v>553380.93000000005</v>
          </cell>
          <cell r="J1675">
            <v>81177.37</v>
          </cell>
          <cell r="K1675">
            <v>634558.30000000005</v>
          </cell>
        </row>
        <row r="1676">
          <cell r="G1676" t="str">
            <v>3.1.7.80.02.04 - Doações a Entidades Civis (A</v>
          </cell>
          <cell r="I1676">
            <v>0</v>
          </cell>
          <cell r="J1676">
            <v>0</v>
          </cell>
          <cell r="K1676">
            <v>0</v>
          </cell>
        </row>
        <row r="1677">
          <cell r="H1677" t="str">
            <v>3178002040 DPC Ded-Doaçoes a Entidades Civis ADCC (Realizado)</v>
          </cell>
          <cell r="I1677">
            <v>0</v>
          </cell>
          <cell r="J1677">
            <v>0</v>
          </cell>
          <cell r="K1677">
            <v>0</v>
          </cell>
        </row>
        <row r="1678">
          <cell r="G1678" t="str">
            <v>3.1.7.80.02.05 - Contribuições a Entidades de</v>
          </cell>
          <cell r="I1678">
            <v>518380.93</v>
          </cell>
          <cell r="J1678">
            <v>81177.37</v>
          </cell>
          <cell r="K1678">
            <v>599558.30000000005</v>
          </cell>
        </row>
        <row r="1679">
          <cell r="H1679" t="str">
            <v>3178002050 DPC Ded-Contrib a Entidades de Classes (Realizado)</v>
          </cell>
          <cell r="I1679">
            <v>518380.93</v>
          </cell>
          <cell r="J1679">
            <v>81177.37</v>
          </cell>
          <cell r="K1679">
            <v>599558.30000000005</v>
          </cell>
        </row>
        <row r="1680">
          <cell r="G1680" t="str">
            <v>3.1.7.80.02.99 - Outras Contribuições e Doaçõ</v>
          </cell>
          <cell r="I1680">
            <v>35000</v>
          </cell>
          <cell r="J1680">
            <v>0</v>
          </cell>
          <cell r="K1680">
            <v>35000</v>
          </cell>
        </row>
        <row r="1681">
          <cell r="H1681" t="str">
            <v>3178002990 DPC Ded-Outras Contrib e Doaçoes Dedutivs (Realiz)</v>
          </cell>
          <cell r="I1681">
            <v>35000</v>
          </cell>
          <cell r="J1681">
            <v>0</v>
          </cell>
          <cell r="K1681">
            <v>35000</v>
          </cell>
        </row>
        <row r="1682">
          <cell r="D1682" t="str">
            <v>3.1.7.90 - Encargos de Depreciação e Amortiza</v>
          </cell>
          <cell r="I1682">
            <v>5008233.2300000004</v>
          </cell>
          <cell r="J1682">
            <v>958447.24</v>
          </cell>
          <cell r="K1682">
            <v>5966680.4699999997</v>
          </cell>
        </row>
        <row r="1683">
          <cell r="F1683" t="str">
            <v>3.1.7.90.01 - Encargos de Depreciação e Amort</v>
          </cell>
          <cell r="I1683">
            <v>5008233.2300000004</v>
          </cell>
          <cell r="J1683">
            <v>958447.24</v>
          </cell>
          <cell r="K1683">
            <v>5966680.4699999997</v>
          </cell>
        </row>
        <row r="1684">
          <cell r="G1684" t="str">
            <v>3.1.7.90.01.01 - Depreciação</v>
          </cell>
          <cell r="I1684">
            <v>728955.14</v>
          </cell>
          <cell r="J1684">
            <v>101021.29</v>
          </cell>
          <cell r="K1684">
            <v>829976.43</v>
          </cell>
        </row>
        <row r="1685">
          <cell r="H1685" t="str">
            <v>3179001010 Encarg de Deprec e Amort-Depreciaçao (Realizado)</v>
          </cell>
          <cell r="I1685">
            <v>538920.75</v>
          </cell>
          <cell r="J1685">
            <v>98850.49</v>
          </cell>
          <cell r="K1685">
            <v>637771.24</v>
          </cell>
        </row>
        <row r="1686">
          <cell r="H1686" t="str">
            <v>3179001011 Encarg de Depreciaçao Mais Valia (Realizado)</v>
          </cell>
          <cell r="I1686">
            <v>92995.28</v>
          </cell>
          <cell r="J1686">
            <v>710.35</v>
          </cell>
          <cell r="K1686">
            <v>93705.63</v>
          </cell>
        </row>
        <row r="1687">
          <cell r="H1687" t="str">
            <v>3179001012 Encs de Depreciaçao Mais Valia Comb Neg(Realizado)</v>
          </cell>
          <cell r="I1687">
            <v>92995.28</v>
          </cell>
          <cell r="J1687">
            <v>710.35</v>
          </cell>
          <cell r="K1687">
            <v>93705.63</v>
          </cell>
        </row>
        <row r="1688">
          <cell r="H1688" t="str">
            <v>3179001014 Encarg de Depreciaçao do AVP (Realizado)</v>
          </cell>
          <cell r="I1688">
            <v>4043.83</v>
          </cell>
          <cell r="J1688">
            <v>750.1</v>
          </cell>
          <cell r="K1688">
            <v>4793.93</v>
          </cell>
        </row>
        <row r="1689">
          <cell r="G1689" t="str">
            <v>3.1.7.90.01.05 - Amortização</v>
          </cell>
          <cell r="I1689">
            <v>1379152.89</v>
          </cell>
          <cell r="J1689">
            <v>277400.90999999997</v>
          </cell>
          <cell r="K1689">
            <v>1656553.8</v>
          </cell>
        </row>
        <row r="1690">
          <cell r="H1690" t="str">
            <v>3179001050 Encarg de Deprec e Amort-Amortizaçao (Realizado)</v>
          </cell>
          <cell r="I1690">
            <v>1374047.59</v>
          </cell>
          <cell r="J1690">
            <v>276381.08</v>
          </cell>
          <cell r="K1690">
            <v>1650428.67</v>
          </cell>
        </row>
        <row r="1691">
          <cell r="H1691" t="str">
            <v>3179001051 Encargs de Amortizaçao Mais Valia (Realizado)</v>
          </cell>
          <cell r="I1691">
            <v>0</v>
          </cell>
          <cell r="J1691">
            <v>0</v>
          </cell>
          <cell r="K1691">
            <v>0</v>
          </cell>
        </row>
        <row r="1692">
          <cell r="H1692" t="str">
            <v>3179001052 Encargs de Amortizaçao Mais Valia CN (Realizado)</v>
          </cell>
          <cell r="I1692">
            <v>0</v>
          </cell>
          <cell r="J1692">
            <v>0</v>
          </cell>
          <cell r="K1692">
            <v>0</v>
          </cell>
        </row>
        <row r="1693">
          <cell r="H1693" t="str">
            <v>3179001054 Encargs de Amortizaçao AVP (Realizado)</v>
          </cell>
          <cell r="I1693">
            <v>5105.3</v>
          </cell>
          <cell r="J1693">
            <v>1019.83</v>
          </cell>
          <cell r="K1693">
            <v>6125.13</v>
          </cell>
        </row>
        <row r="1694">
          <cell r="G1694" t="str">
            <v>3.1.7.90.01.10 - Amortização de Investimentos</v>
          </cell>
          <cell r="I1694">
            <v>2900125.2</v>
          </cell>
          <cell r="J1694">
            <v>580025.04</v>
          </cell>
          <cell r="K1694">
            <v>3480150.24</v>
          </cell>
        </row>
        <row r="1695">
          <cell r="H1695" t="str">
            <v>3179001104 Encargs de Amortizaçao Investimentos (Realizado)</v>
          </cell>
          <cell r="I1695">
            <v>2900125.2</v>
          </cell>
          <cell r="J1695">
            <v>580025.04</v>
          </cell>
          <cell r="K1695">
            <v>3480150.24</v>
          </cell>
        </row>
        <row r="1696">
          <cell r="D1696" t="str">
            <v>3.1.7.99 - Demais Despesas Administrativas/Op</v>
          </cell>
          <cell r="I1696">
            <v>798182.74</v>
          </cell>
          <cell r="J1696">
            <v>204235.14</v>
          </cell>
          <cell r="K1696">
            <v>1002417.88</v>
          </cell>
        </row>
        <row r="1697">
          <cell r="F1697" t="str">
            <v>3.1.7.99.05 - Despesas  com Alugueis/Locações</v>
          </cell>
          <cell r="I1697">
            <v>622779.51</v>
          </cell>
          <cell r="J1697">
            <v>164830.15</v>
          </cell>
          <cell r="K1697">
            <v>787609.66</v>
          </cell>
        </row>
        <row r="1698">
          <cell r="G1698" t="str">
            <v>3.1.7.99.05.01 - Locações de Equipamento de O</v>
          </cell>
          <cell r="I1698">
            <v>0</v>
          </cell>
          <cell r="J1698">
            <v>0</v>
          </cell>
          <cell r="K1698">
            <v>0</v>
          </cell>
        </row>
        <row r="1699">
          <cell r="H1699" t="str">
            <v>3179905010 Desp Alug/Loc.Oper-Locaçao Equip Operaçao (Realiz)</v>
          </cell>
          <cell r="I1699">
            <v>0</v>
          </cell>
          <cell r="J1699">
            <v>0</v>
          </cell>
          <cell r="K1699">
            <v>0</v>
          </cell>
        </row>
        <row r="1700">
          <cell r="G1700" t="str">
            <v>3.1.7.99.05.03 - Locações de Equipamento de E</v>
          </cell>
          <cell r="I1700">
            <v>0</v>
          </cell>
          <cell r="J1700">
            <v>0</v>
          </cell>
          <cell r="K1700">
            <v>0</v>
          </cell>
        </row>
        <row r="1701">
          <cell r="H1701" t="str">
            <v>3179905030 Desp Alug/Loc.Oper-Loc Equiptos Escritorio(Realiz)</v>
          </cell>
          <cell r="I1701">
            <v>0</v>
          </cell>
          <cell r="J1701">
            <v>0</v>
          </cell>
          <cell r="K1701">
            <v>0</v>
          </cell>
        </row>
        <row r="1702">
          <cell r="G1702" t="str">
            <v>3.1.7.99.05.04 - Locações de Equipamento de I</v>
          </cell>
          <cell r="I1702">
            <v>98733.38</v>
          </cell>
          <cell r="J1702">
            <v>17520.66</v>
          </cell>
          <cell r="K1702">
            <v>116254.04</v>
          </cell>
        </row>
        <row r="1703">
          <cell r="H1703" t="str">
            <v>3179905040 Desp Alug/Loc.Oper-Equip Impressao/Copias(Realiz)</v>
          </cell>
          <cell r="I1703">
            <v>98733.38</v>
          </cell>
          <cell r="J1703">
            <v>17520.66</v>
          </cell>
          <cell r="K1703">
            <v>116254.04</v>
          </cell>
        </row>
        <row r="1704">
          <cell r="G1704" t="str">
            <v>3.1.7.99.05.05 - Locações de Equipamento de T</v>
          </cell>
          <cell r="I1704">
            <v>10938.81</v>
          </cell>
          <cell r="J1704">
            <v>45321.96</v>
          </cell>
          <cell r="K1704">
            <v>56260.77</v>
          </cell>
        </row>
        <row r="1705">
          <cell r="H1705" t="str">
            <v>3179905050 Desp Alug/Loc.Oper-Loc de Equip Telefonia(Realiz)</v>
          </cell>
          <cell r="I1705">
            <v>10938.81</v>
          </cell>
          <cell r="J1705">
            <v>45321.96</v>
          </cell>
          <cell r="K1705">
            <v>56260.77</v>
          </cell>
        </row>
        <row r="1706">
          <cell r="G1706" t="str">
            <v>3.1.7.99.05.10 - Aluguel de Imovel</v>
          </cell>
          <cell r="I1706">
            <v>513107.32</v>
          </cell>
          <cell r="J1706">
            <v>101987.53</v>
          </cell>
          <cell r="K1706">
            <v>615094.85</v>
          </cell>
        </row>
        <row r="1707">
          <cell r="H1707" t="str">
            <v>3179905100 Desp Alug/Loc.Oper-Aluguel de Imovel (Realizado)</v>
          </cell>
          <cell r="I1707">
            <v>513107.32</v>
          </cell>
          <cell r="J1707">
            <v>101987.53</v>
          </cell>
          <cell r="K1707">
            <v>615094.85</v>
          </cell>
        </row>
        <row r="1708">
          <cell r="F1708" t="str">
            <v>3.1.7.99.10 - Assinatura de Livros, Informati</v>
          </cell>
          <cell r="I1708">
            <v>67422.570000000007</v>
          </cell>
          <cell r="J1708">
            <v>26506.01</v>
          </cell>
          <cell r="K1708">
            <v>93928.58</v>
          </cell>
        </row>
        <row r="1709">
          <cell r="G1709" t="str">
            <v>3.1.7.99.10.01 - Assinatura de Jornais e Revi</v>
          </cell>
          <cell r="I1709">
            <v>5710.38</v>
          </cell>
          <cell r="J1709">
            <v>-564.41999999999996</v>
          </cell>
          <cell r="K1709">
            <v>5145.96</v>
          </cell>
        </row>
        <row r="1710">
          <cell r="H1710" t="str">
            <v>3179910010 Assin L.IT.J.R-Ass de Jornais e Revistas (Realiz)</v>
          </cell>
          <cell r="I1710">
            <v>5710.38</v>
          </cell>
          <cell r="J1710">
            <v>-564.41999999999996</v>
          </cell>
          <cell r="K1710">
            <v>5145.96</v>
          </cell>
        </row>
        <row r="1711">
          <cell r="G1711" t="str">
            <v>3.1.7.99.10.03 - Assinatura de Livros e Infor</v>
          </cell>
          <cell r="I1711">
            <v>61712.19</v>
          </cell>
          <cell r="J1711">
            <v>27070.43</v>
          </cell>
          <cell r="K1711">
            <v>88782.62</v>
          </cell>
        </row>
        <row r="1712">
          <cell r="H1712" t="str">
            <v>3179910030 Assin L.IT.J.R-Ass Livros/Inform Tecnicos (Realiz)</v>
          </cell>
          <cell r="I1712">
            <v>61712.19</v>
          </cell>
          <cell r="J1712">
            <v>27070.43</v>
          </cell>
          <cell r="K1712">
            <v>88782.62</v>
          </cell>
        </row>
        <row r="1713">
          <cell r="F1713" t="str">
            <v>3.1.7.99.15 - Despesas c/impressão e Cópias f</v>
          </cell>
          <cell r="I1713">
            <v>10.8</v>
          </cell>
          <cell r="J1713">
            <v>10</v>
          </cell>
          <cell r="K1713">
            <v>20.8</v>
          </cell>
        </row>
        <row r="1714">
          <cell r="G1714" t="str">
            <v>3.1.7.99.15.01 - Despesas c/impressão e Cópia</v>
          </cell>
          <cell r="I1714">
            <v>10.8</v>
          </cell>
          <cell r="J1714">
            <v>10</v>
          </cell>
          <cell r="K1714">
            <v>20.8</v>
          </cell>
        </row>
        <row r="1715">
          <cell r="H1715" t="str">
            <v>3179915010 Desp c/Impressao e Copias fora da Cia (Realizado)</v>
          </cell>
          <cell r="I1715">
            <v>10.8</v>
          </cell>
          <cell r="J1715">
            <v>10</v>
          </cell>
          <cell r="K1715">
            <v>20.8</v>
          </cell>
        </row>
        <row r="1716">
          <cell r="F1716" t="str">
            <v>3.1.7.99.20 - Despesas com Veiculos</v>
          </cell>
          <cell r="I1716">
            <v>107969.86</v>
          </cell>
          <cell r="J1716">
            <v>12888.98</v>
          </cell>
          <cell r="K1716">
            <v>120858.84</v>
          </cell>
        </row>
        <row r="1717">
          <cell r="G1717" t="str">
            <v>3.1.7.99.20.01 - Abastecimento</v>
          </cell>
          <cell r="I1717">
            <v>22765.57</v>
          </cell>
          <cell r="J1717">
            <v>4915.8</v>
          </cell>
          <cell r="K1717">
            <v>27681.37</v>
          </cell>
        </row>
        <row r="1718">
          <cell r="H1718" t="str">
            <v>3179920010 Desp c/Veiculos-Abastecimento (Realizado)</v>
          </cell>
          <cell r="I1718">
            <v>22765.57</v>
          </cell>
          <cell r="J1718">
            <v>4915.8</v>
          </cell>
          <cell r="K1718">
            <v>27681.37</v>
          </cell>
        </row>
        <row r="1719">
          <cell r="G1719" t="str">
            <v>3.1.7.99.20.02 - Reparos e Manutenções</v>
          </cell>
          <cell r="I1719">
            <v>3481.5</v>
          </cell>
          <cell r="J1719">
            <v>180</v>
          </cell>
          <cell r="K1719">
            <v>3661.5</v>
          </cell>
        </row>
        <row r="1720">
          <cell r="H1720" t="str">
            <v>3179920020 Desp c/Veiculos-Reparos e Manutençoes (Realizado)</v>
          </cell>
          <cell r="I1720">
            <v>3481.5</v>
          </cell>
          <cell r="J1720">
            <v>180</v>
          </cell>
          <cell r="K1720">
            <v>3661.5</v>
          </cell>
        </row>
        <row r="1721">
          <cell r="G1721" t="str">
            <v>3.1.7.99.20.03 - Peças e Acessorios</v>
          </cell>
          <cell r="I1721">
            <v>5790.83</v>
          </cell>
          <cell r="J1721">
            <v>923.7</v>
          </cell>
          <cell r="K1721">
            <v>6714.53</v>
          </cell>
        </row>
        <row r="1722">
          <cell r="H1722" t="str">
            <v>3179920030 Desp c/Veiculos-Peças e Acessorios (Realizado)</v>
          </cell>
          <cell r="I1722">
            <v>5790.83</v>
          </cell>
          <cell r="J1722">
            <v>923.7</v>
          </cell>
          <cell r="K1722">
            <v>6714.53</v>
          </cell>
        </row>
        <row r="1723">
          <cell r="G1723" t="str">
            <v>3.1.7.99.20.04 - Lavagem e Lubrificação</v>
          </cell>
          <cell r="I1723">
            <v>1210.0999999999999</v>
          </cell>
          <cell r="J1723">
            <v>96</v>
          </cell>
          <cell r="K1723">
            <v>1306.0999999999999</v>
          </cell>
        </row>
        <row r="1724">
          <cell r="H1724" t="str">
            <v>3179920040 Desp c/Veiculos-Lavagem e Lubrificaçao (Realizado)</v>
          </cell>
          <cell r="I1724">
            <v>1210.0999999999999</v>
          </cell>
          <cell r="J1724">
            <v>96</v>
          </cell>
          <cell r="K1724">
            <v>1306.0999999999999</v>
          </cell>
        </row>
        <row r="1725">
          <cell r="G1725" t="str">
            <v>3.1.7.99.20.05 - Pedagio e Estacionamento</v>
          </cell>
          <cell r="I1725">
            <v>30045.21</v>
          </cell>
          <cell r="J1725">
            <v>6773.48</v>
          </cell>
          <cell r="K1725">
            <v>36818.69</v>
          </cell>
        </row>
        <row r="1726">
          <cell r="H1726" t="str">
            <v>3179920050 Desp c/Veiculos-Pedagio e Estacionam (Realizado)</v>
          </cell>
          <cell r="I1726">
            <v>30045.21</v>
          </cell>
          <cell r="J1726">
            <v>6773.48</v>
          </cell>
          <cell r="K1726">
            <v>36818.69</v>
          </cell>
        </row>
        <row r="1727">
          <cell r="G1727" t="str">
            <v>3.1.7.99.20.06 - Licenciamento</v>
          </cell>
          <cell r="I1727">
            <v>44676.65</v>
          </cell>
          <cell r="J1727">
            <v>0</v>
          </cell>
          <cell r="K1727">
            <v>44676.65</v>
          </cell>
        </row>
        <row r="1728">
          <cell r="H1728" t="str">
            <v>3179920060 Desp c/Veiculos-Licenciamento (Realizado)</v>
          </cell>
          <cell r="I1728">
            <v>44676.65</v>
          </cell>
          <cell r="J1728">
            <v>0</v>
          </cell>
          <cell r="K1728">
            <v>44676.65</v>
          </cell>
        </row>
        <row r="1729">
          <cell r="I1729">
            <v>11791667.99</v>
          </cell>
          <cell r="J1729">
            <v>563409.88</v>
          </cell>
          <cell r="K1729">
            <v>12355077.869999999</v>
          </cell>
        </row>
        <row r="1730">
          <cell r="C1730" t="str">
            <v>3.3.1 - OUTRAS DESPESAS E RECEITAS CORRENTES</v>
          </cell>
          <cell r="I1730">
            <v>11791667.99</v>
          </cell>
          <cell r="J1730">
            <v>563409.88</v>
          </cell>
          <cell r="K1730">
            <v>12355077.869999999</v>
          </cell>
        </row>
        <row r="1731">
          <cell r="D1731" t="str">
            <v>3.3.1.01 - Outras Despesas e Receitas Não Cor</v>
          </cell>
          <cell r="I1731">
            <v>2868823.37</v>
          </cell>
          <cell r="J1731">
            <v>563409.88</v>
          </cell>
          <cell r="K1731">
            <v>3432233.25</v>
          </cell>
        </row>
        <row r="1732">
          <cell r="F1732" t="str">
            <v>3.3.1.01.01 - Resultado Líquido de Investimen</v>
          </cell>
          <cell r="I1732">
            <v>-13081.58</v>
          </cell>
          <cell r="J1732">
            <v>-29.04</v>
          </cell>
          <cell r="K1732">
            <v>-13110.62</v>
          </cell>
        </row>
        <row r="1733">
          <cell r="G1733" t="str">
            <v>3.3.1.01.01.01 - Receita com Dividendos</v>
          </cell>
          <cell r="I1733">
            <v>-13081.58</v>
          </cell>
          <cell r="J1733">
            <v>-29.04</v>
          </cell>
          <cell r="K1733">
            <v>-13110.62</v>
          </cell>
        </row>
        <row r="1734">
          <cell r="H1734" t="str">
            <v>3310101010 Receita c/Dividendos Recebidos (Realizado)</v>
          </cell>
          <cell r="I1734">
            <v>-13081.58</v>
          </cell>
          <cell r="J1734">
            <v>-29.04</v>
          </cell>
          <cell r="K1734">
            <v>-13110.62</v>
          </cell>
        </row>
        <row r="1735">
          <cell r="G1735" t="str">
            <v>3.3.1.01.01.02 - Reserva para Desvalorização</v>
          </cell>
          <cell r="I1735">
            <v>0</v>
          </cell>
          <cell r="J1735">
            <v>0</v>
          </cell>
          <cell r="K1735">
            <v>0</v>
          </cell>
        </row>
        <row r="1736">
          <cell r="H1736" t="str">
            <v>3310101020 Rec/Desp. N. Corrente Reserva p/Desvaloriz Invest</v>
          </cell>
          <cell r="I1736">
            <v>0</v>
          </cell>
          <cell r="J1736">
            <v>0</v>
          </cell>
          <cell r="K1736">
            <v>0</v>
          </cell>
        </row>
        <row r="1737">
          <cell r="F1737" t="str">
            <v>3.3.1.01.05 - Resultado Liquido da Baixa de A</v>
          </cell>
          <cell r="I1737">
            <v>141314.25</v>
          </cell>
          <cell r="J1737">
            <v>7809.29</v>
          </cell>
          <cell r="K1737">
            <v>149123.54</v>
          </cell>
        </row>
        <row r="1738">
          <cell r="G1738" t="str">
            <v>3.3.1.01.05.01 - Receitas de Alienações de Be</v>
          </cell>
          <cell r="I1738">
            <v>-19313.330000000002</v>
          </cell>
          <cell r="J1738">
            <v>0</v>
          </cell>
          <cell r="K1738">
            <v>-19313.330000000002</v>
          </cell>
        </row>
        <row r="1739">
          <cell r="H1739" t="str">
            <v>3310105010 Res Liq Bx At Fixo-Rec Alienaç B/D At.Perman (R)</v>
          </cell>
          <cell r="I1739">
            <v>-19313.330000000002</v>
          </cell>
          <cell r="J1739">
            <v>0</v>
          </cell>
          <cell r="K1739">
            <v>-19313.330000000002</v>
          </cell>
        </row>
        <row r="1740">
          <cell r="G1740" t="str">
            <v>3.3.1.01.05.02 - (-) Valor Contábil dos Bens</v>
          </cell>
          <cell r="I1740">
            <v>160627.57999999999</v>
          </cell>
          <cell r="J1740">
            <v>7809.29</v>
          </cell>
          <cell r="K1740">
            <v>168436.87</v>
          </cell>
        </row>
        <row r="1741">
          <cell r="H1741" t="str">
            <v>3310105020 (-)R Liq Bx At Fix-Vlr Contabil B/D Baixados (R)</v>
          </cell>
          <cell r="I1741">
            <v>126146.32</v>
          </cell>
          <cell r="J1741">
            <v>5378.11</v>
          </cell>
          <cell r="K1741">
            <v>131524.43</v>
          </cell>
        </row>
        <row r="1742">
          <cell r="H1742" t="str">
            <v>3310105021 (-)R Liq Bx A Fix-Vr Contab B/D Baixados MV(R)</v>
          </cell>
          <cell r="I1742">
            <v>17240.63</v>
          </cell>
          <cell r="J1742">
            <v>1215.5899999999999</v>
          </cell>
          <cell r="K1742">
            <v>18456.22</v>
          </cell>
        </row>
        <row r="1743">
          <cell r="H1743" t="str">
            <v>3310105022 (-)R Liq Bx A Fix-Vr Contab B/D Baixados MVCN(R)</v>
          </cell>
          <cell r="I1743">
            <v>17240.63</v>
          </cell>
          <cell r="J1743">
            <v>1215.5899999999999</v>
          </cell>
          <cell r="K1743">
            <v>18456.22</v>
          </cell>
        </row>
        <row r="1744">
          <cell r="H1744" t="str">
            <v>3310105024 (-)R Liq Bx A Fix-Vr Contab B/D Baixados AVP(R)</v>
          </cell>
          <cell r="I1744">
            <v>0</v>
          </cell>
          <cell r="J1744">
            <v>0</v>
          </cell>
          <cell r="K1744">
            <v>0</v>
          </cell>
        </row>
        <row r="1745">
          <cell r="G1745" t="str">
            <v>3.3.1.01.05.03 - (-) Valor Contábil dos Bens</v>
          </cell>
          <cell r="I1745">
            <v>0</v>
          </cell>
          <cell r="J1745">
            <v>0</v>
          </cell>
          <cell r="K1745">
            <v>0</v>
          </cell>
        </row>
        <row r="1746">
          <cell r="H1746" t="str">
            <v>3310105030 Outros Custos dos Bens e Direitos Alienados (R)</v>
          </cell>
          <cell r="I1746">
            <v>0</v>
          </cell>
          <cell r="J1746">
            <v>0</v>
          </cell>
          <cell r="K1746">
            <v>0</v>
          </cell>
        </row>
        <row r="1747">
          <cell r="F1747" t="str">
            <v>3.3.1.01.08 - Impostos Recuperados</v>
          </cell>
          <cell r="I1747">
            <v>0</v>
          </cell>
          <cell r="J1747">
            <v>0</v>
          </cell>
          <cell r="K1747">
            <v>0</v>
          </cell>
        </row>
        <row r="1748">
          <cell r="G1748" t="str">
            <v>3.3.1.01.08.99 - Outros Impostos Recuperados</v>
          </cell>
          <cell r="I1748">
            <v>0</v>
          </cell>
          <cell r="J1748">
            <v>0</v>
          </cell>
          <cell r="K1748">
            <v>0</v>
          </cell>
        </row>
        <row r="1749">
          <cell r="H1749" t="str">
            <v>3310108990 Outros Imposto Recuperados (Realizado)</v>
          </cell>
          <cell r="I1749">
            <v>0</v>
          </cell>
          <cell r="J1749">
            <v>0</v>
          </cell>
          <cell r="K1749">
            <v>0</v>
          </cell>
        </row>
        <row r="1750">
          <cell r="F1750" t="str">
            <v>3.3.1.01.09 - Multas Contratuais Aplicadas</v>
          </cell>
          <cell r="I1750">
            <v>-164664</v>
          </cell>
          <cell r="J1750">
            <v>0</v>
          </cell>
          <cell r="K1750">
            <v>-164664</v>
          </cell>
        </row>
        <row r="1751">
          <cell r="G1751" t="str">
            <v>3.3.1.01.09.99 - Multas Contratuais Aplicadas</v>
          </cell>
          <cell r="I1751">
            <v>-164664</v>
          </cell>
          <cell r="J1751">
            <v>0</v>
          </cell>
          <cell r="K1751">
            <v>-164664</v>
          </cell>
        </row>
        <row r="1752">
          <cell r="H1752" t="str">
            <v>3310109990 Multas Contratuais Aplicadas</v>
          </cell>
          <cell r="I1752">
            <v>-164664</v>
          </cell>
          <cell r="J1752">
            <v>0</v>
          </cell>
          <cell r="K1752">
            <v>-164664</v>
          </cell>
        </row>
        <row r="1753">
          <cell r="F1753" t="str">
            <v>3.3.1.01.10 - Despesas com Processos Judiciai</v>
          </cell>
          <cell r="I1753">
            <v>2022079.36</v>
          </cell>
          <cell r="J1753">
            <v>713502.02</v>
          </cell>
          <cell r="K1753">
            <v>2735581.38</v>
          </cell>
        </row>
        <row r="1754">
          <cell r="G1754" t="str">
            <v>3.3.1.01.10.01 - Desps c/Processos Tributário</v>
          </cell>
          <cell r="I1754">
            <v>150545.87</v>
          </cell>
          <cell r="J1754">
            <v>-151409.45000000001</v>
          </cell>
          <cell r="K1754">
            <v>-863.58</v>
          </cell>
        </row>
        <row r="1755">
          <cell r="H1755" t="str">
            <v>3310110010 Desp c/Proc Jud-Tributarios (Realizado)</v>
          </cell>
          <cell r="I1755">
            <v>150545.87</v>
          </cell>
          <cell r="J1755">
            <v>0</v>
          </cell>
          <cell r="K1755">
            <v>150545.87</v>
          </cell>
        </row>
        <row r="1756">
          <cell r="H1756" t="str">
            <v>3310110011 Desp c/Proc Jud-Constit Contingencias Tributarias</v>
          </cell>
          <cell r="I1756">
            <v>0</v>
          </cell>
          <cell r="J1756">
            <v>35232.400000000001</v>
          </cell>
          <cell r="K1756">
            <v>35232.400000000001</v>
          </cell>
        </row>
        <row r="1757">
          <cell r="H1757" t="str">
            <v>3310110012 Desp c/Proc Jud-Reversao Contingencias Tributárias</v>
          </cell>
          <cell r="I1757">
            <v>0</v>
          </cell>
          <cell r="J1757">
            <v>-185070.79</v>
          </cell>
          <cell r="K1757">
            <v>-185070.79</v>
          </cell>
        </row>
        <row r="1758">
          <cell r="H1758" t="str">
            <v>3310110015 Desp c/Proc Jud-Tributarios (Recuperado)</v>
          </cell>
          <cell r="I1758">
            <v>0</v>
          </cell>
          <cell r="J1758">
            <v>-1571.06</v>
          </cell>
          <cell r="K1758">
            <v>-1571.06</v>
          </cell>
        </row>
        <row r="1759">
          <cell r="G1759" t="str">
            <v>3.3.1.01.10.02 - Desps c/Processos Trabalhist</v>
          </cell>
          <cell r="I1759">
            <v>1805106.46</v>
          </cell>
          <cell r="J1759">
            <v>861514</v>
          </cell>
          <cell r="K1759">
            <v>2666620.46</v>
          </cell>
        </row>
        <row r="1760">
          <cell r="H1760" t="str">
            <v>3310110020 Desp c/Proc Trabalhista (Realizado)</v>
          </cell>
          <cell r="I1760">
            <v>2044.26</v>
          </cell>
          <cell r="J1760">
            <v>0</v>
          </cell>
          <cell r="K1760">
            <v>2044.26</v>
          </cell>
        </row>
        <row r="1761">
          <cell r="H1761" t="str">
            <v>3310110021 Desp c/Proc Trab-Constit Contingenc Trabalhistas</v>
          </cell>
          <cell r="I1761">
            <v>1803062.2</v>
          </cell>
          <cell r="J1761">
            <v>861514</v>
          </cell>
          <cell r="K1761">
            <v>2664576.2000000002</v>
          </cell>
        </row>
        <row r="1762">
          <cell r="H1762" t="str">
            <v>3310110022 Desp c/Proc Trab-Rev Contingencia Trabalhistas</v>
          </cell>
          <cell r="I1762">
            <v>0</v>
          </cell>
          <cell r="J1762">
            <v>0</v>
          </cell>
          <cell r="K1762">
            <v>0</v>
          </cell>
        </row>
        <row r="1763">
          <cell r="G1763" t="str">
            <v>3.3.1.01.10.03 - Desps c/Processos Cíveis</v>
          </cell>
          <cell r="I1763">
            <v>66427.03</v>
          </cell>
          <cell r="J1763">
            <v>3397.47</v>
          </cell>
          <cell r="K1763">
            <v>69824.5</v>
          </cell>
        </row>
        <row r="1764">
          <cell r="H1764" t="str">
            <v>3310110030 Desp c/Proc Civeis (Realizado)</v>
          </cell>
          <cell r="I1764">
            <v>0</v>
          </cell>
          <cell r="J1764">
            <v>0</v>
          </cell>
          <cell r="K1764">
            <v>0</v>
          </cell>
        </row>
        <row r="1765">
          <cell r="H1765" t="str">
            <v>3310110031 Desp c/Proc Civeis-Constit Contingencias Civeis</v>
          </cell>
          <cell r="I1765">
            <v>66427.03</v>
          </cell>
          <cell r="J1765">
            <v>3397.47</v>
          </cell>
          <cell r="K1765">
            <v>69824.5</v>
          </cell>
        </row>
        <row r="1766">
          <cell r="H1766" t="str">
            <v>3310110032 Desp c/Proc Civeis-Rev de Contingencias Civeis</v>
          </cell>
          <cell r="I1766">
            <v>0</v>
          </cell>
          <cell r="J1766">
            <v>0</v>
          </cell>
          <cell r="K1766">
            <v>0</v>
          </cell>
        </row>
        <row r="1767">
          <cell r="F1767" t="str">
            <v>3.3.1.01.15 - Sinistros</v>
          </cell>
          <cell r="I1767">
            <v>0</v>
          </cell>
          <cell r="J1767">
            <v>0</v>
          </cell>
          <cell r="K1767">
            <v>0</v>
          </cell>
        </row>
        <row r="1768">
          <cell r="G1768" t="str">
            <v>3.3.1.01.15.01 - Sinistros Indenizados</v>
          </cell>
          <cell r="I1768">
            <v>0</v>
          </cell>
          <cell r="J1768">
            <v>0</v>
          </cell>
          <cell r="K1768">
            <v>0</v>
          </cell>
        </row>
        <row r="1769">
          <cell r="H1769" t="str">
            <v>3310115010 Sinistros Indenizado (Realizado)</v>
          </cell>
          <cell r="I1769">
            <v>0</v>
          </cell>
          <cell r="J1769">
            <v>0</v>
          </cell>
          <cell r="K1769">
            <v>0</v>
          </cell>
        </row>
        <row r="1770">
          <cell r="G1770" t="str">
            <v>3.3.1.01.15.02 - Sinistros não Indenizados</v>
          </cell>
          <cell r="I1770">
            <v>0</v>
          </cell>
          <cell r="J1770">
            <v>0</v>
          </cell>
          <cell r="K1770">
            <v>0</v>
          </cell>
        </row>
        <row r="1771">
          <cell r="H1771" t="str">
            <v>3310115020 Sinistro nao Indenizado (Realizados)</v>
          </cell>
          <cell r="I1771">
            <v>0</v>
          </cell>
          <cell r="J1771">
            <v>0</v>
          </cell>
          <cell r="K1771">
            <v>0</v>
          </cell>
        </row>
        <row r="1772">
          <cell r="F1772" t="str">
            <v>3.3.1.01.40 - Multas Fiscais</v>
          </cell>
          <cell r="I1772">
            <v>346849.62</v>
          </cell>
          <cell r="J1772">
            <v>9216.98</v>
          </cell>
          <cell r="K1772">
            <v>356066.6</v>
          </cell>
        </row>
        <row r="1773">
          <cell r="G1773" t="str">
            <v>3.3.1.01.40.01 - Multas Fiscais Indedutiveis</v>
          </cell>
          <cell r="I1773">
            <v>346849.62</v>
          </cell>
          <cell r="J1773">
            <v>9216.98</v>
          </cell>
          <cell r="K1773">
            <v>356066.6</v>
          </cell>
        </row>
        <row r="1774">
          <cell r="H1774" t="str">
            <v>3310140010 Desp n Cor Multas Indedutiveis (Realizado)</v>
          </cell>
          <cell r="I1774">
            <v>346849.62</v>
          </cell>
          <cell r="J1774">
            <v>9216.98</v>
          </cell>
          <cell r="K1774">
            <v>356066.6</v>
          </cell>
        </row>
        <row r="1775">
          <cell r="F1775" t="str">
            <v>3.3.1.01.90 - Perdas em Operações de Crédito</v>
          </cell>
          <cell r="I1775">
            <v>536325.72</v>
          </cell>
          <cell r="J1775">
            <v>-167089.37</v>
          </cell>
          <cell r="K1775">
            <v>369236.35</v>
          </cell>
        </row>
        <row r="1776">
          <cell r="G1776" t="str">
            <v>3.3.1.01.90.01 - Perdas em Operações de Crédi</v>
          </cell>
          <cell r="I1776">
            <v>536325.72</v>
          </cell>
          <cell r="J1776">
            <v>-167089.37</v>
          </cell>
          <cell r="K1776">
            <v>369236.35</v>
          </cell>
        </row>
        <row r="1777">
          <cell r="H1777" t="str">
            <v>3310190010 Perdas Operacoes de Credito Incobraveis (Realiz)</v>
          </cell>
          <cell r="I1777">
            <v>600895.57999999996</v>
          </cell>
          <cell r="J1777">
            <v>0</v>
          </cell>
          <cell r="K1777">
            <v>600895.57999999996</v>
          </cell>
        </row>
        <row r="1778">
          <cell r="H1778" t="str">
            <v>3310190011 Provisao Perdas em Opercao Credito-PCLD</v>
          </cell>
          <cell r="I1778">
            <v>499064.62</v>
          </cell>
          <cell r="J1778">
            <v>-167089.37</v>
          </cell>
          <cell r="K1778">
            <v>331975.25</v>
          </cell>
        </row>
        <row r="1779">
          <cell r="H1779" t="str">
            <v>3310190012 Reversap Provisao p/ Perdas Operacoes Cred-PCLD</v>
          </cell>
          <cell r="I1779">
            <v>-563634.48</v>
          </cell>
          <cell r="J1779">
            <v>0</v>
          </cell>
          <cell r="K1779">
            <v>-563634.48</v>
          </cell>
        </row>
        <row r="1780">
          <cell r="D1780" t="str">
            <v>3.3.1.02 - Outras Despesas e Receitas Corrent</v>
          </cell>
          <cell r="I1780">
            <v>8922844.6199999992</v>
          </cell>
          <cell r="J1780">
            <v>0</v>
          </cell>
          <cell r="K1780">
            <v>8922844.6199999992</v>
          </cell>
        </row>
        <row r="1781">
          <cell r="F1781" t="str">
            <v>3.3.1.02.01 - Resultados em Participações Soc</v>
          </cell>
          <cell r="I1781">
            <v>8922940.8399999999</v>
          </cell>
          <cell r="J1781">
            <v>0</v>
          </cell>
          <cell r="K1781">
            <v>8922940.8399999999</v>
          </cell>
        </row>
        <row r="1782">
          <cell r="G1782" t="str">
            <v>3.3.1.02.01.01 - Resultados Positivos em Part</v>
          </cell>
          <cell r="I1782">
            <v>0</v>
          </cell>
          <cell r="J1782">
            <v>0</v>
          </cell>
          <cell r="K1782">
            <v>0</v>
          </cell>
        </row>
        <row r="1783">
          <cell r="H1783" t="str">
            <v>3310201010 Result Positivo Participacoes Societarias (R)</v>
          </cell>
          <cell r="I1783">
            <v>0</v>
          </cell>
          <cell r="J1783">
            <v>0</v>
          </cell>
          <cell r="K1783">
            <v>0</v>
          </cell>
        </row>
        <row r="1784">
          <cell r="G1784" t="str">
            <v>3.3.1.02.01.02 - Resultados Negativo em Parti</v>
          </cell>
          <cell r="I1784">
            <v>8922940.8399999999</v>
          </cell>
          <cell r="J1784">
            <v>0</v>
          </cell>
          <cell r="K1784">
            <v>8922940.8399999999</v>
          </cell>
        </row>
        <row r="1785">
          <cell r="H1785" t="str">
            <v>3310201020 Result Negativo Paticipacoes Societarias (R)</v>
          </cell>
          <cell r="I1785">
            <v>8922940.8399999999</v>
          </cell>
          <cell r="J1785">
            <v>0</v>
          </cell>
          <cell r="K1785">
            <v>8922940.8399999999</v>
          </cell>
        </row>
        <row r="1786">
          <cell r="F1786" t="str">
            <v>3.3.1.02.02 - Receitas JCP de Coligadas e Con</v>
          </cell>
          <cell r="I1786">
            <v>0</v>
          </cell>
          <cell r="J1786">
            <v>0</v>
          </cell>
          <cell r="K1786">
            <v>0</v>
          </cell>
        </row>
        <row r="1787">
          <cell r="G1787" t="str">
            <v>3.3.1.02.02.01 - Receitas JCP de Coligadas e</v>
          </cell>
          <cell r="I1787">
            <v>0</v>
          </cell>
          <cell r="J1787">
            <v>0</v>
          </cell>
          <cell r="K1787">
            <v>0</v>
          </cell>
        </row>
        <row r="1788">
          <cell r="H1788" t="str">
            <v>3310202010 Receitas JCP de Coligadas e Controladas</v>
          </cell>
          <cell r="I1788">
            <v>0</v>
          </cell>
          <cell r="J1788">
            <v>0</v>
          </cell>
          <cell r="K1788">
            <v>0</v>
          </cell>
        </row>
        <row r="1789">
          <cell r="F1789" t="str">
            <v>3.3.1.02.03 - PIS e Cofins s/ Demais Receitas</v>
          </cell>
          <cell r="I1789">
            <v>0</v>
          </cell>
          <cell r="J1789">
            <v>0</v>
          </cell>
          <cell r="K1789">
            <v>0</v>
          </cell>
        </row>
        <row r="1790">
          <cell r="G1790" t="str">
            <v>3.3.1.02.03.01 - PIS s/Demais Receitas Operac</v>
          </cell>
          <cell r="I1790">
            <v>0</v>
          </cell>
          <cell r="J1790">
            <v>0</v>
          </cell>
          <cell r="K1790">
            <v>0</v>
          </cell>
        </row>
        <row r="1791">
          <cell r="H1791" t="str">
            <v>3310203010 PIS s/ Demais Receitas Operacionais (Realizado)</v>
          </cell>
          <cell r="I1791">
            <v>0</v>
          </cell>
          <cell r="J1791">
            <v>0</v>
          </cell>
          <cell r="K1791">
            <v>0</v>
          </cell>
        </row>
        <row r="1792">
          <cell r="G1792" t="str">
            <v>3.3.1.02.03.02 - Cofins s/ Demais Receitas Op</v>
          </cell>
          <cell r="I1792">
            <v>0</v>
          </cell>
          <cell r="J1792">
            <v>0</v>
          </cell>
          <cell r="K1792">
            <v>0</v>
          </cell>
        </row>
        <row r="1793">
          <cell r="H1793" t="str">
            <v>3310203020 Cofins s/ Demais Receitas Operacionais (Realizado)</v>
          </cell>
          <cell r="I1793">
            <v>0</v>
          </cell>
          <cell r="J1793">
            <v>0</v>
          </cell>
          <cell r="K1793">
            <v>0</v>
          </cell>
        </row>
        <row r="1794">
          <cell r="F1794" t="str">
            <v>3.3.1.02.04 - Receitas c/ Dividendos Próprios</v>
          </cell>
          <cell r="I1794">
            <v>-96.22</v>
          </cell>
          <cell r="J1794">
            <v>0</v>
          </cell>
          <cell r="K1794">
            <v>-96.22</v>
          </cell>
        </row>
        <row r="1795">
          <cell r="G1795" t="str">
            <v>3310204010 Dividendos Próprios Não Realizados</v>
          </cell>
          <cell r="I1795">
            <v>-96.22</v>
          </cell>
          <cell r="J1795">
            <v>0</v>
          </cell>
          <cell r="K1795">
            <v>-96.22</v>
          </cell>
        </row>
        <row r="1796">
          <cell r="F1796" t="str">
            <v>3.3.1.02.99 - Demais Receitas e Desp. Corrent</v>
          </cell>
          <cell r="I1796">
            <v>0</v>
          </cell>
          <cell r="J1796">
            <v>0</v>
          </cell>
          <cell r="K1796">
            <v>0</v>
          </cell>
        </row>
        <row r="1797">
          <cell r="G1797" t="str">
            <v>3.3.1.02.99.01 - Agios na Combinação de Negoc</v>
          </cell>
          <cell r="I1797">
            <v>0</v>
          </cell>
          <cell r="J1797">
            <v>0</v>
          </cell>
          <cell r="K1797">
            <v>0</v>
          </cell>
        </row>
        <row r="1798">
          <cell r="H1798" t="str">
            <v>3310299010 Ágios na Combinação de Negócios (Realizado)</v>
          </cell>
          <cell r="I1798">
            <v>0</v>
          </cell>
          <cell r="J1798">
            <v>0</v>
          </cell>
          <cell r="K1798">
            <v>0</v>
          </cell>
        </row>
        <row r="1799">
          <cell r="I1799">
            <v>23717494.239999998</v>
          </cell>
          <cell r="J1799">
            <v>4657273.6500000004</v>
          </cell>
          <cell r="K1799">
            <v>28374767.890000001</v>
          </cell>
        </row>
        <row r="1800">
          <cell r="C1800" t="str">
            <v>3.5.1 - RECEITAS e DESPESAS FINANCEIRAS LIQUI</v>
          </cell>
          <cell r="I1800">
            <v>22902939.359999999</v>
          </cell>
          <cell r="J1800">
            <v>4868240.54</v>
          </cell>
          <cell r="K1800">
            <v>27771179.899999999</v>
          </cell>
        </row>
        <row r="1801">
          <cell r="D1801" t="str">
            <v>3.5.1.01 - Receitas Financeiras</v>
          </cell>
          <cell r="I1801">
            <v>-15867555.380000001</v>
          </cell>
          <cell r="J1801">
            <v>-3164848.08</v>
          </cell>
          <cell r="K1801">
            <v>-19032403.460000001</v>
          </cell>
        </row>
        <row r="1802">
          <cell r="F1802" t="str">
            <v>3.5.1.01.01 - JUROS</v>
          </cell>
          <cell r="I1802">
            <v>-13974779.83</v>
          </cell>
          <cell r="J1802">
            <v>-2787487.99</v>
          </cell>
          <cell r="K1802">
            <v>-16762267.82</v>
          </cell>
        </row>
        <row r="1803">
          <cell r="G1803" t="str">
            <v>3.5.1.01.01.01 - Juros sobre Aplicações Finan</v>
          </cell>
          <cell r="I1803">
            <v>-13927643.75</v>
          </cell>
          <cell r="J1803">
            <v>-2776952.02</v>
          </cell>
          <cell r="K1803">
            <v>-16704595.77</v>
          </cell>
        </row>
        <row r="1804">
          <cell r="H1804" t="str">
            <v>3510101010 Rec Financ-Juros s/Aplic Financeiras (Realizado)</v>
          </cell>
          <cell r="I1804">
            <v>-13927643.75</v>
          </cell>
          <cell r="J1804">
            <v>-2776952.02</v>
          </cell>
          <cell r="K1804">
            <v>-16704595.77</v>
          </cell>
        </row>
        <row r="1805">
          <cell r="H1805" t="str">
            <v>3510101011 Rec Financ-Prov Juros s/Aplicaçoes Financeiras</v>
          </cell>
          <cell r="I1805">
            <v>0</v>
          </cell>
          <cell r="J1805">
            <v>0</v>
          </cell>
          <cell r="K1805">
            <v>0</v>
          </cell>
        </row>
        <row r="1806">
          <cell r="H1806" t="str">
            <v>3510101012 Rec Financ-Rev Prov Juros s/Aplicaçoes Financeiras</v>
          </cell>
          <cell r="I1806">
            <v>0</v>
          </cell>
          <cell r="J1806">
            <v>0</v>
          </cell>
          <cell r="K1806">
            <v>0</v>
          </cell>
        </row>
        <row r="1807">
          <cell r="H1807" t="str">
            <v>3510101014 Ajuste a Valor Justo</v>
          </cell>
          <cell r="I1807">
            <v>0</v>
          </cell>
          <cell r="J1807">
            <v>0</v>
          </cell>
          <cell r="K1807">
            <v>0</v>
          </cell>
        </row>
        <row r="1808">
          <cell r="G1808" t="str">
            <v>3.5.1.01.01.02 - Juros sobre Antecipação de I</v>
          </cell>
          <cell r="I1808">
            <v>0</v>
          </cell>
          <cell r="J1808">
            <v>0</v>
          </cell>
          <cell r="K1808">
            <v>0</v>
          </cell>
        </row>
        <row r="1809">
          <cell r="H1809" t="str">
            <v>3510101020 Rec Financ-Juros s/Antecip de Impostos (Realizado)</v>
          </cell>
          <cell r="I1809">
            <v>0</v>
          </cell>
          <cell r="J1809">
            <v>0</v>
          </cell>
          <cell r="K1809">
            <v>0</v>
          </cell>
        </row>
        <row r="1810">
          <cell r="G1810" t="str">
            <v>3.5.1.01.01.09 - Receitas de Juros sobre o Ca</v>
          </cell>
          <cell r="I1810">
            <v>-43110.76</v>
          </cell>
          <cell r="J1810">
            <v>-7934.58</v>
          </cell>
          <cell r="K1810">
            <v>-51045.34</v>
          </cell>
        </row>
        <row r="1811">
          <cell r="H1811" t="str">
            <v>3510101090 Rec Financ-Juros s/Capital Proprio (Realizado)</v>
          </cell>
          <cell r="I1811">
            <v>-43110.76</v>
          </cell>
          <cell r="J1811">
            <v>-7934.58</v>
          </cell>
          <cell r="K1811">
            <v>-51045.34</v>
          </cell>
        </row>
        <row r="1812">
          <cell r="G1812" t="str">
            <v>3.5.1.01.01.99 - Juros sobre Outros Ativos</v>
          </cell>
          <cell r="I1812">
            <v>-4025.32</v>
          </cell>
          <cell r="J1812">
            <v>-2601.39</v>
          </cell>
          <cell r="K1812">
            <v>-6626.71</v>
          </cell>
        </row>
        <row r="1813">
          <cell r="H1813" t="str">
            <v>3510101990 Rec Financ-Juros s/Outros Ativos (Realizado)</v>
          </cell>
          <cell r="I1813">
            <v>-4025.32</v>
          </cell>
          <cell r="J1813">
            <v>-2601.39</v>
          </cell>
          <cell r="K1813">
            <v>-6626.71</v>
          </cell>
        </row>
        <row r="1814">
          <cell r="F1814" t="str">
            <v>3.5.1.01.02 - Variação Monetaria</v>
          </cell>
          <cell r="I1814">
            <v>-1552463.6</v>
          </cell>
          <cell r="J1814">
            <v>-317051.98</v>
          </cell>
          <cell r="K1814">
            <v>-1869515.58</v>
          </cell>
        </row>
        <row r="1815">
          <cell r="G1815" t="str">
            <v>3.5.1.01.02.01 - Variação Monetaria s/Depósit</v>
          </cell>
          <cell r="I1815">
            <v>-1241918.22</v>
          </cell>
          <cell r="J1815">
            <v>-258062.06</v>
          </cell>
          <cell r="K1815">
            <v>-1499980.28</v>
          </cell>
        </row>
        <row r="1816">
          <cell r="H1816" t="str">
            <v>3510102010 Rec Financ-Var Monet s/Deposit Judic (Realizado)</v>
          </cell>
          <cell r="I1816">
            <v>-2638.55</v>
          </cell>
          <cell r="J1816">
            <v>0</v>
          </cell>
          <cell r="K1816">
            <v>-2638.55</v>
          </cell>
        </row>
        <row r="1817">
          <cell r="H1817" t="str">
            <v>3510102011 Rec Financ-Prov Var Monet s/ Depositos Judiciais</v>
          </cell>
          <cell r="I1817">
            <v>-1239279.67</v>
          </cell>
          <cell r="J1817">
            <v>-258062.06</v>
          </cell>
          <cell r="K1817">
            <v>-1497341.73</v>
          </cell>
        </row>
        <row r="1818">
          <cell r="H1818" t="str">
            <v>3510102012 Rec Finan-Rev Prov Var Monet s/ Deposit Judiciais</v>
          </cell>
          <cell r="I1818">
            <v>0</v>
          </cell>
          <cell r="J1818">
            <v>0</v>
          </cell>
          <cell r="K1818">
            <v>0</v>
          </cell>
        </row>
        <row r="1819">
          <cell r="G1819" t="str">
            <v>3.5.1.01.02.02 - Variação Monetaria s/Imposto</v>
          </cell>
          <cell r="I1819">
            <v>-114924.14</v>
          </cell>
          <cell r="J1819">
            <v>-23302.69</v>
          </cell>
          <cell r="K1819">
            <v>-138226.82999999999</v>
          </cell>
        </row>
        <row r="1820">
          <cell r="H1820" t="str">
            <v>3510102020 Rec Financ-Var Monet s/Impostos a Recup. (Realiza)</v>
          </cell>
          <cell r="I1820">
            <v>-114924.14</v>
          </cell>
          <cell r="J1820">
            <v>-23302.69</v>
          </cell>
          <cell r="K1820">
            <v>-138226.82999999999</v>
          </cell>
        </row>
        <row r="1821">
          <cell r="G1821" t="str">
            <v>3.5.1.01.02.99 - Variação Monetaria s/Outros</v>
          </cell>
          <cell r="I1821">
            <v>-195621.24</v>
          </cell>
          <cell r="J1821">
            <v>-35687.230000000003</v>
          </cell>
          <cell r="K1821">
            <v>-231308.47</v>
          </cell>
        </row>
        <row r="1822">
          <cell r="H1822" t="str">
            <v>3510102990 Rec Finan-Var Monetaria s/Outros Ativos(Realizado)</v>
          </cell>
          <cell r="I1822">
            <v>-195621.24</v>
          </cell>
          <cell r="J1822">
            <v>-35687.230000000003</v>
          </cell>
          <cell r="K1822">
            <v>-231308.47</v>
          </cell>
        </row>
        <row r="1823">
          <cell r="F1823" t="str">
            <v>3.5.1.01.03 - Encargos Recebíveis</v>
          </cell>
          <cell r="I1823">
            <v>-149493.13</v>
          </cell>
          <cell r="J1823">
            <v>-26593.200000000001</v>
          </cell>
          <cell r="K1823">
            <v>-176086.33</v>
          </cell>
        </row>
        <row r="1824">
          <cell r="G1824" t="str">
            <v>3.5.1.01.03.01 - Encargos  s/Cobrança de Dupl</v>
          </cell>
          <cell r="I1824">
            <v>-124827.07</v>
          </cell>
          <cell r="J1824">
            <v>-24175.74</v>
          </cell>
          <cell r="K1824">
            <v>-149002.81</v>
          </cell>
        </row>
        <row r="1825">
          <cell r="H1825" t="str">
            <v>3510103010 Rec Financ-Encargos s/Cobrança Duplic(Realizado)</v>
          </cell>
          <cell r="I1825">
            <v>-124827.07</v>
          </cell>
          <cell r="J1825">
            <v>-24175.74</v>
          </cell>
          <cell r="K1825">
            <v>-149002.81</v>
          </cell>
        </row>
        <row r="1826">
          <cell r="G1826" t="str">
            <v>3.5.1.01.03.02 - Encargos  s/Pagamentos Antec</v>
          </cell>
          <cell r="I1826">
            <v>0</v>
          </cell>
          <cell r="J1826">
            <v>0</v>
          </cell>
          <cell r="K1826">
            <v>0</v>
          </cell>
        </row>
        <row r="1827">
          <cell r="H1827" t="str">
            <v>3510103020 Rec Financ-Encargos s/Pgto Antecipados (Realizado)</v>
          </cell>
          <cell r="I1827">
            <v>0</v>
          </cell>
          <cell r="J1827">
            <v>0</v>
          </cell>
          <cell r="K1827">
            <v>0</v>
          </cell>
        </row>
        <row r="1828">
          <cell r="G1828" t="str">
            <v>3.5.1.01.03.03 - Descontos Obtidos</v>
          </cell>
          <cell r="I1828">
            <v>-24666.06</v>
          </cell>
          <cell r="J1828">
            <v>-2417.46</v>
          </cell>
          <cell r="K1828">
            <v>-27083.52</v>
          </cell>
        </row>
        <row r="1829">
          <cell r="H1829" t="str">
            <v>3510103030 Rec Financ-Descontos Obtidos (Realizado)</v>
          </cell>
          <cell r="I1829">
            <v>-24666.06</v>
          </cell>
          <cell r="J1829">
            <v>-2417.46</v>
          </cell>
          <cell r="K1829">
            <v>-27083.52</v>
          </cell>
        </row>
        <row r="1830">
          <cell r="G1830" t="str">
            <v>3.5.1.01.03.04 - Encargos s/Bonificação Refis</v>
          </cell>
          <cell r="I1830">
            <v>0</v>
          </cell>
          <cell r="J1830">
            <v>0</v>
          </cell>
          <cell r="K1830">
            <v>0</v>
          </cell>
        </row>
        <row r="1831">
          <cell r="H1831" t="str">
            <v>3510103040 Encargos s/ Bonificação Refis</v>
          </cell>
          <cell r="I1831">
            <v>0</v>
          </cell>
          <cell r="J1831">
            <v>0</v>
          </cell>
          <cell r="K1831">
            <v>0</v>
          </cell>
        </row>
        <row r="1832">
          <cell r="F1832" t="str">
            <v>3.5.1.01.05 - Bonificações Bancárias</v>
          </cell>
          <cell r="I1832">
            <v>-623.98</v>
          </cell>
          <cell r="J1832">
            <v>-191.5</v>
          </cell>
          <cell r="K1832">
            <v>-815.48</v>
          </cell>
        </row>
        <row r="1833">
          <cell r="G1833" t="str">
            <v>3.5.1.01.05.01 - Bonificações S/Administração</v>
          </cell>
          <cell r="I1833">
            <v>-623.98</v>
          </cell>
          <cell r="J1833">
            <v>-191.5</v>
          </cell>
          <cell r="K1833">
            <v>-815.48</v>
          </cell>
        </row>
        <row r="1834">
          <cell r="H1834" t="str">
            <v>3510105010 Rec Financ-Bonificaçoes s/Adm Apolice (Realizado)</v>
          </cell>
          <cell r="I1834">
            <v>-623.98</v>
          </cell>
          <cell r="J1834">
            <v>-191.5</v>
          </cell>
          <cell r="K1834">
            <v>-815.48</v>
          </cell>
        </row>
        <row r="1835">
          <cell r="G1835" t="str">
            <v>3.5.1.01.05.02 - Bonificações s/ Pagamentos</v>
          </cell>
          <cell r="I1835">
            <v>0</v>
          </cell>
          <cell r="J1835">
            <v>0</v>
          </cell>
          <cell r="K1835">
            <v>0</v>
          </cell>
        </row>
        <row r="1836">
          <cell r="H1836" t="str">
            <v>3510105020 Rec Financ-Bonificações s/ Pagamentos (Realizado)</v>
          </cell>
          <cell r="I1836">
            <v>0</v>
          </cell>
          <cell r="J1836">
            <v>0</v>
          </cell>
          <cell r="K1836">
            <v>0</v>
          </cell>
        </row>
        <row r="1837">
          <cell r="F1837" t="str">
            <v>3.5.1.01.06 - Contrapartida dos Ajustes ao Va</v>
          </cell>
          <cell r="I1837">
            <v>-171174.85</v>
          </cell>
          <cell r="J1837">
            <v>-33486.71</v>
          </cell>
          <cell r="K1837">
            <v>-204661.56</v>
          </cell>
        </row>
        <row r="1838">
          <cell r="G1838" t="str">
            <v>3.5.1.01.06.01 - ICMS a Recuperar s/Aquis de</v>
          </cell>
          <cell r="I1838">
            <v>-171174.85</v>
          </cell>
          <cell r="J1838">
            <v>-33486.71</v>
          </cell>
          <cell r="K1838">
            <v>-204661.56</v>
          </cell>
        </row>
        <row r="1839">
          <cell r="H1839" t="str">
            <v>3510106014 Rec Financ-Cont.AVP/ICMS Recup s/Aquis de At.Fixo</v>
          </cell>
          <cell r="I1839">
            <v>-171174.85</v>
          </cell>
          <cell r="J1839">
            <v>-33486.71</v>
          </cell>
          <cell r="K1839">
            <v>-204661.56</v>
          </cell>
        </row>
        <row r="1840">
          <cell r="F1840" t="str">
            <v>3.5.1.01.07 - Contrapartida de outros Ajustes</v>
          </cell>
          <cell r="I1840">
            <v>0</v>
          </cell>
          <cell r="J1840">
            <v>0</v>
          </cell>
          <cell r="K1840">
            <v>0</v>
          </cell>
        </row>
        <row r="1841">
          <cell r="G1841" t="str">
            <v>3.5.1.01.07.01 - Ajuste do Rendimento de Apli</v>
          </cell>
          <cell r="I1841">
            <v>0</v>
          </cell>
          <cell r="J1841">
            <v>0</v>
          </cell>
          <cell r="K1841">
            <v>0</v>
          </cell>
        </row>
        <row r="1842">
          <cell r="H1842" t="str">
            <v>3510107014 Rec Financ-Cont ANIC/Ajuste Rend Aplic Fin 11638</v>
          </cell>
          <cell r="I1842">
            <v>0</v>
          </cell>
          <cell r="J1842">
            <v>0</v>
          </cell>
          <cell r="K1842">
            <v>0</v>
          </cell>
        </row>
        <row r="1843">
          <cell r="F1843" t="str">
            <v>3.5.1.01.99 - Outras Receitas Financeiras</v>
          </cell>
          <cell r="I1843">
            <v>-19019.990000000002</v>
          </cell>
          <cell r="J1843">
            <v>-36.700000000000003</v>
          </cell>
          <cell r="K1843">
            <v>-19056.689999999999</v>
          </cell>
        </row>
        <row r="1844">
          <cell r="G1844" t="str">
            <v>3.5.1.01.99.05 - Receita com Operações de Hed</v>
          </cell>
          <cell r="I1844">
            <v>0</v>
          </cell>
          <cell r="J1844">
            <v>0</v>
          </cell>
          <cell r="K1844">
            <v>0</v>
          </cell>
        </row>
        <row r="1845">
          <cell r="H1845" t="str">
            <v>3510199050 Rec Financ-Rec c/ Operaçoes de Hedge (Realizado)</v>
          </cell>
          <cell r="I1845">
            <v>0</v>
          </cell>
          <cell r="J1845">
            <v>0</v>
          </cell>
          <cell r="K1845">
            <v>0</v>
          </cell>
        </row>
        <row r="1846">
          <cell r="G1846" t="str">
            <v>3.5.1.01.99.99 - Demais Receitas Financeiras</v>
          </cell>
          <cell r="I1846">
            <v>-19019.990000000002</v>
          </cell>
          <cell r="J1846">
            <v>-36.700000000000003</v>
          </cell>
          <cell r="K1846">
            <v>-19056.689999999999</v>
          </cell>
        </row>
        <row r="1847">
          <cell r="H1847" t="str">
            <v>3510199990 Rec Financ-Demais Receitas Financeiras (Realizado)</v>
          </cell>
          <cell r="I1847">
            <v>-19019.990000000002</v>
          </cell>
          <cell r="J1847">
            <v>-36.700000000000003</v>
          </cell>
          <cell r="K1847">
            <v>-19056.689999999999</v>
          </cell>
        </row>
        <row r="1848">
          <cell r="D1848" t="str">
            <v>3.5.1.02 - Despesas Financeiras</v>
          </cell>
          <cell r="I1848">
            <v>38770494.740000002</v>
          </cell>
          <cell r="J1848">
            <v>8033088.6200000001</v>
          </cell>
          <cell r="K1848">
            <v>46803583.359999999</v>
          </cell>
        </row>
        <row r="1849">
          <cell r="F1849" t="str">
            <v>3.5.1.02.01 - JUROS</v>
          </cell>
          <cell r="I1849">
            <v>36488536.450000003</v>
          </cell>
          <cell r="J1849">
            <v>7880678.0099999998</v>
          </cell>
          <cell r="K1849">
            <v>44369214.460000001</v>
          </cell>
        </row>
        <row r="1850">
          <cell r="G1850" t="str">
            <v>3.5.1.02.01.01 - Juros sobre Empréstimos</v>
          </cell>
          <cell r="I1850">
            <v>36458041.469999999</v>
          </cell>
          <cell r="J1850">
            <v>7878917.9500000002</v>
          </cell>
          <cell r="K1850">
            <v>44336959.420000002</v>
          </cell>
        </row>
        <row r="1851">
          <cell r="H1851" t="str">
            <v>3510201010 (-)Desp Financ-Juros s/Emprestimos (Realizado)</v>
          </cell>
          <cell r="I1851">
            <v>36458041.469999999</v>
          </cell>
          <cell r="J1851">
            <v>7878917.9500000002</v>
          </cell>
          <cell r="K1851">
            <v>44336959.420000002</v>
          </cell>
        </row>
        <row r="1852">
          <cell r="G1852" t="str">
            <v>3.5.1.02.01.02 - Juros sobre Pagamentos em At</v>
          </cell>
          <cell r="I1852">
            <v>29195.15</v>
          </cell>
          <cell r="J1852">
            <v>1760.06</v>
          </cell>
          <cell r="K1852">
            <v>30955.21</v>
          </cell>
        </row>
        <row r="1853">
          <cell r="H1853" t="str">
            <v>3510201020 (-)Desp Financ-Juros s/Pgtos em Atraso (Realizado)</v>
          </cell>
          <cell r="I1853">
            <v>29195.15</v>
          </cell>
          <cell r="J1853">
            <v>1760.06</v>
          </cell>
          <cell r="K1853">
            <v>30955.21</v>
          </cell>
        </row>
        <row r="1854">
          <cell r="G1854" t="str">
            <v>3.5.1.02.01.90 - Juros sobre o Capital Própri</v>
          </cell>
          <cell r="I1854">
            <v>0</v>
          </cell>
          <cell r="J1854">
            <v>0</v>
          </cell>
          <cell r="K1854">
            <v>0</v>
          </cell>
        </row>
        <row r="1855">
          <cell r="H1855" t="str">
            <v>3510201900 (-)Desp Financ-Juros s/Capital Proprio (Realizado)</v>
          </cell>
          <cell r="I1855">
            <v>0</v>
          </cell>
          <cell r="J1855">
            <v>0</v>
          </cell>
          <cell r="K1855">
            <v>0</v>
          </cell>
        </row>
        <row r="1856">
          <cell r="G1856" t="str">
            <v>3.5.1.02.01.99 - Juros sobre Outros Passivos</v>
          </cell>
          <cell r="I1856">
            <v>1299.83</v>
          </cell>
          <cell r="J1856">
            <v>0</v>
          </cell>
          <cell r="K1856">
            <v>1299.83</v>
          </cell>
        </row>
        <row r="1857">
          <cell r="H1857" t="str">
            <v>3510201990 (-)Desp Financ-Juros s/Outros Passivos (Realizado)</v>
          </cell>
          <cell r="I1857">
            <v>1299.83</v>
          </cell>
          <cell r="J1857">
            <v>0</v>
          </cell>
          <cell r="K1857">
            <v>1299.83</v>
          </cell>
        </row>
        <row r="1858">
          <cell r="F1858" t="str">
            <v>3.5.1.02.02 - Variação Monetaria</v>
          </cell>
          <cell r="I1858">
            <v>1233035.26</v>
          </cell>
          <cell r="J1858">
            <v>254285.54</v>
          </cell>
          <cell r="K1858">
            <v>1487320.8</v>
          </cell>
        </row>
        <row r="1859">
          <cell r="G1859" t="str">
            <v>3.5.1.02.02.01 - Variação Monetaria s/Emprest</v>
          </cell>
          <cell r="I1859">
            <v>0</v>
          </cell>
          <cell r="J1859">
            <v>0</v>
          </cell>
          <cell r="K1859">
            <v>0</v>
          </cell>
        </row>
        <row r="1860">
          <cell r="H1860" t="str">
            <v>3510202010 Desp Financ-Var Monet s/Emprest Recebido (Realiz)</v>
          </cell>
          <cell r="I1860">
            <v>0</v>
          </cell>
          <cell r="J1860">
            <v>0</v>
          </cell>
          <cell r="K1860">
            <v>0</v>
          </cell>
        </row>
        <row r="1861">
          <cell r="G1861" t="str">
            <v>3.5.1.02.02.02 - Variação Monetaria s/Pagamen</v>
          </cell>
          <cell r="I1861">
            <v>91.44</v>
          </cell>
          <cell r="J1861">
            <v>0</v>
          </cell>
          <cell r="K1861">
            <v>91.44</v>
          </cell>
        </row>
        <row r="1862">
          <cell r="H1862" t="str">
            <v>3510202020 Desp Financ-Var Monet s/Pgto em Atraso (Realizado)</v>
          </cell>
          <cell r="I1862">
            <v>91.44</v>
          </cell>
          <cell r="J1862">
            <v>0</v>
          </cell>
          <cell r="K1862">
            <v>91.44</v>
          </cell>
        </row>
        <row r="1863">
          <cell r="G1863" t="str">
            <v>3.5.1.02.02.03 - Variação Monetaria s/Pagamen</v>
          </cell>
          <cell r="I1863">
            <v>207.84</v>
          </cell>
          <cell r="J1863">
            <v>0</v>
          </cell>
          <cell r="K1863">
            <v>207.84</v>
          </cell>
        </row>
        <row r="1864">
          <cell r="H1864" t="str">
            <v>3510202030 Desp Financ-Var Monet s/Pgto Imposto em Atraso(R)</v>
          </cell>
          <cell r="I1864">
            <v>207.84</v>
          </cell>
          <cell r="J1864">
            <v>0</v>
          </cell>
          <cell r="K1864">
            <v>207.84</v>
          </cell>
        </row>
        <row r="1865">
          <cell r="G1865" t="str">
            <v>3.5.1.02.02.99 - Variação Monetaria s/Outros</v>
          </cell>
          <cell r="I1865">
            <v>1232735.98</v>
          </cell>
          <cell r="J1865">
            <v>254285.54</v>
          </cell>
          <cell r="K1865">
            <v>1487021.52</v>
          </cell>
        </row>
        <row r="1866">
          <cell r="H1866" t="str">
            <v>3510202990 Desp Financ-Var Monet s/Outros Passivos(Realizado)</v>
          </cell>
          <cell r="I1866">
            <v>119.74</v>
          </cell>
          <cell r="J1866">
            <v>0</v>
          </cell>
          <cell r="K1866">
            <v>119.74</v>
          </cell>
        </row>
        <row r="1867">
          <cell r="H1867" t="str">
            <v>3510202991 Desp Financ-Prov Var Monetaria s/Contingencias</v>
          </cell>
          <cell r="I1867">
            <v>1232616.24</v>
          </cell>
          <cell r="J1867">
            <v>254285.54</v>
          </cell>
          <cell r="K1867">
            <v>1486901.78</v>
          </cell>
        </row>
        <row r="1868">
          <cell r="H1868" t="str">
            <v>3510202992 Desp Financ-Rev Prov Var Monet s/ Contingencia</v>
          </cell>
          <cell r="I1868">
            <v>0</v>
          </cell>
          <cell r="J1868">
            <v>0</v>
          </cell>
          <cell r="K1868">
            <v>0</v>
          </cell>
        </row>
        <row r="1869">
          <cell r="F1869" t="str">
            <v>3.5.1.02.03 - Encargos - Outros</v>
          </cell>
          <cell r="I1869">
            <v>1190.57</v>
          </cell>
          <cell r="J1869">
            <v>145.32</v>
          </cell>
          <cell r="K1869">
            <v>1335.89</v>
          </cell>
        </row>
        <row r="1870">
          <cell r="G1870" t="str">
            <v>3.5.1.02.03.01 - Descontos Concedidos</v>
          </cell>
          <cell r="I1870">
            <v>0</v>
          </cell>
          <cell r="J1870">
            <v>0</v>
          </cell>
          <cell r="K1870">
            <v>0</v>
          </cell>
        </row>
        <row r="1871">
          <cell r="H1871" t="str">
            <v>3510203010 Desp Financ-Encarg/Outros-Desc Concedidos(Realiz)</v>
          </cell>
          <cell r="I1871">
            <v>0</v>
          </cell>
          <cell r="J1871">
            <v>0</v>
          </cell>
          <cell r="K1871">
            <v>0</v>
          </cell>
        </row>
        <row r="1872">
          <cell r="G1872" t="str">
            <v>3.5.1.02.03.02 - Custas Judiciais</v>
          </cell>
          <cell r="I1872">
            <v>514.13</v>
          </cell>
          <cell r="J1872">
            <v>0</v>
          </cell>
          <cell r="K1872">
            <v>514.13</v>
          </cell>
        </row>
        <row r="1873">
          <cell r="H1873" t="str">
            <v>3510203020 Desp Financ-Encarg/Outros-Custas Judiciais(Realiz)</v>
          </cell>
          <cell r="I1873">
            <v>514.13</v>
          </cell>
          <cell r="J1873">
            <v>0</v>
          </cell>
          <cell r="K1873">
            <v>514.13</v>
          </cell>
        </row>
        <row r="1874">
          <cell r="G1874" t="str">
            <v>3.5.1.02.03.50 - I.O.C / I.O.F</v>
          </cell>
          <cell r="I1874">
            <v>676.44</v>
          </cell>
          <cell r="J1874">
            <v>145.32</v>
          </cell>
          <cell r="K1874">
            <v>821.76</v>
          </cell>
        </row>
        <row r="1875">
          <cell r="H1875" t="str">
            <v>3510203500 Desp Financ-Encarg/Outros-I.O.C / I.O.F(Realizado)</v>
          </cell>
          <cell r="I1875">
            <v>676.44</v>
          </cell>
          <cell r="J1875">
            <v>145.32</v>
          </cell>
          <cell r="K1875">
            <v>821.76</v>
          </cell>
        </row>
        <row r="1876">
          <cell r="H1876" t="str">
            <v>3510203504 Ajuste a Valor Justo</v>
          </cell>
          <cell r="I1876">
            <v>0</v>
          </cell>
          <cell r="J1876">
            <v>0</v>
          </cell>
          <cell r="K1876">
            <v>0</v>
          </cell>
        </row>
        <row r="1877">
          <cell r="F1877" t="str">
            <v>3.5.1.02.04 - Encargos Financeiros s/ aquisiç</v>
          </cell>
          <cell r="I1877">
            <v>784157.62</v>
          </cell>
          <cell r="J1877">
            <v>-126134.8</v>
          </cell>
          <cell r="K1877">
            <v>658022.81999999995</v>
          </cell>
        </row>
        <row r="1878">
          <cell r="G1878" t="str">
            <v>3.5.1.02.04.01 - Encargos Financeiros s/ Aqui</v>
          </cell>
          <cell r="I1878">
            <v>684497.42</v>
          </cell>
          <cell r="J1878">
            <v>-126134.8</v>
          </cell>
          <cell r="K1878">
            <v>558362.62</v>
          </cell>
        </row>
        <row r="1879">
          <cell r="H1879" t="str">
            <v>3510204010 Desp Financ-EFE-Comissoes s/Aquis Empres Amort(R)</v>
          </cell>
          <cell r="I1879">
            <v>684497.42</v>
          </cell>
          <cell r="J1879">
            <v>-126134.8</v>
          </cell>
          <cell r="K1879">
            <v>558362.62</v>
          </cell>
        </row>
        <row r="1880">
          <cell r="H1880" t="str">
            <v>3510204014 Ajuste a Valor Justo</v>
          </cell>
          <cell r="I1880">
            <v>0</v>
          </cell>
          <cell r="J1880">
            <v>0</v>
          </cell>
          <cell r="K1880">
            <v>0</v>
          </cell>
        </row>
        <row r="1881">
          <cell r="G1881" t="str">
            <v>3.5.1.02.04.02 - IOF S/Aquisição de Emprestim</v>
          </cell>
          <cell r="I1881">
            <v>0</v>
          </cell>
          <cell r="J1881">
            <v>0</v>
          </cell>
          <cell r="K1881">
            <v>0</v>
          </cell>
        </row>
        <row r="1882">
          <cell r="H1882" t="str">
            <v>3510204020 Desp Financ-EFE-IOF s/Aquis Emprest Amort(Realiz)</v>
          </cell>
          <cell r="I1882">
            <v>0</v>
          </cell>
          <cell r="J1882">
            <v>0</v>
          </cell>
          <cell r="K1882">
            <v>0</v>
          </cell>
        </row>
        <row r="1883">
          <cell r="G1883" t="str">
            <v>3.5.1.02.04.09 - Outros Enc. S/ Aquis Emprest</v>
          </cell>
          <cell r="I1883">
            <v>99660.2</v>
          </cell>
          <cell r="J1883">
            <v>0</v>
          </cell>
          <cell r="K1883">
            <v>99660.2</v>
          </cell>
        </row>
        <row r="1884">
          <cell r="H1884" t="str">
            <v>3510204090 Desp Financ-EFE-Outros Enc s/Aquis Emprest(Realiz)</v>
          </cell>
          <cell r="I1884">
            <v>99660.2</v>
          </cell>
          <cell r="J1884">
            <v>0</v>
          </cell>
          <cell r="K1884">
            <v>99660.2</v>
          </cell>
        </row>
        <row r="1885">
          <cell r="F1885" t="str">
            <v>3.5.1.02.05 - Despesas Bancárias</v>
          </cell>
          <cell r="I1885">
            <v>263569.96999999997</v>
          </cell>
          <cell r="J1885">
            <v>24112.68</v>
          </cell>
          <cell r="K1885">
            <v>287682.65000000002</v>
          </cell>
        </row>
        <row r="1886">
          <cell r="G1886" t="str">
            <v>3.5.1.02.05.01 - Comissões</v>
          </cell>
          <cell r="I1886">
            <v>0</v>
          </cell>
          <cell r="J1886">
            <v>0</v>
          </cell>
          <cell r="K1886">
            <v>0</v>
          </cell>
        </row>
        <row r="1887">
          <cell r="H1887" t="str">
            <v>3510205010 Desp Financ-Bancarias-Comissoes (Ralizado)</v>
          </cell>
          <cell r="I1887">
            <v>0</v>
          </cell>
          <cell r="J1887">
            <v>0</v>
          </cell>
          <cell r="K1887">
            <v>0</v>
          </cell>
        </row>
        <row r="1888">
          <cell r="H1888" t="str">
            <v>3510205014 Ajuste a Valor Justo</v>
          </cell>
          <cell r="I1888">
            <v>0</v>
          </cell>
          <cell r="J1888">
            <v>0</v>
          </cell>
          <cell r="K1888">
            <v>0</v>
          </cell>
        </row>
        <row r="1889">
          <cell r="G1889" t="str">
            <v>3.5.1.02.05.02 - Corretagens</v>
          </cell>
          <cell r="I1889">
            <v>1650.15</v>
          </cell>
          <cell r="J1889">
            <v>190.74</v>
          </cell>
          <cell r="K1889">
            <v>1840.89</v>
          </cell>
        </row>
        <row r="1890">
          <cell r="H1890" t="str">
            <v>3510205020 Desp Financ-Bancarias-Corretagens (Realiz)</v>
          </cell>
          <cell r="I1890">
            <v>1650.15</v>
          </cell>
          <cell r="J1890">
            <v>190.74</v>
          </cell>
          <cell r="K1890">
            <v>1840.89</v>
          </cell>
        </row>
        <row r="1891">
          <cell r="G1891" t="str">
            <v>3.5.1.02.05.03 - Comissões de Fiança</v>
          </cell>
          <cell r="I1891">
            <v>229778.14</v>
          </cell>
          <cell r="J1891">
            <v>19591.080000000002</v>
          </cell>
          <cell r="K1891">
            <v>249369.22</v>
          </cell>
        </row>
        <row r="1892">
          <cell r="H1892" t="str">
            <v>3510205030 Desp Financ-Bancarias-Comissoes Fiança (Realiz)</v>
          </cell>
          <cell r="I1892">
            <v>229778.14</v>
          </cell>
          <cell r="J1892">
            <v>19591.080000000002</v>
          </cell>
          <cell r="K1892">
            <v>249369.22</v>
          </cell>
        </row>
        <row r="1893">
          <cell r="G1893" t="str">
            <v>3.5.1.02.05.04 - Taxa de Expediente</v>
          </cell>
          <cell r="I1893">
            <v>32141.68</v>
          </cell>
          <cell r="J1893">
            <v>4330.8599999999997</v>
          </cell>
          <cell r="K1893">
            <v>36472.54</v>
          </cell>
        </row>
        <row r="1894">
          <cell r="H1894" t="str">
            <v>3510205040 Desp Financ-Bancaria-Txa Expediente (Realiz)</v>
          </cell>
          <cell r="I1894">
            <v>32141.68</v>
          </cell>
          <cell r="J1894">
            <v>4330.8599999999997</v>
          </cell>
          <cell r="K1894">
            <v>36472.54</v>
          </cell>
        </row>
        <row r="1895">
          <cell r="F1895" t="str">
            <v>3.5.1.02.07 - Contrapartida de outros Ajustes</v>
          </cell>
          <cell r="I1895">
            <v>0</v>
          </cell>
          <cell r="J1895">
            <v>0</v>
          </cell>
          <cell r="K1895">
            <v>0</v>
          </cell>
        </row>
        <row r="1896">
          <cell r="G1896" t="str">
            <v>3.5.1.02.07.01 - Ajuste do Rendimento de Apli</v>
          </cell>
          <cell r="I1896">
            <v>0</v>
          </cell>
          <cell r="J1896">
            <v>0</v>
          </cell>
          <cell r="K1896">
            <v>0</v>
          </cell>
        </row>
        <row r="1897">
          <cell r="H1897" t="str">
            <v>3510207014 Desp Financ-Cont.O Aj NI-Rend Ap Financ 11638</v>
          </cell>
          <cell r="I1897">
            <v>0</v>
          </cell>
          <cell r="J1897">
            <v>0</v>
          </cell>
          <cell r="K1897">
            <v>0</v>
          </cell>
        </row>
        <row r="1898">
          <cell r="F1898" t="str">
            <v>3.5.1.02.99 - Outras Despesas Financeiras</v>
          </cell>
          <cell r="I1898">
            <v>4.87</v>
          </cell>
          <cell r="J1898">
            <v>1.87</v>
          </cell>
          <cell r="K1898">
            <v>6.74</v>
          </cell>
        </row>
        <row r="1899">
          <cell r="G1899" t="str">
            <v>3.5.1.02.99.05 - Despesa com Operações de Hed</v>
          </cell>
          <cell r="I1899">
            <v>0</v>
          </cell>
          <cell r="J1899">
            <v>0</v>
          </cell>
          <cell r="K1899">
            <v>0</v>
          </cell>
        </row>
        <row r="1900">
          <cell r="H1900" t="str">
            <v>3510299050 Outras Desp Fin-Operaçoes Hedge (Realiz)</v>
          </cell>
          <cell r="I1900">
            <v>0</v>
          </cell>
          <cell r="J1900">
            <v>0</v>
          </cell>
          <cell r="K1900">
            <v>0</v>
          </cell>
        </row>
        <row r="1901">
          <cell r="H1901" t="str">
            <v>3510299051 Outras Desp Fin-Prov Desp Operaçoes de Hedge</v>
          </cell>
          <cell r="I1901">
            <v>0</v>
          </cell>
          <cell r="J1901">
            <v>0</v>
          </cell>
          <cell r="K1901">
            <v>0</v>
          </cell>
        </row>
        <row r="1902">
          <cell r="H1902" t="str">
            <v>3510299052 Outras Desp Fin-Rev Prov Desp Oper Hedge</v>
          </cell>
          <cell r="I1902">
            <v>0</v>
          </cell>
          <cell r="J1902">
            <v>0</v>
          </cell>
          <cell r="K1902">
            <v>0</v>
          </cell>
        </row>
        <row r="1903">
          <cell r="G1903" t="str">
            <v>3.5.1.02.99.99 - Demais Despesas Financeiras</v>
          </cell>
          <cell r="I1903">
            <v>4.87</v>
          </cell>
          <cell r="J1903">
            <v>1.87</v>
          </cell>
          <cell r="K1903">
            <v>6.74</v>
          </cell>
        </row>
        <row r="1904">
          <cell r="H1904" t="str">
            <v>3510299990 Demais Despesas Financeiras (Realizado)</v>
          </cell>
          <cell r="I1904">
            <v>4.87</v>
          </cell>
          <cell r="J1904">
            <v>1.87</v>
          </cell>
          <cell r="K1904">
            <v>6.74</v>
          </cell>
        </row>
        <row r="1905">
          <cell r="C1905" t="str">
            <v>3.5.3 - OUTRAS DESPESAS E RECEITAS FINANCEIRA</v>
          </cell>
          <cell r="I1905">
            <v>814554.88</v>
          </cell>
          <cell r="J1905">
            <v>-210966.89</v>
          </cell>
          <cell r="K1905">
            <v>603587.99</v>
          </cell>
        </row>
        <row r="1906">
          <cell r="D1906" t="str">
            <v>3.5.3.01 - Variações Cambiais Liquidas</v>
          </cell>
          <cell r="I1906">
            <v>814554.88</v>
          </cell>
          <cell r="J1906">
            <v>-210966.89</v>
          </cell>
          <cell r="K1906">
            <v>603587.99</v>
          </cell>
        </row>
        <row r="1907">
          <cell r="F1907" t="str">
            <v>3.5.3.01.01 - Variações Cambiais Ativas</v>
          </cell>
          <cell r="I1907">
            <v>-82448.63</v>
          </cell>
          <cell r="J1907">
            <v>0</v>
          </cell>
          <cell r="K1907">
            <v>-82448.63</v>
          </cell>
        </row>
        <row r="1908">
          <cell r="G1908" t="str">
            <v>3.5.3.01.01.01 - Ganhos de Variação Cambial s</v>
          </cell>
          <cell r="I1908">
            <v>-84408.29</v>
          </cell>
          <cell r="J1908">
            <v>0</v>
          </cell>
          <cell r="K1908">
            <v>-84408.29</v>
          </cell>
        </row>
        <row r="1909">
          <cell r="H1909" t="str">
            <v>3530101010 Var C Liq At-Ganho Var Camb s/Receb Exterior (R)</v>
          </cell>
          <cell r="I1909">
            <v>-84408.29</v>
          </cell>
          <cell r="J1909">
            <v>0</v>
          </cell>
          <cell r="K1909">
            <v>-84408.29</v>
          </cell>
        </row>
        <row r="1910">
          <cell r="G1910" t="str">
            <v>3.5.3.01.01.02 - Perdas de Variação Cambial s</v>
          </cell>
          <cell r="I1910">
            <v>1959.66</v>
          </cell>
          <cell r="J1910">
            <v>0</v>
          </cell>
          <cell r="K1910">
            <v>1959.66</v>
          </cell>
        </row>
        <row r="1911">
          <cell r="H1911" t="str">
            <v>3530101020 Var C Liq At-Perda Var Camb s/Receb Exterior (R)</v>
          </cell>
          <cell r="I1911">
            <v>1959.66</v>
          </cell>
          <cell r="J1911">
            <v>0</v>
          </cell>
          <cell r="K1911">
            <v>1959.66</v>
          </cell>
        </row>
        <row r="1912">
          <cell r="F1912" t="str">
            <v>3.5.3.01.02 - Variações Cambiais Passivas</v>
          </cell>
          <cell r="I1912">
            <v>897003.51</v>
          </cell>
          <cell r="J1912">
            <v>-210966.89</v>
          </cell>
          <cell r="K1912">
            <v>686036.62</v>
          </cell>
        </row>
        <row r="1913">
          <cell r="G1913" t="str">
            <v>3.5.3.01.02.01 - Ganhos de Variação Cambial s</v>
          </cell>
          <cell r="I1913">
            <v>-681960.91</v>
          </cell>
          <cell r="J1913">
            <v>-21832.2</v>
          </cell>
          <cell r="K1913">
            <v>-703793.11</v>
          </cell>
        </row>
        <row r="1914">
          <cell r="H1914" t="str">
            <v>3530102010 Var C Liq Pas-Ganho Var Camb s/Exigiv Exterior(R)</v>
          </cell>
          <cell r="I1914">
            <v>-681960.91</v>
          </cell>
          <cell r="J1914">
            <v>-21832.2</v>
          </cell>
          <cell r="K1914">
            <v>-703793.11</v>
          </cell>
        </row>
        <row r="1915">
          <cell r="G1915" t="str">
            <v>3.5.3.01.02.02 - Perdas de Variação Cambial s</v>
          </cell>
          <cell r="I1915">
            <v>197949.11</v>
          </cell>
          <cell r="J1915">
            <v>574.48</v>
          </cell>
          <cell r="K1915">
            <v>198523.59</v>
          </cell>
        </row>
        <row r="1916">
          <cell r="H1916" t="str">
            <v>3530102020 Var C Liq Pas-Perda Var Camb s/Exigiv Exterior(R)</v>
          </cell>
          <cell r="I1916">
            <v>197949.11</v>
          </cell>
          <cell r="J1916">
            <v>574.48</v>
          </cell>
          <cell r="K1916">
            <v>198523.59</v>
          </cell>
        </row>
        <row r="1917">
          <cell r="G1917" t="str">
            <v>3.5.3.01.02.03 - Ganhos de Variação Cambial s</v>
          </cell>
          <cell r="I1917">
            <v>-555520.74</v>
          </cell>
          <cell r="J1917">
            <v>-189709.17</v>
          </cell>
          <cell r="K1917">
            <v>-745229.91</v>
          </cell>
        </row>
        <row r="1918">
          <cell r="H1918" t="str">
            <v>3530102030 Var C Liq Pas-Ganho Var Camb s/Empres Exterior(R)</v>
          </cell>
          <cell r="I1918">
            <v>-555520.74</v>
          </cell>
          <cell r="J1918">
            <v>-189709.17</v>
          </cell>
          <cell r="K1918">
            <v>-745229.91</v>
          </cell>
        </row>
        <row r="1919">
          <cell r="G1919" t="str">
            <v>3.5.3.01.02.04 - Perdas de Variação Cambial s</v>
          </cell>
          <cell r="I1919">
            <v>1936536.05</v>
          </cell>
          <cell r="J1919">
            <v>0</v>
          </cell>
          <cell r="K1919">
            <v>1936536.05</v>
          </cell>
        </row>
        <row r="1920">
          <cell r="H1920" t="str">
            <v>3530102040 Var C Liq Pas-Perda Va rCamb s/Empres Exterior(R)</v>
          </cell>
          <cell r="I1920">
            <v>1936536.05</v>
          </cell>
          <cell r="J1920">
            <v>0</v>
          </cell>
          <cell r="K1920">
            <v>1936536.05</v>
          </cell>
        </row>
        <row r="1921">
          <cell r="I1921">
            <v>0</v>
          </cell>
          <cell r="J1921">
            <v>0</v>
          </cell>
          <cell r="K1921">
            <v>0</v>
          </cell>
        </row>
        <row r="1922">
          <cell r="C1922" t="str">
            <v>3.7.1 - PARTICIPAÇÕES NOS LUCROS</v>
          </cell>
          <cell r="I1922">
            <v>0</v>
          </cell>
          <cell r="J1922">
            <v>0</v>
          </cell>
          <cell r="K1922">
            <v>0</v>
          </cell>
        </row>
        <row r="1923">
          <cell r="D1923" t="str">
            <v>3.7.1.01 - Participação nos Lucros</v>
          </cell>
          <cell r="I1923">
            <v>0</v>
          </cell>
          <cell r="J1923">
            <v>0</v>
          </cell>
          <cell r="K1923">
            <v>0</v>
          </cell>
        </row>
        <row r="1924">
          <cell r="F1924" t="str">
            <v>3.7.1.01.01 - Participações de Empregados</v>
          </cell>
          <cell r="I1924">
            <v>0</v>
          </cell>
          <cell r="J1924">
            <v>0</v>
          </cell>
          <cell r="K1924">
            <v>0</v>
          </cell>
        </row>
        <row r="1925">
          <cell r="G1925" t="str">
            <v>3.7.1.01.01.01 - (-) Participações de Emprega</v>
          </cell>
          <cell r="I1925">
            <v>0</v>
          </cell>
          <cell r="J1925">
            <v>0</v>
          </cell>
          <cell r="K1925">
            <v>0</v>
          </cell>
        </row>
        <row r="1926">
          <cell r="H1926" t="str">
            <v>3710101010 (-)PL-Participaçoes de Empregados (Realizado)</v>
          </cell>
          <cell r="I1926">
            <v>0</v>
          </cell>
          <cell r="J1926">
            <v>0</v>
          </cell>
          <cell r="K1926">
            <v>0</v>
          </cell>
        </row>
        <row r="1927">
          <cell r="I1927">
            <v>23322508.170000002</v>
          </cell>
          <cell r="J1927">
            <v>4928848.24</v>
          </cell>
          <cell r="K1927">
            <v>28251356.41</v>
          </cell>
        </row>
        <row r="1928">
          <cell r="C1928" t="str">
            <v>3.9.1 - PROVISÃO PARA CSLL</v>
          </cell>
          <cell r="I1928">
            <v>6077885.6200000001</v>
          </cell>
          <cell r="J1928">
            <v>1280560.92</v>
          </cell>
          <cell r="K1928">
            <v>7358446.54</v>
          </cell>
        </row>
        <row r="1929">
          <cell r="D1929" t="str">
            <v>3.9.1.01 - Provisão para a CSLL</v>
          </cell>
          <cell r="I1929">
            <v>6077885.6200000001</v>
          </cell>
          <cell r="J1929">
            <v>1280560.92</v>
          </cell>
          <cell r="K1929">
            <v>7358446.54</v>
          </cell>
        </row>
        <row r="1930">
          <cell r="F1930" t="str">
            <v>3.9.1.01.01 - Provisão para CSLL Exercicio Co</v>
          </cell>
          <cell r="I1930">
            <v>6077885.6200000001</v>
          </cell>
          <cell r="J1930">
            <v>1280560.92</v>
          </cell>
          <cell r="K1930">
            <v>7358446.54</v>
          </cell>
        </row>
        <row r="1931">
          <cell r="G1931" t="str">
            <v>3.9.1.01.01.01 - Provisão para CSLL Ajustado</v>
          </cell>
          <cell r="I1931">
            <v>6590351.9199999999</v>
          </cell>
          <cell r="J1931">
            <v>1381239.49</v>
          </cell>
          <cell r="K1931">
            <v>7971591.4100000001</v>
          </cell>
        </row>
        <row r="1932">
          <cell r="H1932" t="str">
            <v>3910101011 (-)Prov CSLL/Exerc.Corrente-CSLL Ajustado (Realiz)</v>
          </cell>
          <cell r="I1932">
            <v>6590351.9199999999</v>
          </cell>
          <cell r="J1932">
            <v>1381239.49</v>
          </cell>
          <cell r="K1932">
            <v>7971591.4100000001</v>
          </cell>
        </row>
        <row r="1933">
          <cell r="H1933" t="str">
            <v>3910101014 (-)Prov CSLL/Exerc.Corrente-CSLL Aj Aliq Efet (Rea</v>
          </cell>
          <cell r="I1933">
            <v>0</v>
          </cell>
          <cell r="J1933">
            <v>0</v>
          </cell>
          <cell r="K1933">
            <v>0</v>
          </cell>
        </row>
        <row r="1934">
          <cell r="G1934" t="str">
            <v>3.9.1.01.01.02 - Provisão para CSLL Diferido</v>
          </cell>
          <cell r="I1934">
            <v>-512466.3</v>
          </cell>
          <cell r="J1934">
            <v>-100678.57</v>
          </cell>
          <cell r="K1934">
            <v>-613144.87</v>
          </cell>
        </row>
        <row r="1935">
          <cell r="H1935" t="str">
            <v>3910101021 (-)Prov CSLL/Exerc.Corrente-CSLL Diferido Ativos</v>
          </cell>
          <cell r="I1935">
            <v>-512466.3</v>
          </cell>
          <cell r="J1935">
            <v>-100678.57</v>
          </cell>
          <cell r="K1935">
            <v>-613144.87</v>
          </cell>
        </row>
        <row r="1936">
          <cell r="G1936" t="str">
            <v>3.9.1.01.01.03 - Provisão para CSLL Diferido</v>
          </cell>
          <cell r="I1936">
            <v>0</v>
          </cell>
          <cell r="J1936">
            <v>0</v>
          </cell>
          <cell r="K1936">
            <v>0</v>
          </cell>
        </row>
        <row r="1937">
          <cell r="H1937" t="str">
            <v>3910101031 (-)Prov CSLL/Exerc.Corrente-CSLL Diferido Passivos</v>
          </cell>
          <cell r="I1937">
            <v>0</v>
          </cell>
          <cell r="J1937">
            <v>0</v>
          </cell>
          <cell r="K1937">
            <v>0</v>
          </cell>
        </row>
        <row r="1938">
          <cell r="G1938" t="str">
            <v>3.9.1.01.01.04 - Prov CSLL Diferido (B Negat)</v>
          </cell>
          <cell r="I1938">
            <v>0</v>
          </cell>
          <cell r="J1938">
            <v>0</v>
          </cell>
          <cell r="K1938">
            <v>0</v>
          </cell>
        </row>
        <row r="1939">
          <cell r="H1939" t="str">
            <v>3910101041 (-)Prov CSLL Diferida Base Negativa</v>
          </cell>
          <cell r="I1939">
            <v>0</v>
          </cell>
          <cell r="J1939">
            <v>0</v>
          </cell>
          <cell r="K1939">
            <v>0</v>
          </cell>
        </row>
        <row r="1940">
          <cell r="F1940" t="str">
            <v>3.9.1.01.02 - CSLL Exercicio Anterior</v>
          </cell>
          <cell r="I1940">
            <v>0</v>
          </cell>
          <cell r="J1940">
            <v>0</v>
          </cell>
          <cell r="K1940">
            <v>0</v>
          </cell>
        </row>
        <row r="1941">
          <cell r="G1941" t="str">
            <v>3.9.1.01.02.01 - CSLL Exercicio Anterior</v>
          </cell>
          <cell r="I1941">
            <v>0</v>
          </cell>
          <cell r="J1941">
            <v>0</v>
          </cell>
          <cell r="K1941">
            <v>0</v>
          </cell>
        </row>
        <row r="1942">
          <cell r="H1942" t="str">
            <v>3910102011 Prov CSLL/Exerc Ant-Prov CSLL Exerc Anterior</v>
          </cell>
          <cell r="I1942">
            <v>0</v>
          </cell>
          <cell r="J1942">
            <v>0</v>
          </cell>
          <cell r="K1942">
            <v>0</v>
          </cell>
        </row>
        <row r="1943">
          <cell r="H1943" t="str">
            <v>3910102012 Prov CSLL/Exerc Ant-Recer Prov CSLL Exerc Anterior</v>
          </cell>
          <cell r="I1943">
            <v>0</v>
          </cell>
          <cell r="J1943">
            <v>0</v>
          </cell>
          <cell r="K1943">
            <v>0</v>
          </cell>
        </row>
        <row r="1944">
          <cell r="C1944" t="str">
            <v>3.9.2 - PROVISÃO PARA  IRPJ</v>
          </cell>
          <cell r="I1944">
            <v>17244622.550000001</v>
          </cell>
          <cell r="J1944">
            <v>3648287.32</v>
          </cell>
          <cell r="K1944">
            <v>20892909.870000001</v>
          </cell>
        </row>
        <row r="1945">
          <cell r="D1945" t="str">
            <v>3.9.2.01 - Provisão para o IRPJ</v>
          </cell>
          <cell r="I1945">
            <v>17244622.550000001</v>
          </cell>
          <cell r="J1945">
            <v>3648287.32</v>
          </cell>
          <cell r="K1945">
            <v>20892909.870000001</v>
          </cell>
        </row>
        <row r="1946">
          <cell r="F1946" t="str">
            <v>3.9.2.01.01 - Provisão para  IRPJ Exercicio C</v>
          </cell>
          <cell r="I1946">
            <v>17244622.550000001</v>
          </cell>
          <cell r="J1946">
            <v>3648287.32</v>
          </cell>
          <cell r="K1946">
            <v>20892909.870000001</v>
          </cell>
        </row>
        <row r="1947">
          <cell r="G1947" t="str">
            <v>3.9.2.01.01.01 - Provisão para IRPJ s/Lucro R</v>
          </cell>
          <cell r="I1947">
            <v>18668141.5</v>
          </cell>
          <cell r="J1947">
            <v>3927946.25</v>
          </cell>
          <cell r="K1947">
            <v>22596087.75</v>
          </cell>
        </row>
        <row r="1948">
          <cell r="H1948" t="str">
            <v>3920101011 (-)Prov IRPJ/Exerc.Correne-IRPJ s/Lucro Real</v>
          </cell>
          <cell r="I1948">
            <v>18668141.5</v>
          </cell>
          <cell r="J1948">
            <v>3927946.25</v>
          </cell>
          <cell r="K1948">
            <v>22596087.75</v>
          </cell>
        </row>
        <row r="1949">
          <cell r="H1949" t="str">
            <v>3920101014 (-)Prov IRPJ/Exerc.Corrente Aj Aliq Efetiva (Reali</v>
          </cell>
          <cell r="I1949">
            <v>0</v>
          </cell>
          <cell r="J1949">
            <v>0</v>
          </cell>
          <cell r="K1949">
            <v>0</v>
          </cell>
        </row>
        <row r="1950">
          <cell r="G1950" t="str">
            <v>3.9.2.01.01.02 - Provisão para IRPJ Diferido</v>
          </cell>
          <cell r="I1950">
            <v>-1423518.95</v>
          </cell>
          <cell r="J1950">
            <v>-279658.93</v>
          </cell>
          <cell r="K1950">
            <v>-1703177.88</v>
          </cell>
        </row>
        <row r="1951">
          <cell r="H1951" t="str">
            <v>3920101021 (-)Prov IRPJ/Exerc.Corrente-IRPJ Diferido Ativos</v>
          </cell>
          <cell r="I1951">
            <v>-1423518.95</v>
          </cell>
          <cell r="J1951">
            <v>-279658.93</v>
          </cell>
          <cell r="K1951">
            <v>-1703177.88</v>
          </cell>
        </row>
        <row r="1952">
          <cell r="G1952" t="str">
            <v>3.9.2.01.01.03 - Provisão para IRPJ Diferido</v>
          </cell>
          <cell r="I1952">
            <v>0</v>
          </cell>
          <cell r="J1952">
            <v>0</v>
          </cell>
          <cell r="K1952">
            <v>0</v>
          </cell>
        </row>
        <row r="1953">
          <cell r="H1953" t="str">
            <v>3920101031 (-)Prov IRPJ/Exerc.Corrente-IRPJ Diferido Passivos</v>
          </cell>
          <cell r="I1953">
            <v>0</v>
          </cell>
          <cell r="J1953">
            <v>0</v>
          </cell>
          <cell r="K1953">
            <v>0</v>
          </cell>
        </row>
        <row r="1954">
          <cell r="G1954" t="str">
            <v>3.9.2.01.01.04 - Prov IRPJ Diferido Prej Fisc</v>
          </cell>
          <cell r="I1954">
            <v>0</v>
          </cell>
          <cell r="J1954">
            <v>0</v>
          </cell>
          <cell r="K1954">
            <v>0</v>
          </cell>
        </row>
        <row r="1955">
          <cell r="H1955" t="str">
            <v>3920101041 (-)Prov IRPJ Diferido Prej Fiscal</v>
          </cell>
          <cell r="I1955">
            <v>0</v>
          </cell>
          <cell r="J1955">
            <v>0</v>
          </cell>
          <cell r="K1955">
            <v>0</v>
          </cell>
        </row>
        <row r="1956">
          <cell r="F1956" t="str">
            <v>3.9.2.01.02 - IRPJ Exercicio Anterior</v>
          </cell>
          <cell r="I1956">
            <v>0</v>
          </cell>
          <cell r="J1956">
            <v>0</v>
          </cell>
          <cell r="K1956">
            <v>0</v>
          </cell>
        </row>
        <row r="1957">
          <cell r="G1957" t="str">
            <v>3.9.2.01.02.01 - IRPJ Exercicio Anterior</v>
          </cell>
          <cell r="I1957">
            <v>0</v>
          </cell>
          <cell r="J1957">
            <v>0</v>
          </cell>
          <cell r="K1957">
            <v>0</v>
          </cell>
        </row>
        <row r="1958">
          <cell r="H1958" t="str">
            <v>3920102011 Prov IRPJ/Exerc.Ant-Prov IRPJ Exerc Anterior</v>
          </cell>
          <cell r="I1958">
            <v>0</v>
          </cell>
          <cell r="J1958">
            <v>0</v>
          </cell>
          <cell r="K1958">
            <v>0</v>
          </cell>
        </row>
        <row r="1959">
          <cell r="H1959" t="str">
            <v>3920102012 Prov IRPJ/Exerc.Ant-Rever Prov IRPJ Exerc Anterior</v>
          </cell>
          <cell r="I1959">
            <v>0</v>
          </cell>
          <cell r="J1959">
            <v>0</v>
          </cell>
          <cell r="K1959">
            <v>0</v>
          </cell>
        </row>
        <row r="1960">
          <cell r="I1960">
            <v>0</v>
          </cell>
          <cell r="J1960">
            <v>0</v>
          </cell>
          <cell r="K1960">
            <v>0</v>
          </cell>
        </row>
        <row r="1961">
          <cell r="I1961">
            <v>0</v>
          </cell>
          <cell r="J1961">
            <v>0</v>
          </cell>
          <cell r="K1961">
            <v>0</v>
          </cell>
        </row>
        <row r="1962">
          <cell r="C1962" t="str">
            <v>4.1.1 - TRANSF. RESULTADO DO EXERCÍCIO</v>
          </cell>
          <cell r="I1962">
            <v>0</v>
          </cell>
          <cell r="J1962">
            <v>0</v>
          </cell>
          <cell r="K1962">
            <v>0</v>
          </cell>
        </row>
        <row r="1963">
          <cell r="D1963" t="str">
            <v>4.1.1.01 - TRANSF. RESULTADO DO EXERCÍCIO</v>
          </cell>
          <cell r="I1963">
            <v>0</v>
          </cell>
          <cell r="J1963">
            <v>0</v>
          </cell>
          <cell r="K1963">
            <v>0</v>
          </cell>
        </row>
        <row r="1964">
          <cell r="F1964" t="str">
            <v>4.1.1.01.01 - TRANSF. RESULTADO DO EXERCÍCIO</v>
          </cell>
          <cell r="I1964">
            <v>0</v>
          </cell>
          <cell r="J1964">
            <v>0</v>
          </cell>
          <cell r="K1964">
            <v>0</v>
          </cell>
        </row>
        <row r="1965">
          <cell r="G1965" t="str">
            <v>4.1.1.01.01.01 - TRANSF. RESULTADO DO EXERC.</v>
          </cell>
          <cell r="I1965">
            <v>0</v>
          </cell>
          <cell r="J1965">
            <v>0</v>
          </cell>
          <cell r="K1965">
            <v>0</v>
          </cell>
        </row>
        <row r="1966">
          <cell r="H1966" t="str">
            <v>4110101010 Transferência do resultado do exercício</v>
          </cell>
          <cell r="I1966">
            <v>0</v>
          </cell>
          <cell r="J1966">
            <v>0</v>
          </cell>
          <cell r="K1966">
            <v>0</v>
          </cell>
        </row>
        <row r="1967">
          <cell r="I1967">
            <v>0</v>
          </cell>
          <cell r="J1967">
            <v>0</v>
          </cell>
          <cell r="K1967">
            <v>0</v>
          </cell>
        </row>
        <row r="1968">
          <cell r="I1968">
            <v>0</v>
          </cell>
          <cell r="J1968">
            <v>0</v>
          </cell>
          <cell r="K1968">
            <v>0</v>
          </cell>
        </row>
        <row r="1969">
          <cell r="C1969" t="str">
            <v>5.1.1 - CUSTO DOS PRODUTOS DE FABRICAÇÃO PRÓP</v>
          </cell>
          <cell r="I1969">
            <v>177220741.03</v>
          </cell>
          <cell r="J1969">
            <v>36261139.5</v>
          </cell>
          <cell r="K1969">
            <v>213481880.53</v>
          </cell>
        </row>
        <row r="1970">
          <cell r="D1970" t="str">
            <v>5.1.1.01 - Consumo de Insumos</v>
          </cell>
          <cell r="I1970">
            <v>115365791.11</v>
          </cell>
          <cell r="J1970">
            <v>23874538.73</v>
          </cell>
          <cell r="K1970">
            <v>139240329.84</v>
          </cell>
        </row>
        <row r="1971">
          <cell r="F1971" t="str">
            <v>5.1.1.01.01 - Estoque Consumido na Produção</v>
          </cell>
          <cell r="I1971">
            <v>62110476.030000001</v>
          </cell>
          <cell r="J1971">
            <v>13849292.59</v>
          </cell>
          <cell r="K1971">
            <v>75959768.620000005</v>
          </cell>
        </row>
        <row r="1972">
          <cell r="G1972" t="str">
            <v>5.1.1.01.01.01 - Consumo de Materia Prima - S</v>
          </cell>
          <cell r="I1972">
            <v>29992997.030000001</v>
          </cell>
          <cell r="J1972">
            <v>7669707.5700000003</v>
          </cell>
          <cell r="K1972">
            <v>37662704.600000001</v>
          </cell>
        </row>
        <row r="1973">
          <cell r="H1973" t="str">
            <v>5110101010 Estoq Consumido Prod-Materia Prima SAL (Realizado)</v>
          </cell>
          <cell r="I1973">
            <v>27985548.579999998</v>
          </cell>
          <cell r="J1973">
            <v>7025157.2699999996</v>
          </cell>
          <cell r="K1973">
            <v>35010705.850000001</v>
          </cell>
        </row>
        <row r="1974">
          <cell r="H1974" t="str">
            <v>5110101011 Estoq Consumido Prod-Materia Prima SAL (Aj Real)</v>
          </cell>
          <cell r="I1974">
            <v>2007448.45</v>
          </cell>
          <cell r="J1974">
            <v>644550.30000000005</v>
          </cell>
          <cell r="K1974">
            <v>2651998.75</v>
          </cell>
        </row>
        <row r="1975">
          <cell r="G1975" t="str">
            <v>5.1.1.01.01.02 - Consumo de Materia Prima - E</v>
          </cell>
          <cell r="I1975">
            <v>10465219.77</v>
          </cell>
          <cell r="J1975">
            <v>2773960.58</v>
          </cell>
          <cell r="K1975">
            <v>13239180.35</v>
          </cell>
        </row>
        <row r="1976">
          <cell r="H1976" t="str">
            <v>5110101020 Estoq Consumido Prod-MP-Etileno (Realizado)</v>
          </cell>
          <cell r="I1976">
            <v>12483963.35</v>
          </cell>
          <cell r="J1976">
            <v>2778220.05</v>
          </cell>
          <cell r="K1976">
            <v>15262183.4</v>
          </cell>
        </row>
        <row r="1977">
          <cell r="H1977" t="str">
            <v>5110101021 Estoq Consumido Prod-MP-Etileno (Aj Real)</v>
          </cell>
          <cell r="I1977">
            <v>-2018743.58</v>
          </cell>
          <cell r="J1977">
            <v>-4259.47</v>
          </cell>
          <cell r="K1977">
            <v>-2023003.05</v>
          </cell>
        </row>
        <row r="1978">
          <cell r="G1978" t="str">
            <v>5.1.1.01.01.30 - Consumo de Materiais Auxilia</v>
          </cell>
          <cell r="I1978">
            <v>11007797.630000001</v>
          </cell>
          <cell r="J1978">
            <v>1467412.68</v>
          </cell>
          <cell r="K1978">
            <v>12475210.310000001</v>
          </cell>
        </row>
        <row r="1979">
          <cell r="H1979" t="str">
            <v>5110101300 Estoq Consumido Prod-Mat Aux Gas Natural (Realiz)</v>
          </cell>
          <cell r="I1979">
            <v>12339892.23</v>
          </cell>
          <cell r="J1979">
            <v>1614551.89</v>
          </cell>
          <cell r="K1979">
            <v>13954444.119999999</v>
          </cell>
        </row>
        <row r="1980">
          <cell r="H1980" t="str">
            <v>5110101301 Estoq Consumido Prod-Mat Aux Gas Natural (Aj Real)</v>
          </cell>
          <cell r="I1980">
            <v>-1332094.6000000001</v>
          </cell>
          <cell r="J1980">
            <v>-147139.21</v>
          </cell>
          <cell r="K1980">
            <v>-1479233.81</v>
          </cell>
        </row>
        <row r="1981">
          <cell r="G1981" t="str">
            <v>5.1.1.01.01.31 - Consumo de Materiais Auxilia</v>
          </cell>
          <cell r="I1981">
            <v>5029306.2300000004</v>
          </cell>
          <cell r="J1981">
            <v>1278713.8899999999</v>
          </cell>
          <cell r="K1981">
            <v>6308020.1200000001</v>
          </cell>
        </row>
        <row r="1982">
          <cell r="H1982" t="str">
            <v>5110101310 Estoq Consumido Prod-M Aux Vapor Petroc (Realiz)</v>
          </cell>
          <cell r="I1982">
            <v>5224032</v>
          </cell>
          <cell r="J1982">
            <v>1225546.43</v>
          </cell>
          <cell r="K1982">
            <v>6449578.4299999997</v>
          </cell>
        </row>
        <row r="1983">
          <cell r="H1983" t="str">
            <v>5110101311 Estoq Consumido Prod-M Aux Vapor Petroc (Aj Real)</v>
          </cell>
          <cell r="I1983">
            <v>-194725.77</v>
          </cell>
          <cell r="J1983">
            <v>53167.46</v>
          </cell>
          <cell r="K1983">
            <v>-141558.31</v>
          </cell>
        </row>
        <row r="1984">
          <cell r="G1984" t="str">
            <v>5.1.1.01.01.49 - Consumo de Materiais Auxilia</v>
          </cell>
          <cell r="I1984">
            <v>4186276.53</v>
          </cell>
          <cell r="J1984">
            <v>485874.5</v>
          </cell>
          <cell r="K1984">
            <v>4672151.03</v>
          </cell>
        </row>
        <row r="1985">
          <cell r="H1985" t="str">
            <v>5110101490 Estoq Consumido Prod-M Aux Demais (Realizado)</v>
          </cell>
          <cell r="I1985">
            <v>3979132.02</v>
          </cell>
          <cell r="J1985">
            <v>449110.5</v>
          </cell>
          <cell r="K1985">
            <v>4428242.5199999996</v>
          </cell>
        </row>
        <row r="1986">
          <cell r="H1986" t="str">
            <v>5110101491 Estoq Consumido Prod-M Aux Demais (Aj Real)</v>
          </cell>
          <cell r="I1986">
            <v>207144.51</v>
          </cell>
          <cell r="J1986">
            <v>36764</v>
          </cell>
          <cell r="K1986">
            <v>243908.51</v>
          </cell>
        </row>
        <row r="1987">
          <cell r="G1987" t="str">
            <v>5.1.1.01.01.50 - Consumo de Embalagens</v>
          </cell>
          <cell r="I1987">
            <v>1428878.84</v>
          </cell>
          <cell r="J1987">
            <v>173623.37</v>
          </cell>
          <cell r="K1987">
            <v>1602502.21</v>
          </cell>
        </row>
        <row r="1988">
          <cell r="H1988" t="str">
            <v>5110101500 Estoq Consumido Prod-Embalagens (Realizado)</v>
          </cell>
          <cell r="I1988">
            <v>1496566.32</v>
          </cell>
          <cell r="J1988">
            <v>172538.79</v>
          </cell>
          <cell r="K1988">
            <v>1669105.11</v>
          </cell>
        </row>
        <row r="1989">
          <cell r="H1989" t="str">
            <v>5110101501 Estoq Consumido Prod-Embalagens (Aj Real)</v>
          </cell>
          <cell r="I1989">
            <v>-67687.48</v>
          </cell>
          <cell r="J1989">
            <v>1084.58</v>
          </cell>
          <cell r="K1989">
            <v>-66602.899999999994</v>
          </cell>
        </row>
        <row r="1990">
          <cell r="G1990" t="str">
            <v>5.1.1.01.01.70 - Consumo de Semi Acabado</v>
          </cell>
          <cell r="I1990">
            <v>0</v>
          </cell>
          <cell r="J1990">
            <v>0</v>
          </cell>
          <cell r="K1990">
            <v>0</v>
          </cell>
        </row>
        <row r="1991">
          <cell r="H1991" t="str">
            <v>5110101700 Estoq Consumido Prod-Semi Acabados (Realiz)</v>
          </cell>
          <cell r="I1991">
            <v>0</v>
          </cell>
          <cell r="J1991">
            <v>0</v>
          </cell>
          <cell r="K1991">
            <v>0</v>
          </cell>
        </row>
        <row r="1992">
          <cell r="G1992" t="str">
            <v>5.1.1.01.01.90 - Insumos Recuperados</v>
          </cell>
          <cell r="I1992">
            <v>0</v>
          </cell>
          <cell r="J1992">
            <v>0</v>
          </cell>
          <cell r="K1992">
            <v>0</v>
          </cell>
        </row>
        <row r="1993">
          <cell r="H1993" t="str">
            <v>5110101900 Estoq Consumido Prod-Insumos Recuperados (Realiz)</v>
          </cell>
          <cell r="I1993">
            <v>0</v>
          </cell>
          <cell r="J1993">
            <v>0</v>
          </cell>
          <cell r="K1993">
            <v>0</v>
          </cell>
        </row>
        <row r="1994">
          <cell r="F1994" t="str">
            <v>5.1.1.01.02 - Revestimentos</v>
          </cell>
          <cell r="I1994">
            <v>455614.3</v>
          </cell>
          <cell r="J1994">
            <v>93636.27</v>
          </cell>
          <cell r="K1994">
            <v>549250.56999999995</v>
          </cell>
        </row>
        <row r="1995">
          <cell r="G1995" t="str">
            <v>5.1.1.01.02.01 - Revestimentos de Anodos</v>
          </cell>
          <cell r="I1995">
            <v>455614.3</v>
          </cell>
          <cell r="J1995">
            <v>93636.27</v>
          </cell>
          <cell r="K1995">
            <v>549250.56999999995</v>
          </cell>
        </row>
        <row r="1996">
          <cell r="H1996" t="str">
            <v>5110102010 Cons.Insumo-Revestimentos de Anodos (Realizado)</v>
          </cell>
          <cell r="I1996">
            <v>455614.3</v>
          </cell>
          <cell r="J1996">
            <v>93636.27</v>
          </cell>
          <cell r="K1996">
            <v>549250.56999999995</v>
          </cell>
        </row>
        <row r="1997">
          <cell r="F1997" t="str">
            <v>5.1.1.01.05 - Energia Eletrica</v>
          </cell>
          <cell r="I1997">
            <v>52799700.780000001</v>
          </cell>
          <cell r="J1997">
            <v>9931609.8699999992</v>
          </cell>
          <cell r="K1997">
            <v>62731310.649999999</v>
          </cell>
        </row>
        <row r="1998">
          <cell r="G1998" t="str">
            <v>5.1.1.01.05.01 - Consumo de Energia Eletrica</v>
          </cell>
          <cell r="I1998">
            <v>52799700.780000001</v>
          </cell>
          <cell r="J1998">
            <v>9931609.8699999992</v>
          </cell>
          <cell r="K1998">
            <v>62731310.649999999</v>
          </cell>
        </row>
        <row r="1999">
          <cell r="H1999" t="str">
            <v>5110105010 Cons Insumo E Eletrica Cons Energia Eletrica (R)</v>
          </cell>
          <cell r="I1999">
            <v>52799700.780000001</v>
          </cell>
          <cell r="J1999">
            <v>6184876.9199999999</v>
          </cell>
          <cell r="K1999">
            <v>58984577.700000003</v>
          </cell>
        </row>
        <row r="2000">
          <cell r="H2000" t="str">
            <v>5110105011 Cons Insumo-E Eletrica-Prov Cons. Energia Eletrica</v>
          </cell>
          <cell r="I2000">
            <v>0</v>
          </cell>
          <cell r="J2000">
            <v>3746732.95</v>
          </cell>
          <cell r="K2000">
            <v>3746732.95</v>
          </cell>
        </row>
        <row r="2001">
          <cell r="H2001" t="str">
            <v>5110105012 Cons Insumo-E Eletrica-Rev Cons Energia Eletrica</v>
          </cell>
          <cell r="I2001">
            <v>0</v>
          </cell>
          <cell r="J2001">
            <v>0</v>
          </cell>
          <cell r="K2001">
            <v>0</v>
          </cell>
        </row>
        <row r="2002">
          <cell r="D2002" t="str">
            <v>5.1.1.05 - Ajustes de Preços (Material Ledger</v>
          </cell>
          <cell r="I2002">
            <v>0</v>
          </cell>
          <cell r="J2002">
            <v>0</v>
          </cell>
          <cell r="K2002">
            <v>0</v>
          </cell>
        </row>
        <row r="2003">
          <cell r="F2003" t="str">
            <v>5.1.1.05.01 - Variação na transferência de in</v>
          </cell>
          <cell r="I2003">
            <v>0</v>
          </cell>
          <cell r="J2003">
            <v>0</v>
          </cell>
          <cell r="K2003">
            <v>0</v>
          </cell>
        </row>
        <row r="2004">
          <cell r="G2004" t="str">
            <v>5.1.1.05.01.01 - Variação na transferência de</v>
          </cell>
          <cell r="I2004">
            <v>0</v>
          </cell>
          <cell r="J2004">
            <v>0</v>
          </cell>
          <cell r="K2004">
            <v>0</v>
          </cell>
        </row>
        <row r="2005">
          <cell r="H2005" t="str">
            <v>5110501010 Aj Preço-Var Transf Inventario-SAL (AUM)</v>
          </cell>
          <cell r="I2005">
            <v>0</v>
          </cell>
          <cell r="J2005">
            <v>0</v>
          </cell>
          <cell r="K2005">
            <v>0</v>
          </cell>
        </row>
        <row r="2006">
          <cell r="G2006" t="str">
            <v>5.1.1.05.01.02 - Variação na transferência de</v>
          </cell>
          <cell r="I2006">
            <v>0</v>
          </cell>
          <cell r="J2006">
            <v>0</v>
          </cell>
          <cell r="K2006">
            <v>0</v>
          </cell>
        </row>
        <row r="2007">
          <cell r="H2007" t="str">
            <v>5110501020 Aj Preço-Var Transf Inventario-Etileno (AUM)</v>
          </cell>
          <cell r="I2007">
            <v>0</v>
          </cell>
          <cell r="J2007">
            <v>0</v>
          </cell>
          <cell r="K2007">
            <v>0</v>
          </cell>
        </row>
        <row r="2008">
          <cell r="G2008" t="str">
            <v>5.1.1.05.01.03 - Variação na transferência de</v>
          </cell>
          <cell r="I2008">
            <v>0</v>
          </cell>
          <cell r="J2008">
            <v>0</v>
          </cell>
          <cell r="K2008">
            <v>0</v>
          </cell>
        </row>
        <row r="2009">
          <cell r="H2009" t="str">
            <v>5110501030 Aj Preço-Var Transf Inventario-Gas Natural (AUM)</v>
          </cell>
          <cell r="I2009">
            <v>0</v>
          </cell>
          <cell r="J2009">
            <v>0</v>
          </cell>
          <cell r="K2009">
            <v>0</v>
          </cell>
        </row>
        <row r="2010">
          <cell r="G2010" t="str">
            <v>5.1.1.05.01.04 - Variação na transferência de</v>
          </cell>
          <cell r="I2010">
            <v>0</v>
          </cell>
          <cell r="J2010">
            <v>0</v>
          </cell>
          <cell r="K2010">
            <v>0</v>
          </cell>
        </row>
        <row r="2011">
          <cell r="H2011" t="str">
            <v>5110501040 Aj Preço-Var Transf Inventario-Vapor (AUM)</v>
          </cell>
          <cell r="I2011">
            <v>0</v>
          </cell>
          <cell r="J2011">
            <v>0</v>
          </cell>
          <cell r="K2011">
            <v>0</v>
          </cell>
        </row>
        <row r="2012">
          <cell r="G2012" t="str">
            <v>5.1.1.05.01.05 - Variação na transferência de</v>
          </cell>
          <cell r="I2012">
            <v>0</v>
          </cell>
          <cell r="J2012">
            <v>0</v>
          </cell>
          <cell r="K2012">
            <v>0</v>
          </cell>
        </row>
        <row r="2013">
          <cell r="H2013" t="str">
            <v>5110501050 Aj Preço-Var Transf Inventario-Mat Auxiliares(AUM)</v>
          </cell>
          <cell r="I2013">
            <v>0</v>
          </cell>
          <cell r="J2013">
            <v>0</v>
          </cell>
          <cell r="K2013">
            <v>0</v>
          </cell>
        </row>
        <row r="2014">
          <cell r="G2014" t="str">
            <v>5.1.1.05.01.06 - Variação na transferência de</v>
          </cell>
          <cell r="I2014">
            <v>0</v>
          </cell>
          <cell r="J2014">
            <v>0</v>
          </cell>
          <cell r="K2014">
            <v>0</v>
          </cell>
        </row>
        <row r="2015">
          <cell r="H2015" t="str">
            <v>5110501060 Aj Preço-Var Transf Inventario-Embalagens (AUM)</v>
          </cell>
          <cell r="I2015">
            <v>0</v>
          </cell>
          <cell r="J2015">
            <v>0</v>
          </cell>
          <cell r="K2015">
            <v>0</v>
          </cell>
        </row>
        <row r="2016">
          <cell r="G2016" t="str">
            <v>5.1.1.05.01.07 - Variação na transferência de</v>
          </cell>
          <cell r="I2016">
            <v>0</v>
          </cell>
          <cell r="J2016">
            <v>0</v>
          </cell>
          <cell r="K2016">
            <v>0</v>
          </cell>
        </row>
        <row r="2017">
          <cell r="H2017" t="str">
            <v>5110501070 Aj Preço-Var Transf Inventario-Semi Acabados (AUM)</v>
          </cell>
          <cell r="I2017">
            <v>0</v>
          </cell>
          <cell r="J2017">
            <v>0</v>
          </cell>
          <cell r="K2017">
            <v>0</v>
          </cell>
        </row>
        <row r="2018">
          <cell r="G2018" t="str">
            <v>5.1.1.05.01.08 - Variação na transferência de</v>
          </cell>
          <cell r="I2018">
            <v>0</v>
          </cell>
          <cell r="J2018">
            <v>0</v>
          </cell>
          <cell r="K2018">
            <v>0</v>
          </cell>
        </row>
        <row r="2019">
          <cell r="H2019" t="str">
            <v>5110501080 Aj Preço-Var Transf Inventario-Acabados (AUM)</v>
          </cell>
          <cell r="I2019">
            <v>0</v>
          </cell>
          <cell r="J2019">
            <v>0</v>
          </cell>
          <cell r="K2019">
            <v>0</v>
          </cell>
        </row>
        <row r="2020">
          <cell r="G2020" t="str">
            <v>5.1.1.05.01.09 - Variação na transferência de</v>
          </cell>
          <cell r="I2020">
            <v>0</v>
          </cell>
          <cell r="J2020">
            <v>0</v>
          </cell>
          <cell r="K2020">
            <v>0</v>
          </cell>
        </row>
        <row r="2021">
          <cell r="H2021" t="str">
            <v>5110501090 Aj Preço-Var Transf Inventario-Revenda (AUM)</v>
          </cell>
          <cell r="I2021">
            <v>0</v>
          </cell>
          <cell r="J2021">
            <v>0</v>
          </cell>
          <cell r="K2021">
            <v>0</v>
          </cell>
        </row>
        <row r="2022">
          <cell r="G2022" t="str">
            <v>5.1.1.05.01.10 - Variação na transferência de</v>
          </cell>
          <cell r="I2022">
            <v>0</v>
          </cell>
          <cell r="J2022">
            <v>0</v>
          </cell>
          <cell r="K2022">
            <v>0</v>
          </cell>
        </row>
        <row r="2023">
          <cell r="H2023" t="str">
            <v>5110501100 Aj Preço-Var Transf Inventario-Revenda Imp (AUM)</v>
          </cell>
          <cell r="I2023">
            <v>0</v>
          </cell>
          <cell r="J2023">
            <v>0</v>
          </cell>
          <cell r="K2023">
            <v>0</v>
          </cell>
        </row>
        <row r="2024">
          <cell r="F2024" t="str">
            <v>5.1.1.05.03 - Var.preço dif.cambio - entrada</v>
          </cell>
          <cell r="I2024">
            <v>0</v>
          </cell>
          <cell r="J2024">
            <v>0</v>
          </cell>
          <cell r="K2024">
            <v>0</v>
          </cell>
        </row>
        <row r="2025">
          <cell r="G2025" t="str">
            <v>5.1.1.05.03.01 - Var.preço dif.cambio - entra</v>
          </cell>
          <cell r="I2025">
            <v>0</v>
          </cell>
          <cell r="J2025">
            <v>0</v>
          </cell>
          <cell r="K2025">
            <v>0</v>
          </cell>
        </row>
        <row r="2026">
          <cell r="H2026" t="str">
            <v>5110503010 Aj Preço-Var Preço Dif Cambio Entr Mat-Sal (KDM)</v>
          </cell>
          <cell r="I2026">
            <v>0</v>
          </cell>
          <cell r="J2026">
            <v>0</v>
          </cell>
          <cell r="K2026">
            <v>0</v>
          </cell>
        </row>
        <row r="2027">
          <cell r="G2027" t="str">
            <v>5.1.1.05.03.02 - Var.preço dif.cambio - entra</v>
          </cell>
          <cell r="I2027">
            <v>0</v>
          </cell>
          <cell r="J2027">
            <v>0</v>
          </cell>
          <cell r="K2027">
            <v>0</v>
          </cell>
        </row>
        <row r="2028">
          <cell r="H2028" t="str">
            <v>5110503020 Aj Preço-Var Preço Dif Cambio Ent Mat-Etileno(KDM)</v>
          </cell>
          <cell r="I2028">
            <v>0</v>
          </cell>
          <cell r="J2028">
            <v>0</v>
          </cell>
          <cell r="K2028">
            <v>0</v>
          </cell>
        </row>
        <row r="2029">
          <cell r="G2029" t="str">
            <v>5.1.1.05.03.03 - Var.preço dif.cambio - entra</v>
          </cell>
          <cell r="I2029">
            <v>0</v>
          </cell>
          <cell r="J2029">
            <v>0</v>
          </cell>
          <cell r="K2029">
            <v>0</v>
          </cell>
        </row>
        <row r="2030">
          <cell r="H2030" t="str">
            <v>5110503030 Aj Preço-Var Preço Dif Cambio Ent Mat-Gas Nat(KDM)</v>
          </cell>
          <cell r="I2030">
            <v>0</v>
          </cell>
          <cell r="J2030">
            <v>0</v>
          </cell>
          <cell r="K2030">
            <v>0</v>
          </cell>
        </row>
        <row r="2031">
          <cell r="G2031" t="str">
            <v>5.1.1.05.03.04 - Var.preço dif.cambio - entra</v>
          </cell>
          <cell r="I2031">
            <v>0</v>
          </cell>
          <cell r="J2031">
            <v>0</v>
          </cell>
          <cell r="K2031">
            <v>0</v>
          </cell>
        </row>
        <row r="2032">
          <cell r="H2032" t="str">
            <v>5110503040 Aj Preço-Var Preço Dif Cambio Ent Mat-Vapor (KDM)</v>
          </cell>
          <cell r="I2032">
            <v>0</v>
          </cell>
          <cell r="J2032">
            <v>0</v>
          </cell>
          <cell r="K2032">
            <v>0</v>
          </cell>
        </row>
        <row r="2033">
          <cell r="G2033" t="str">
            <v>5.1.1.05.03.05 - Var.preço dif.cambio - entra</v>
          </cell>
          <cell r="I2033">
            <v>0</v>
          </cell>
          <cell r="J2033">
            <v>0</v>
          </cell>
          <cell r="K2033">
            <v>0</v>
          </cell>
        </row>
        <row r="2034">
          <cell r="H2034" t="str">
            <v>5110503050 Aj Preço-Var Preço Dif Cambio Ent Mat Aux (KDM)</v>
          </cell>
          <cell r="I2034">
            <v>0</v>
          </cell>
          <cell r="J2034">
            <v>0</v>
          </cell>
          <cell r="K2034">
            <v>0</v>
          </cell>
        </row>
        <row r="2035">
          <cell r="G2035" t="str">
            <v>5.1.1.05.03.06 - Var.preço dif.cambio - entra</v>
          </cell>
          <cell r="I2035">
            <v>0</v>
          </cell>
          <cell r="J2035">
            <v>0</v>
          </cell>
          <cell r="K2035">
            <v>0</v>
          </cell>
        </row>
        <row r="2036">
          <cell r="H2036" t="str">
            <v>5110503060 Aj Preço-Var Preço Dif Cambio Ent Mat-Embalag(KDM)</v>
          </cell>
          <cell r="I2036">
            <v>0</v>
          </cell>
          <cell r="J2036">
            <v>0</v>
          </cell>
          <cell r="K2036">
            <v>0</v>
          </cell>
        </row>
        <row r="2037">
          <cell r="G2037" t="str">
            <v>5.1.1.05.03.09 - Var.preço dif.cambio - entra</v>
          </cell>
          <cell r="I2037">
            <v>0</v>
          </cell>
          <cell r="J2037">
            <v>0</v>
          </cell>
          <cell r="K2037">
            <v>0</v>
          </cell>
        </row>
        <row r="2038">
          <cell r="H2038" t="str">
            <v>5110503090 Aj Preço-Var Preço Dif Cambio Ent Mat-Revenda(KDM)</v>
          </cell>
          <cell r="I2038">
            <v>0</v>
          </cell>
          <cell r="J2038">
            <v>0</v>
          </cell>
          <cell r="K2038">
            <v>0</v>
          </cell>
        </row>
        <row r="2039">
          <cell r="G2039" t="str">
            <v>5.1.1.05.03.10 - Var.preço dif.cambio - entra</v>
          </cell>
          <cell r="I2039">
            <v>0</v>
          </cell>
          <cell r="J2039">
            <v>0</v>
          </cell>
          <cell r="K2039">
            <v>0</v>
          </cell>
        </row>
        <row r="2040">
          <cell r="H2040" t="str">
            <v>5110503100 Aj Preço-Var Preço Dif Cambio Ent Mat-Rev Imp(KDM)</v>
          </cell>
          <cell r="I2040">
            <v>0</v>
          </cell>
          <cell r="J2040">
            <v>0</v>
          </cell>
          <cell r="K2040">
            <v>0</v>
          </cell>
        </row>
        <row r="2041">
          <cell r="F2041" t="str">
            <v>5.1.1.05.04 - Var.preço dif.cambio - mudança</v>
          </cell>
          <cell r="I2041">
            <v>1.99</v>
          </cell>
          <cell r="J2041">
            <v>1.69</v>
          </cell>
          <cell r="K2041">
            <v>3.68</v>
          </cell>
        </row>
        <row r="2042">
          <cell r="G2042" t="str">
            <v>5.1.1.05.04.01 - Var.preço dif.cambio - mudan</v>
          </cell>
          <cell r="I2042">
            <v>0</v>
          </cell>
          <cell r="J2042">
            <v>0</v>
          </cell>
          <cell r="K2042">
            <v>0</v>
          </cell>
        </row>
        <row r="2043">
          <cell r="H2043" t="str">
            <v>5110504010 Aj Preço-Var Preço Dif Cambio Mud Nivel-Sal (KDV)</v>
          </cell>
          <cell r="I2043">
            <v>0</v>
          </cell>
          <cell r="J2043">
            <v>0</v>
          </cell>
          <cell r="K2043">
            <v>0</v>
          </cell>
        </row>
        <row r="2044">
          <cell r="G2044" t="str">
            <v>5.1.1.05.04.02 - Var.preço dif.cambio - mudan</v>
          </cell>
          <cell r="I2044">
            <v>0</v>
          </cell>
          <cell r="J2044">
            <v>0</v>
          </cell>
          <cell r="K2044">
            <v>0</v>
          </cell>
        </row>
        <row r="2045">
          <cell r="H2045" t="str">
            <v>5110504020 Aj Preço-Var Preço Dif Camb Mud Nivel-Etileno(KDV)</v>
          </cell>
          <cell r="I2045">
            <v>0</v>
          </cell>
          <cell r="J2045">
            <v>0</v>
          </cell>
          <cell r="K2045">
            <v>0</v>
          </cell>
        </row>
        <row r="2046">
          <cell r="G2046" t="str">
            <v>5.1.1.05.04.03 - Var.preço dif.cambio - mudan</v>
          </cell>
          <cell r="I2046">
            <v>0</v>
          </cell>
          <cell r="J2046">
            <v>0</v>
          </cell>
          <cell r="K2046">
            <v>0</v>
          </cell>
        </row>
        <row r="2047">
          <cell r="H2047" t="str">
            <v>5110504030 Aj Preço-Var Preço Dif Camb Mud Nivel-Gas Nat(KDV)</v>
          </cell>
          <cell r="I2047">
            <v>0</v>
          </cell>
          <cell r="J2047">
            <v>0</v>
          </cell>
          <cell r="K2047">
            <v>0</v>
          </cell>
        </row>
        <row r="2048">
          <cell r="G2048" t="str">
            <v>5.1.1.05.04.04 - Var.preço dif.cambio - mudan</v>
          </cell>
          <cell r="I2048">
            <v>0</v>
          </cell>
          <cell r="J2048">
            <v>0</v>
          </cell>
          <cell r="K2048">
            <v>0</v>
          </cell>
        </row>
        <row r="2049">
          <cell r="H2049" t="str">
            <v>5110504040 Aj Preço-Var Preço Dif Cambio Mud Nivel-Vapor(KDV)</v>
          </cell>
          <cell r="I2049">
            <v>0</v>
          </cell>
          <cell r="J2049">
            <v>0</v>
          </cell>
          <cell r="K2049">
            <v>0</v>
          </cell>
        </row>
        <row r="2050">
          <cell r="G2050" t="str">
            <v>5.1.1.05.04.05 - Var.preço dif.cambio - mudan</v>
          </cell>
          <cell r="I2050">
            <v>0</v>
          </cell>
          <cell r="J2050">
            <v>0</v>
          </cell>
          <cell r="K2050">
            <v>0</v>
          </cell>
        </row>
        <row r="2051">
          <cell r="H2051" t="str">
            <v>5110504050 Aj Preço-Var Preço Dif Camb Mud Nivel-Mat Aux(KDV)</v>
          </cell>
          <cell r="I2051">
            <v>0</v>
          </cell>
          <cell r="J2051">
            <v>0</v>
          </cell>
          <cell r="K2051">
            <v>0</v>
          </cell>
        </row>
        <row r="2052">
          <cell r="G2052" t="str">
            <v>5.1.1.05.04.06 - Var.preço dif.cambio - mudan</v>
          </cell>
          <cell r="I2052">
            <v>0</v>
          </cell>
          <cell r="J2052">
            <v>0</v>
          </cell>
          <cell r="K2052">
            <v>0</v>
          </cell>
        </row>
        <row r="2053">
          <cell r="H2053" t="str">
            <v>5110504060 Aj Preço-Var Preço Dif Camb Mud Nivel-Embalag(KDV)</v>
          </cell>
          <cell r="I2053">
            <v>0</v>
          </cell>
          <cell r="J2053">
            <v>0</v>
          </cell>
          <cell r="K2053">
            <v>0</v>
          </cell>
        </row>
        <row r="2054">
          <cell r="G2054" t="str">
            <v>5.1.1.05.04.07 - Var.preço dif.cambio - mudan</v>
          </cell>
          <cell r="I2054">
            <v>1.91</v>
          </cell>
          <cell r="J2054">
            <v>1.69</v>
          </cell>
          <cell r="K2054">
            <v>3.6</v>
          </cell>
        </row>
        <row r="2055">
          <cell r="H2055" t="str">
            <v>5110504070 Aj Preço-Var Preço Dif C Mud Nivel-Semi Acab (KDV)</v>
          </cell>
          <cell r="I2055">
            <v>1.91</v>
          </cell>
          <cell r="J2055">
            <v>1.69</v>
          </cell>
          <cell r="K2055">
            <v>3.6</v>
          </cell>
        </row>
        <row r="2056">
          <cell r="G2056" t="str">
            <v>5.1.1.05.04.08 - Var.preço dif.cambio - mudan</v>
          </cell>
          <cell r="I2056">
            <v>0.08</v>
          </cell>
          <cell r="J2056">
            <v>0</v>
          </cell>
          <cell r="K2056">
            <v>0.08</v>
          </cell>
        </row>
        <row r="2057">
          <cell r="H2057" t="str">
            <v>5110504080 Aj Preço-Var Preço Dif C Mud Nivel-Acabados (KDV)</v>
          </cell>
          <cell r="I2057">
            <v>0.08</v>
          </cell>
          <cell r="J2057">
            <v>0</v>
          </cell>
          <cell r="K2057">
            <v>0.08</v>
          </cell>
        </row>
        <row r="2058">
          <cell r="G2058" t="str">
            <v>5.1.1.05.04.09 - Var.preço dif.cambio - mudan</v>
          </cell>
          <cell r="I2058">
            <v>0</v>
          </cell>
          <cell r="J2058">
            <v>0</v>
          </cell>
          <cell r="K2058">
            <v>0</v>
          </cell>
        </row>
        <row r="2059">
          <cell r="H2059" t="str">
            <v>5110504090 Aj Preço-Var Preço Dif Camb Mud Nivel-Revenda(KDV)</v>
          </cell>
          <cell r="I2059">
            <v>0</v>
          </cell>
          <cell r="J2059">
            <v>0</v>
          </cell>
          <cell r="K2059">
            <v>0</v>
          </cell>
        </row>
        <row r="2060">
          <cell r="G2060" t="str">
            <v>5.1.1.05.04.10 - Var.preço dif.cambio - mudan</v>
          </cell>
          <cell r="I2060">
            <v>0</v>
          </cell>
          <cell r="J2060">
            <v>0</v>
          </cell>
          <cell r="K2060">
            <v>0</v>
          </cell>
        </row>
        <row r="2061">
          <cell r="H2061" t="str">
            <v>5110504100 Aj Pr-Var Preço Dif Camb Mud Nivel-Reven Imp(KDV)</v>
          </cell>
          <cell r="I2061">
            <v>0</v>
          </cell>
          <cell r="J2061">
            <v>0</v>
          </cell>
          <cell r="K2061">
            <v>0</v>
          </cell>
        </row>
        <row r="2062">
          <cell r="F2062" t="str">
            <v>5.1.1.05.05 - Diferenças de preços de nivel ú</v>
          </cell>
          <cell r="I2062">
            <v>14415763.99</v>
          </cell>
          <cell r="J2062">
            <v>2861201.55</v>
          </cell>
          <cell r="K2062">
            <v>17276965.539999999</v>
          </cell>
        </row>
        <row r="2063">
          <cell r="G2063" t="str">
            <v>5.1.1.05.05.01 - Diferenças de preços de nive</v>
          </cell>
          <cell r="I2063">
            <v>1324827.32</v>
          </cell>
          <cell r="J2063">
            <v>630211.16</v>
          </cell>
          <cell r="K2063">
            <v>1955038.48</v>
          </cell>
        </row>
        <row r="2064">
          <cell r="H2064" t="str">
            <v>5110505010 Aj Preço-Dif Preço Nivel Único-Sal (PRD)</v>
          </cell>
          <cell r="I2064">
            <v>1324827.32</v>
          </cell>
          <cell r="J2064">
            <v>630211.16</v>
          </cell>
          <cell r="K2064">
            <v>1955038.48</v>
          </cell>
        </row>
        <row r="2065">
          <cell r="G2065" t="str">
            <v>5.1.1.05.05.02 - Diferenças de preços de nive</v>
          </cell>
          <cell r="I2065">
            <v>-2018630.3</v>
          </cell>
          <cell r="J2065">
            <v>-4259.47</v>
          </cell>
          <cell r="K2065">
            <v>-2022889.77</v>
          </cell>
        </row>
        <row r="2066">
          <cell r="H2066" t="str">
            <v>5110505020 Aj Preço-Dif Preço Nivel Único-Etileno (PRD)</v>
          </cell>
          <cell r="I2066">
            <v>-2018630.3</v>
          </cell>
          <cell r="J2066">
            <v>-4259.47</v>
          </cell>
          <cell r="K2066">
            <v>-2022889.77</v>
          </cell>
        </row>
        <row r="2067">
          <cell r="G2067" t="str">
            <v>5.1.1.05.05.03 - Diferenças de preços de nive</v>
          </cell>
          <cell r="I2067">
            <v>-1332094.6000000001</v>
          </cell>
          <cell r="J2067">
            <v>-147139.21</v>
          </cell>
          <cell r="K2067">
            <v>-1479233.81</v>
          </cell>
        </row>
        <row r="2068">
          <cell r="H2068" t="str">
            <v>5110505030 Aj Preço-Dif Preço Nivel Único-Gás Natural (PRD)</v>
          </cell>
          <cell r="I2068">
            <v>-1332094.6000000001</v>
          </cell>
          <cell r="J2068">
            <v>-147139.21</v>
          </cell>
          <cell r="K2068">
            <v>-1479233.81</v>
          </cell>
        </row>
        <row r="2069">
          <cell r="G2069" t="str">
            <v>5.1.1.05.05.04 - Diferenças de preços de nive</v>
          </cell>
          <cell r="I2069">
            <v>-194725.77</v>
          </cell>
          <cell r="J2069">
            <v>53167.46</v>
          </cell>
          <cell r="K2069">
            <v>-141558.31</v>
          </cell>
        </row>
        <row r="2070">
          <cell r="H2070" t="str">
            <v>5110505040 Aj Preço-Dif Preço Nivel Único-Vapor (PRD)</v>
          </cell>
          <cell r="I2070">
            <v>-194725.77</v>
          </cell>
          <cell r="J2070">
            <v>53167.46</v>
          </cell>
          <cell r="K2070">
            <v>-141558.31</v>
          </cell>
        </row>
        <row r="2071">
          <cell r="G2071" t="str">
            <v>5.1.1.05.05.05 - Diferenças de preços de nive</v>
          </cell>
          <cell r="I2071">
            <v>385290.89</v>
          </cell>
          <cell r="J2071">
            <v>162518.99</v>
          </cell>
          <cell r="K2071">
            <v>547809.88</v>
          </cell>
        </row>
        <row r="2072">
          <cell r="H2072" t="str">
            <v>5110505050 Aj Preço-Dif Preço Nivel Único-Mat Auxiliares(PRD)</v>
          </cell>
          <cell r="I2072">
            <v>385290.89</v>
          </cell>
          <cell r="J2072">
            <v>162518.99</v>
          </cell>
          <cell r="K2072">
            <v>547809.88</v>
          </cell>
        </row>
        <row r="2073">
          <cell r="G2073" t="str">
            <v>5.1.1.05.05.06 - Diferenças de preços de nive</v>
          </cell>
          <cell r="I2073">
            <v>-60016.46</v>
          </cell>
          <cell r="J2073">
            <v>-4713.13</v>
          </cell>
          <cell r="K2073">
            <v>-64729.59</v>
          </cell>
        </row>
        <row r="2074">
          <cell r="H2074" t="str">
            <v>5110505060 Aj Preço-Dif Preço Nivel Único-Embalagens (PRD)</v>
          </cell>
          <cell r="I2074">
            <v>-60016.46</v>
          </cell>
          <cell r="J2074">
            <v>-4713.13</v>
          </cell>
          <cell r="K2074">
            <v>-64729.59</v>
          </cell>
        </row>
        <row r="2075">
          <cell r="G2075" t="str">
            <v>5.1.1.05.05.07 - Diferenças de preços de nive</v>
          </cell>
          <cell r="I2075">
            <v>14965921.26</v>
          </cell>
          <cell r="J2075">
            <v>2250565.0099999998</v>
          </cell>
          <cell r="K2075">
            <v>17216486.27</v>
          </cell>
        </row>
        <row r="2076">
          <cell r="H2076" t="str">
            <v>5110505070 Aj Preço-Dif Preço Nivel Único-Semi Acabados (PRD)</v>
          </cell>
          <cell r="I2076">
            <v>14965921.26</v>
          </cell>
          <cell r="J2076">
            <v>2250565.0099999998</v>
          </cell>
          <cell r="K2076">
            <v>17216486.27</v>
          </cell>
        </row>
        <row r="2077">
          <cell r="G2077" t="str">
            <v>5.1.1.05.05.08 - Diferenças de preços de nive</v>
          </cell>
          <cell r="I2077">
            <v>1129860.3799999999</v>
          </cell>
          <cell r="J2077">
            <v>-151358.37</v>
          </cell>
          <cell r="K2077">
            <v>978502.01</v>
          </cell>
        </row>
        <row r="2078">
          <cell r="H2078" t="str">
            <v>5110505080 Aj Preço-Dif Preço Nivel Único-Acabados (PRD)</v>
          </cell>
          <cell r="I2078">
            <v>1129860.3799999999</v>
          </cell>
          <cell r="J2078">
            <v>-151358.37</v>
          </cell>
          <cell r="K2078">
            <v>978502.01</v>
          </cell>
        </row>
        <row r="2079">
          <cell r="G2079" t="str">
            <v>5.1.1.05.05.09 - Diferenças de preços de nive</v>
          </cell>
          <cell r="I2079">
            <v>156920.46</v>
          </cell>
          <cell r="J2079">
            <v>72209.11</v>
          </cell>
          <cell r="K2079">
            <v>229129.57</v>
          </cell>
        </row>
        <row r="2080">
          <cell r="H2080" t="str">
            <v>5110505090 Aj Preço-Dif Preço Nivel Único-Revenda (PRD)</v>
          </cell>
          <cell r="I2080">
            <v>156920.46</v>
          </cell>
          <cell r="J2080">
            <v>72209.11</v>
          </cell>
          <cell r="K2080">
            <v>229129.57</v>
          </cell>
        </row>
        <row r="2081">
          <cell r="G2081" t="str">
            <v>5.1.1.05.05.10 - Diferenças de preços de nive</v>
          </cell>
          <cell r="I2081">
            <v>58410.81</v>
          </cell>
          <cell r="J2081">
            <v>0</v>
          </cell>
          <cell r="K2081">
            <v>58410.81</v>
          </cell>
        </row>
        <row r="2082">
          <cell r="H2082" t="str">
            <v>5110505100 Aj Preço-Dif Preço Nivel Único-Revenda Imp (PRD)</v>
          </cell>
          <cell r="I2082">
            <v>58410.81</v>
          </cell>
          <cell r="J2082">
            <v>0</v>
          </cell>
          <cell r="K2082">
            <v>58410.81</v>
          </cell>
        </row>
        <row r="2083">
          <cell r="F2083" t="str">
            <v>5.1.1.05.06 - Diferenças de preços multinivel</v>
          </cell>
          <cell r="I2083">
            <v>3.34</v>
          </cell>
          <cell r="J2083">
            <v>-0.01</v>
          </cell>
          <cell r="K2083">
            <v>3.33</v>
          </cell>
        </row>
        <row r="2084">
          <cell r="G2084" t="str">
            <v>5.1.1.05.06.01 - Diferenças de preços multini</v>
          </cell>
          <cell r="I2084">
            <v>0</v>
          </cell>
          <cell r="J2084">
            <v>0</v>
          </cell>
          <cell r="K2084">
            <v>0</v>
          </cell>
        </row>
        <row r="2085">
          <cell r="H2085" t="str">
            <v>5110506010 Aj Preço-Dif Preço Multinivel-Sal (PRV)</v>
          </cell>
          <cell r="I2085">
            <v>0</v>
          </cell>
          <cell r="J2085">
            <v>0</v>
          </cell>
          <cell r="K2085">
            <v>0</v>
          </cell>
        </row>
        <row r="2086">
          <cell r="G2086" t="str">
            <v>5.1.1.05.06.02 - Diferenças de preços multini</v>
          </cell>
          <cell r="I2086">
            <v>0</v>
          </cell>
          <cell r="J2086">
            <v>0</v>
          </cell>
          <cell r="K2086">
            <v>0</v>
          </cell>
        </row>
        <row r="2087">
          <cell r="H2087" t="str">
            <v>5110506020 Aj Preço-Dif Preço Multinivel-Etileno (PRV)</v>
          </cell>
          <cell r="I2087">
            <v>0</v>
          </cell>
          <cell r="J2087">
            <v>0</v>
          </cell>
          <cell r="K2087">
            <v>0</v>
          </cell>
        </row>
        <row r="2088">
          <cell r="G2088" t="str">
            <v>5.1.1.05.06.03 - Diferenças de preços multini</v>
          </cell>
          <cell r="I2088">
            <v>0</v>
          </cell>
          <cell r="J2088">
            <v>0</v>
          </cell>
          <cell r="K2088">
            <v>0</v>
          </cell>
        </row>
        <row r="2089">
          <cell r="H2089" t="str">
            <v>5110506030 Aj Preço-Dif Preço Multinivel-Gas Natural (PRV)</v>
          </cell>
          <cell r="I2089">
            <v>0</v>
          </cell>
          <cell r="J2089">
            <v>0</v>
          </cell>
          <cell r="K2089">
            <v>0</v>
          </cell>
        </row>
        <row r="2090">
          <cell r="G2090" t="str">
            <v>5.1.1.05.06.04 - Diferenças de preços multini</v>
          </cell>
          <cell r="I2090">
            <v>0</v>
          </cell>
          <cell r="J2090">
            <v>0</v>
          </cell>
          <cell r="K2090">
            <v>0</v>
          </cell>
        </row>
        <row r="2091">
          <cell r="H2091" t="str">
            <v>5110506040 Aj Preço-Dif Preço Multinivel-Vapor (PRV)</v>
          </cell>
          <cell r="I2091">
            <v>0</v>
          </cell>
          <cell r="J2091">
            <v>0</v>
          </cell>
          <cell r="K2091">
            <v>0</v>
          </cell>
        </row>
        <row r="2092">
          <cell r="G2092" t="str">
            <v>5.1.1.05.06.05 - Diferenças de preços multini</v>
          </cell>
          <cell r="I2092">
            <v>0</v>
          </cell>
          <cell r="J2092">
            <v>0</v>
          </cell>
          <cell r="K2092">
            <v>0</v>
          </cell>
        </row>
        <row r="2093">
          <cell r="H2093" t="str">
            <v>5110506050 Aj Preço-Dif Preço Multinivel-Material Aux (PRV)</v>
          </cell>
          <cell r="I2093">
            <v>0</v>
          </cell>
          <cell r="J2093">
            <v>0</v>
          </cell>
          <cell r="K2093">
            <v>0</v>
          </cell>
        </row>
        <row r="2094">
          <cell r="G2094" t="str">
            <v>5.1.1.05.06.06 - Diferenças de preços multini</v>
          </cell>
          <cell r="I2094">
            <v>0</v>
          </cell>
          <cell r="J2094">
            <v>0</v>
          </cell>
          <cell r="K2094">
            <v>0</v>
          </cell>
        </row>
        <row r="2095">
          <cell r="H2095" t="str">
            <v>5110506060 Aj Preço-Dif Preço Multinivel-Embalagem (PRV)</v>
          </cell>
          <cell r="I2095">
            <v>0</v>
          </cell>
          <cell r="J2095">
            <v>0</v>
          </cell>
          <cell r="K2095">
            <v>0</v>
          </cell>
        </row>
        <row r="2096">
          <cell r="G2096" t="str">
            <v>5.1.1.05.06.07 - Diferenças de preços multini</v>
          </cell>
          <cell r="I2096">
            <v>3.35</v>
          </cell>
          <cell r="J2096">
            <v>-0.01</v>
          </cell>
          <cell r="K2096">
            <v>3.34</v>
          </cell>
        </row>
        <row r="2097">
          <cell r="H2097" t="str">
            <v>5110506070 Aj Preço-Dif Preço Multinivel-Semi Acabado (PRV)</v>
          </cell>
          <cell r="I2097">
            <v>3.35</v>
          </cell>
          <cell r="J2097">
            <v>-0.01</v>
          </cell>
          <cell r="K2097">
            <v>3.34</v>
          </cell>
        </row>
        <row r="2098">
          <cell r="G2098" t="str">
            <v>5.1.1.05.06.08 - Diferenças de preços multini</v>
          </cell>
          <cell r="I2098">
            <v>-0.01</v>
          </cell>
          <cell r="J2098">
            <v>0</v>
          </cell>
          <cell r="K2098">
            <v>-0.01</v>
          </cell>
        </row>
        <row r="2099">
          <cell r="H2099" t="str">
            <v>5110506080 Aj Preço-Dif Preço Multinivel-Acabado (PRV)</v>
          </cell>
          <cell r="I2099">
            <v>-0.01</v>
          </cell>
          <cell r="J2099">
            <v>0</v>
          </cell>
          <cell r="K2099">
            <v>-0.01</v>
          </cell>
        </row>
        <row r="2100">
          <cell r="G2100" t="str">
            <v>5.1.1.05.06.09 - Diferenças de preços multini</v>
          </cell>
          <cell r="I2100">
            <v>0</v>
          </cell>
          <cell r="J2100">
            <v>0</v>
          </cell>
          <cell r="K2100">
            <v>0</v>
          </cell>
        </row>
        <row r="2101">
          <cell r="H2101" t="str">
            <v>5110506090 Aj Preço-Dif Preço Multinivel-Revenda (PRV)</v>
          </cell>
          <cell r="I2101">
            <v>0</v>
          </cell>
          <cell r="J2101">
            <v>0</v>
          </cell>
          <cell r="K2101">
            <v>0</v>
          </cell>
        </row>
        <row r="2102">
          <cell r="G2102" t="str">
            <v>5.1.1.05.06.10 - Diferenças de preços multini</v>
          </cell>
          <cell r="I2102">
            <v>0</v>
          </cell>
          <cell r="J2102">
            <v>0</v>
          </cell>
          <cell r="K2102">
            <v>0</v>
          </cell>
        </row>
        <row r="2103">
          <cell r="H2103" t="str">
            <v>5110506100 Aj Preço-Dif Preço Multinivel-Revenda Imp (PRV)</v>
          </cell>
          <cell r="I2103">
            <v>0</v>
          </cell>
          <cell r="J2103">
            <v>0</v>
          </cell>
          <cell r="K2103">
            <v>0</v>
          </cell>
        </row>
        <row r="2104">
          <cell r="F2104" t="str">
            <v>5.1.1.05.07 - Diferenças de preços fechamento</v>
          </cell>
          <cell r="I2104">
            <v>-14415764</v>
          </cell>
          <cell r="J2104">
            <v>-2861201.5</v>
          </cell>
          <cell r="K2104">
            <v>-17276965.5</v>
          </cell>
        </row>
        <row r="2105">
          <cell r="G2105" t="str">
            <v>5.1.1.05.07.01 - Diferenças de preços fechame</v>
          </cell>
          <cell r="I2105">
            <v>-1324827.32</v>
          </cell>
          <cell r="J2105">
            <v>-630211.16</v>
          </cell>
          <cell r="K2105">
            <v>-1955038.48</v>
          </cell>
        </row>
        <row r="2106">
          <cell r="H2106" t="str">
            <v>5110507010 Aj Preço-Dif Preço Fechamento ML-Sal (PRY)</v>
          </cell>
          <cell r="I2106">
            <v>-1324827.32</v>
          </cell>
          <cell r="J2106">
            <v>-630211.16</v>
          </cell>
          <cell r="K2106">
            <v>-1955038.48</v>
          </cell>
        </row>
        <row r="2107">
          <cell r="G2107" t="str">
            <v>5.1.1.05.07.02 - Diferenças de preços fechame</v>
          </cell>
          <cell r="I2107">
            <v>2018630.3</v>
          </cell>
          <cell r="J2107">
            <v>4259.47</v>
          </cell>
          <cell r="K2107">
            <v>2022889.77</v>
          </cell>
        </row>
        <row r="2108">
          <cell r="H2108" t="str">
            <v>5110507020 Aj Preço-Dif Preço Fechamento ML-Etileno (PRY)</v>
          </cell>
          <cell r="I2108">
            <v>2018630.3</v>
          </cell>
          <cell r="J2108">
            <v>4259.47</v>
          </cell>
          <cell r="K2108">
            <v>2022889.77</v>
          </cell>
        </row>
        <row r="2109">
          <cell r="G2109" t="str">
            <v>5.1.1.05.07.03 - Diferenças de preços fechame</v>
          </cell>
          <cell r="I2109">
            <v>1332094.6000000001</v>
          </cell>
          <cell r="J2109">
            <v>147139.21</v>
          </cell>
          <cell r="K2109">
            <v>1479233.81</v>
          </cell>
        </row>
        <row r="2110">
          <cell r="H2110" t="str">
            <v>5110507030 Aj Preço-Dif Preço Fechamento ML-Gas Natural (PRY)</v>
          </cell>
          <cell r="I2110">
            <v>1332094.6000000001</v>
          </cell>
          <cell r="J2110">
            <v>147139.21</v>
          </cell>
          <cell r="K2110">
            <v>1479233.81</v>
          </cell>
        </row>
        <row r="2111">
          <cell r="G2111" t="str">
            <v>5.1.1.05.07.04 - Diferenças de preços fechame</v>
          </cell>
          <cell r="I2111">
            <v>194725.77</v>
          </cell>
          <cell r="J2111">
            <v>-53167.46</v>
          </cell>
          <cell r="K2111">
            <v>141558.31</v>
          </cell>
        </row>
        <row r="2112">
          <cell r="H2112" t="str">
            <v>5110507040 Aj Preço-Dif Preço Fechamento ML-Vapor (PRY)</v>
          </cell>
          <cell r="I2112">
            <v>194725.77</v>
          </cell>
          <cell r="J2112">
            <v>-53167.46</v>
          </cell>
          <cell r="K2112">
            <v>141558.31</v>
          </cell>
        </row>
        <row r="2113">
          <cell r="G2113" t="str">
            <v>5.1.1.05.07.05 - Diferenças de preços fechame</v>
          </cell>
          <cell r="I2113">
            <v>-385290.88</v>
          </cell>
          <cell r="J2113">
            <v>-162518.97</v>
          </cell>
          <cell r="K2113">
            <v>-547809.85</v>
          </cell>
        </row>
        <row r="2114">
          <cell r="H2114" t="str">
            <v>5110507050 Aj Preço-Dif Preço Fechamento ML-Mat Auxiliar(PRY)</v>
          </cell>
          <cell r="I2114">
            <v>-385290.88</v>
          </cell>
          <cell r="J2114">
            <v>-162518.97</v>
          </cell>
          <cell r="K2114">
            <v>-547809.85</v>
          </cell>
        </row>
        <row r="2115">
          <cell r="G2115" t="str">
            <v>5.1.1.05.07.06 - Diferenças de preços fechame</v>
          </cell>
          <cell r="I2115">
            <v>60016.46</v>
          </cell>
          <cell r="J2115">
            <v>4713.13</v>
          </cell>
          <cell r="K2115">
            <v>64729.59</v>
          </cell>
        </row>
        <row r="2116">
          <cell r="H2116" t="str">
            <v>5110507060 Aj Preço-Dif Preço Fechamento ML-Embalagens (PRY)</v>
          </cell>
          <cell r="I2116">
            <v>60016.46</v>
          </cell>
          <cell r="J2116">
            <v>4713.13</v>
          </cell>
          <cell r="K2116">
            <v>64729.59</v>
          </cell>
        </row>
        <row r="2117">
          <cell r="G2117" t="str">
            <v>5.1.1.05.07.07 - Diferenças de preços fechame</v>
          </cell>
          <cell r="I2117">
            <v>-14965921.279999999</v>
          </cell>
          <cell r="J2117">
            <v>-2250564.98</v>
          </cell>
          <cell r="K2117">
            <v>-17216486.260000002</v>
          </cell>
        </row>
        <row r="2118">
          <cell r="H2118" t="str">
            <v>5110507070 Aj Preço-Dif Preço Fechamento ML-Semi Acabad (PRY)</v>
          </cell>
          <cell r="I2118">
            <v>-14965921.279999999</v>
          </cell>
          <cell r="J2118">
            <v>-2250564.98</v>
          </cell>
          <cell r="K2118">
            <v>-17216486.260000002</v>
          </cell>
        </row>
        <row r="2119">
          <cell r="G2119" t="str">
            <v>5.1.1.05.07.08 - Diferenças de preços fechame</v>
          </cell>
          <cell r="I2119">
            <v>-1129860.3799999999</v>
          </cell>
          <cell r="J2119">
            <v>151358.37</v>
          </cell>
          <cell r="K2119">
            <v>-978502.01</v>
          </cell>
        </row>
        <row r="2120">
          <cell r="H2120" t="str">
            <v>5110507080 Aj Preço-Dif Preço Fechamento ML-Acabados (PRY)</v>
          </cell>
          <cell r="I2120">
            <v>-1129860.3799999999</v>
          </cell>
          <cell r="J2120">
            <v>151358.37</v>
          </cell>
          <cell r="K2120">
            <v>-978502.01</v>
          </cell>
        </row>
        <row r="2121">
          <cell r="G2121" t="str">
            <v>5.1.1.05.07.09 - Diferenças de preços fechame</v>
          </cell>
          <cell r="I2121">
            <v>-156920.46</v>
          </cell>
          <cell r="J2121">
            <v>-72209.11</v>
          </cell>
          <cell r="K2121">
            <v>-229129.57</v>
          </cell>
        </row>
        <row r="2122">
          <cell r="H2122" t="str">
            <v>5110507090 Aj Preço-Dif Preço Fechamento ML-Revenda (PRY)</v>
          </cell>
          <cell r="I2122">
            <v>-156920.46</v>
          </cell>
          <cell r="J2122">
            <v>-72209.11</v>
          </cell>
          <cell r="K2122">
            <v>-229129.57</v>
          </cell>
        </row>
        <row r="2123">
          <cell r="G2123" t="str">
            <v>5.1.1.05.07.10 - Diferenças de preços fechame</v>
          </cell>
          <cell r="I2123">
            <v>-58410.81</v>
          </cell>
          <cell r="J2123">
            <v>0</v>
          </cell>
          <cell r="K2123">
            <v>-58410.81</v>
          </cell>
        </row>
        <row r="2124">
          <cell r="H2124" t="str">
            <v>5110507100 Aj Preço-Dif Preço Fechamento ML-Revenda Imp (PRY)</v>
          </cell>
          <cell r="I2124">
            <v>-58410.81</v>
          </cell>
          <cell r="J2124">
            <v>0</v>
          </cell>
          <cell r="K2124">
            <v>-58410.81</v>
          </cell>
        </row>
        <row r="2125">
          <cell r="F2125" t="str">
            <v>5.1.1.05.08 - Variação de preços por revalori</v>
          </cell>
          <cell r="I2125">
            <v>-28.38</v>
          </cell>
          <cell r="J2125">
            <v>0</v>
          </cell>
          <cell r="K2125">
            <v>-28.38</v>
          </cell>
        </row>
        <row r="2126">
          <cell r="G2126" t="str">
            <v>5.1.1.05.08.01 - Variação de preços por reval</v>
          </cell>
          <cell r="I2126">
            <v>0</v>
          </cell>
          <cell r="J2126">
            <v>0</v>
          </cell>
          <cell r="K2126">
            <v>0</v>
          </cell>
        </row>
        <row r="2127">
          <cell r="H2127" t="str">
            <v>5110508010 Aj Preço-Var Preço Revaloriz Estoq-Sal (UMB)</v>
          </cell>
          <cell r="I2127">
            <v>0</v>
          </cell>
          <cell r="J2127">
            <v>0</v>
          </cell>
          <cell r="K2127">
            <v>0</v>
          </cell>
        </row>
        <row r="2128">
          <cell r="G2128" t="str">
            <v>5.1.1.05.08.02 - Variação de preços por reval</v>
          </cell>
          <cell r="I2128">
            <v>0</v>
          </cell>
          <cell r="J2128">
            <v>0</v>
          </cell>
          <cell r="K2128">
            <v>0</v>
          </cell>
        </row>
        <row r="2129">
          <cell r="H2129" t="str">
            <v>5110508020 Aj Preço-Var Preço Revaloriz Estoq-Etileno (UMB)</v>
          </cell>
          <cell r="I2129">
            <v>0</v>
          </cell>
          <cell r="J2129">
            <v>0</v>
          </cell>
          <cell r="K2129">
            <v>0</v>
          </cell>
        </row>
        <row r="2130">
          <cell r="G2130" t="str">
            <v>5.1.1.05.08.03 - Variação de preços por reval</v>
          </cell>
          <cell r="I2130">
            <v>0</v>
          </cell>
          <cell r="J2130">
            <v>0</v>
          </cell>
          <cell r="K2130">
            <v>0</v>
          </cell>
        </row>
        <row r="2131">
          <cell r="H2131" t="str">
            <v>5110508030 Aj Preço-Var Preço Revaloriz Etq-Gas Natural (UMB)</v>
          </cell>
          <cell r="I2131">
            <v>0</v>
          </cell>
          <cell r="J2131">
            <v>0</v>
          </cell>
          <cell r="K2131">
            <v>0</v>
          </cell>
        </row>
        <row r="2132">
          <cell r="G2132" t="str">
            <v>5.1.1.05.08.04 - Variação de preços por reval</v>
          </cell>
          <cell r="I2132">
            <v>0</v>
          </cell>
          <cell r="J2132">
            <v>0</v>
          </cell>
          <cell r="K2132">
            <v>0</v>
          </cell>
        </row>
        <row r="2133">
          <cell r="H2133" t="str">
            <v>5110508040 Aj Preço-Var Preço Revaloriz Estoq-Vapor (UMB)</v>
          </cell>
          <cell r="I2133">
            <v>0</v>
          </cell>
          <cell r="J2133">
            <v>0</v>
          </cell>
          <cell r="K2133">
            <v>0</v>
          </cell>
        </row>
        <row r="2134">
          <cell r="G2134" t="str">
            <v>5.1.1.05.08.05 - Variação de preços por reval</v>
          </cell>
          <cell r="I2134">
            <v>0</v>
          </cell>
          <cell r="J2134">
            <v>0</v>
          </cell>
          <cell r="K2134">
            <v>0</v>
          </cell>
        </row>
        <row r="2135">
          <cell r="H2135" t="str">
            <v>5110508050 Aj Preço-Var Preço Revaloriz Etq-Mat Auxili (UMB)</v>
          </cell>
          <cell r="I2135">
            <v>0</v>
          </cell>
          <cell r="J2135">
            <v>0</v>
          </cell>
          <cell r="K2135">
            <v>0</v>
          </cell>
        </row>
        <row r="2136">
          <cell r="G2136" t="str">
            <v>5.1.1.05.08.06 - Variação de preços por reval</v>
          </cell>
          <cell r="I2136">
            <v>0</v>
          </cell>
          <cell r="J2136">
            <v>0</v>
          </cell>
          <cell r="K2136">
            <v>0</v>
          </cell>
        </row>
        <row r="2137">
          <cell r="H2137" t="str">
            <v>5110508060 Aj Preço-Var Preço Revaloriz Etq-Embalagens (UMB)</v>
          </cell>
          <cell r="I2137">
            <v>0</v>
          </cell>
          <cell r="J2137">
            <v>0</v>
          </cell>
          <cell r="K2137">
            <v>0</v>
          </cell>
        </row>
        <row r="2138">
          <cell r="G2138" t="str">
            <v>5.1.1.05.08.07 - Variação de preços por reval</v>
          </cell>
          <cell r="I2138">
            <v>0</v>
          </cell>
          <cell r="J2138">
            <v>0</v>
          </cell>
          <cell r="K2138">
            <v>0</v>
          </cell>
        </row>
        <row r="2139">
          <cell r="H2139" t="str">
            <v>5110508070 Aj Preço-Var Preço Revaloriz Estoq-Semi Acab (UMB)</v>
          </cell>
          <cell r="I2139">
            <v>0</v>
          </cell>
          <cell r="J2139">
            <v>0</v>
          </cell>
          <cell r="K2139">
            <v>0</v>
          </cell>
        </row>
        <row r="2140">
          <cell r="G2140" t="str">
            <v>5.1.1.05.08.08 - Variação de preços por reval</v>
          </cell>
          <cell r="I2140">
            <v>-28.38</v>
          </cell>
          <cell r="J2140">
            <v>0</v>
          </cell>
          <cell r="K2140">
            <v>-28.38</v>
          </cell>
        </row>
        <row r="2141">
          <cell r="H2141" t="str">
            <v>5110508080 Aj Preço-Var Preço Revaloriz Estoq-Acabados (UMB)</v>
          </cell>
          <cell r="I2141">
            <v>-28.38</v>
          </cell>
          <cell r="J2141">
            <v>0</v>
          </cell>
          <cell r="K2141">
            <v>-28.38</v>
          </cell>
        </row>
        <row r="2142">
          <cell r="G2142" t="str">
            <v>5.1.1.05.08.09 - Variação de preços por reval</v>
          </cell>
          <cell r="I2142">
            <v>0</v>
          </cell>
          <cell r="J2142">
            <v>0</v>
          </cell>
          <cell r="K2142">
            <v>0</v>
          </cell>
        </row>
        <row r="2143">
          <cell r="H2143" t="str">
            <v>5110508090 Aj Preço-Var Preço Revaloriz Estoq-Revenda (UMB)</v>
          </cell>
          <cell r="I2143">
            <v>0</v>
          </cell>
          <cell r="J2143">
            <v>0</v>
          </cell>
          <cell r="K2143">
            <v>0</v>
          </cell>
        </row>
        <row r="2144">
          <cell r="G2144" t="str">
            <v>5.1.1.05.08.10 - Variação de preços por reval</v>
          </cell>
          <cell r="I2144">
            <v>0</v>
          </cell>
          <cell r="J2144">
            <v>0</v>
          </cell>
          <cell r="K2144">
            <v>0</v>
          </cell>
        </row>
        <row r="2145">
          <cell r="H2145" t="str">
            <v>5110508100 Aj Preço-Var Preço Revaloriz Estoq-Rev Imp (UMB)</v>
          </cell>
          <cell r="I2145">
            <v>0</v>
          </cell>
          <cell r="J2145">
            <v>0</v>
          </cell>
          <cell r="K2145">
            <v>0</v>
          </cell>
        </row>
        <row r="2146">
          <cell r="F2146" t="str">
            <v>5.1.1.05.09 - Variação de preços de materiais</v>
          </cell>
          <cell r="I2146">
            <v>0</v>
          </cell>
          <cell r="J2146">
            <v>0</v>
          </cell>
          <cell r="K2146">
            <v>0</v>
          </cell>
        </row>
        <row r="2147">
          <cell r="G2147" t="str">
            <v>5.1.1.05.09.01 - Variação de preços de materi</v>
          </cell>
          <cell r="I2147">
            <v>0</v>
          </cell>
          <cell r="J2147">
            <v>0</v>
          </cell>
          <cell r="K2147">
            <v>0</v>
          </cell>
        </row>
        <row r="2148">
          <cell r="H2148" t="str">
            <v>5110509010 Aj Preço-Var Preço Mat Control-Medio Movel (Realiz</v>
          </cell>
          <cell r="I2148">
            <v>0</v>
          </cell>
          <cell r="J2148">
            <v>0</v>
          </cell>
          <cell r="K2148">
            <v>0</v>
          </cell>
        </row>
        <row r="2149">
          <cell r="F2149" t="str">
            <v>5.1.1.05.99 - Ajustes do Grupo Material Ledge</v>
          </cell>
          <cell r="I2149">
            <v>23.06</v>
          </cell>
          <cell r="J2149">
            <v>-1.73</v>
          </cell>
          <cell r="K2149">
            <v>21.33</v>
          </cell>
        </row>
        <row r="2150">
          <cell r="G2150" t="str">
            <v>5.1.1.05.99.01 - Ajustes do Grupo Material Le</v>
          </cell>
          <cell r="I2150">
            <v>23.06</v>
          </cell>
          <cell r="J2150">
            <v>-1.73</v>
          </cell>
          <cell r="K2150">
            <v>21.33</v>
          </cell>
        </row>
        <row r="2151">
          <cell r="H2151" t="str">
            <v>5110599010 Ajustes do Grupo Material Ledger - Realizado</v>
          </cell>
          <cell r="I2151">
            <v>23.06</v>
          </cell>
          <cell r="J2151">
            <v>-1.73</v>
          </cell>
          <cell r="K2151">
            <v>21.33</v>
          </cell>
        </row>
        <row r="2152">
          <cell r="D2152" t="str">
            <v>5.1.1.06 - Projetos de Invest. e Est. e Pesqu</v>
          </cell>
          <cell r="I2152">
            <v>0</v>
          </cell>
          <cell r="J2152">
            <v>0</v>
          </cell>
          <cell r="K2152">
            <v>0</v>
          </cell>
        </row>
        <row r="2153">
          <cell r="F2153" t="str">
            <v>5.1.1.06.01 - Adiantamentos Imobilizado</v>
          </cell>
          <cell r="I2153">
            <v>0</v>
          </cell>
          <cell r="J2153">
            <v>0</v>
          </cell>
          <cell r="K2153">
            <v>0</v>
          </cell>
        </row>
        <row r="2154">
          <cell r="G2154" t="str">
            <v>5.1.1.06.01.01 - Adiantamento Imobilizado</v>
          </cell>
          <cell r="I2154">
            <v>0</v>
          </cell>
          <cell r="J2154">
            <v>0</v>
          </cell>
          <cell r="K2154">
            <v>0</v>
          </cell>
        </row>
        <row r="2155">
          <cell r="H2155" t="str">
            <v>5110601010 Adiantamento a Forn p/ Aquis de Imob (Transitoria)</v>
          </cell>
          <cell r="I2155">
            <v>0</v>
          </cell>
          <cell r="J2155">
            <v>0</v>
          </cell>
          <cell r="K2155">
            <v>0</v>
          </cell>
        </row>
        <row r="2156">
          <cell r="F2156" t="str">
            <v>5.1.1.06.08 - Materiais de Consumo</v>
          </cell>
          <cell r="I2156">
            <v>2408193.41</v>
          </cell>
          <cell r="J2156">
            <v>364881.04</v>
          </cell>
          <cell r="K2156">
            <v>2773074.45</v>
          </cell>
        </row>
        <row r="2157">
          <cell r="G2157" t="str">
            <v>5.1.1.06.08.01 - Materiais de Consumo - Imobi</v>
          </cell>
          <cell r="I2157">
            <v>2408193.41</v>
          </cell>
          <cell r="J2157">
            <v>364881.04</v>
          </cell>
          <cell r="K2157">
            <v>2773074.45</v>
          </cell>
        </row>
        <row r="2158">
          <cell r="H2158" t="str">
            <v>5110608010 Proj Inv.Est.Pesq-Mat Cons-Imobilizado (Realizado)</v>
          </cell>
          <cell r="I2158">
            <v>2408193.41</v>
          </cell>
          <cell r="J2158">
            <v>364881.04</v>
          </cell>
          <cell r="K2158">
            <v>2773074.45</v>
          </cell>
        </row>
        <row r="2159">
          <cell r="G2159" t="str">
            <v>5.1.1.06.08.02 - Materiais de Consumo - Estud</v>
          </cell>
          <cell r="I2159">
            <v>0</v>
          </cell>
          <cell r="J2159">
            <v>0</v>
          </cell>
          <cell r="K2159">
            <v>0</v>
          </cell>
        </row>
        <row r="2160">
          <cell r="H2160" t="str">
            <v>5110608020 Proj Inv.Est.Pesq-Mat Cons-Estudos (Realizado)</v>
          </cell>
          <cell r="I2160">
            <v>0</v>
          </cell>
          <cell r="J2160">
            <v>0</v>
          </cell>
          <cell r="K2160">
            <v>0</v>
          </cell>
        </row>
        <row r="2161">
          <cell r="F2161" t="str">
            <v>5.1.1.06.20 - Serviços Prestados por Terceiro</v>
          </cell>
          <cell r="I2161">
            <v>3306634.71</v>
          </cell>
          <cell r="J2161">
            <v>1009030.2</v>
          </cell>
          <cell r="K2161">
            <v>4315664.91</v>
          </cell>
        </row>
        <row r="2162">
          <cell r="G2162" t="str">
            <v>5.1.1.06.20.01 - Serviços Prestados por Terce</v>
          </cell>
          <cell r="I2162">
            <v>3285874.71</v>
          </cell>
          <cell r="J2162">
            <v>1009030.2</v>
          </cell>
          <cell r="K2162">
            <v>4294904.91</v>
          </cell>
        </row>
        <row r="2163">
          <cell r="H2163" t="str">
            <v>5110620010 Proj Inv.Est.Pesq-S.Prest Terc-Imobiliz PJ(Realiz)</v>
          </cell>
          <cell r="I2163">
            <v>3285874.71</v>
          </cell>
          <cell r="J2163">
            <v>1009030.2</v>
          </cell>
          <cell r="K2163">
            <v>4294904.91</v>
          </cell>
        </row>
        <row r="2164">
          <cell r="G2164" t="str">
            <v>5.1.1.06.20.02 - Serviços Prestados por Terce</v>
          </cell>
          <cell r="I2164">
            <v>20760</v>
          </cell>
          <cell r="J2164">
            <v>0</v>
          </cell>
          <cell r="K2164">
            <v>20760</v>
          </cell>
        </row>
        <row r="2165">
          <cell r="H2165" t="str">
            <v>5110620020 Proj Inv.Est.Pesq-S.Prest Terc-Estudo PJ (Realiz)</v>
          </cell>
          <cell r="I2165">
            <v>20760</v>
          </cell>
          <cell r="J2165">
            <v>0</v>
          </cell>
          <cell r="K2165">
            <v>20760</v>
          </cell>
        </row>
        <row r="2166">
          <cell r="F2166" t="str">
            <v>5.1.1.06.35 - Encargos Financeiros</v>
          </cell>
          <cell r="I2166">
            <v>159104.57999999999</v>
          </cell>
          <cell r="J2166">
            <v>0</v>
          </cell>
          <cell r="K2166">
            <v>159104.57999999999</v>
          </cell>
        </row>
        <row r="2167">
          <cell r="G2167" t="str">
            <v>5.1.1.06.35.01 - Encargos Financeiros - Imobi</v>
          </cell>
          <cell r="I2167">
            <v>159104.57999999999</v>
          </cell>
          <cell r="J2167">
            <v>0</v>
          </cell>
          <cell r="K2167">
            <v>159104.57999999999</v>
          </cell>
        </row>
        <row r="2168">
          <cell r="H2168" t="str">
            <v>5110635010 Proj Inv.Est.Pesq-Encarg Financ-Imobiliz (Realiz)</v>
          </cell>
          <cell r="I2168">
            <v>159104.57999999999</v>
          </cell>
          <cell r="J2168">
            <v>0</v>
          </cell>
          <cell r="K2168">
            <v>159104.57999999999</v>
          </cell>
        </row>
        <row r="2169">
          <cell r="F2169" t="str">
            <v>5.1.1.06.90 - Impostos sobre Aqusições</v>
          </cell>
          <cell r="I2169">
            <v>974106.8</v>
          </cell>
          <cell r="J2169">
            <v>161729.15</v>
          </cell>
          <cell r="K2169">
            <v>1135835.95</v>
          </cell>
        </row>
        <row r="2170">
          <cell r="G2170" t="str">
            <v>5.1.1.06.90.05 (-) ICMS s/Aquisições de Imo</v>
          </cell>
          <cell r="I2170">
            <v>401728.05</v>
          </cell>
          <cell r="J2170">
            <v>37199.85</v>
          </cell>
          <cell r="K2170">
            <v>438927.9</v>
          </cell>
        </row>
        <row r="2171">
          <cell r="H2171" t="str">
            <v>5110690050 (-)Proj Inv.Est.Pesq-Imp Aq-ICMS s/Aquis Imob (R)</v>
          </cell>
          <cell r="I2171">
            <v>401728.05</v>
          </cell>
          <cell r="J2171">
            <v>37199.85</v>
          </cell>
          <cell r="K2171">
            <v>438927.9</v>
          </cell>
        </row>
        <row r="2172">
          <cell r="G2172" t="str">
            <v>5.1.1.06.90.06 (-) COFINS s/Aquisições de Imo</v>
          </cell>
          <cell r="I2172">
            <v>470278.86</v>
          </cell>
          <cell r="J2172">
            <v>102315.71</v>
          </cell>
          <cell r="K2172">
            <v>572594.56999999995</v>
          </cell>
        </row>
        <row r="2173">
          <cell r="H2173" t="str">
            <v>5110690060 (-)Proj Inv.Est.Pesq-Imp Aq-COFINS Aquis Imob (R)</v>
          </cell>
          <cell r="I2173">
            <v>470278.86</v>
          </cell>
          <cell r="J2173">
            <v>102315.71</v>
          </cell>
          <cell r="K2173">
            <v>572594.56999999995</v>
          </cell>
        </row>
        <row r="2174">
          <cell r="G2174" t="str">
            <v>5.1.1.06.90.07 (-) PIS s/Aquisições de Imobil</v>
          </cell>
          <cell r="I2174">
            <v>102099.89</v>
          </cell>
          <cell r="J2174">
            <v>22213.59</v>
          </cell>
          <cell r="K2174">
            <v>124313.48</v>
          </cell>
        </row>
        <row r="2175">
          <cell r="H2175" t="str">
            <v>5110690070 (-)Proj Inv.Est.Pesq-Imp Aquis-PIS Aquis Imob (R)</v>
          </cell>
          <cell r="I2175">
            <v>102099.89</v>
          </cell>
          <cell r="J2175">
            <v>22213.59</v>
          </cell>
          <cell r="K2175">
            <v>124313.48</v>
          </cell>
        </row>
        <row r="2176">
          <cell r="F2176" t="str">
            <v>5.1.1.06.99 - Transferencias</v>
          </cell>
          <cell r="I2176">
            <v>-6848039.5</v>
          </cell>
          <cell r="J2176">
            <v>-1535640.39</v>
          </cell>
          <cell r="K2176">
            <v>-8383679.8899999997</v>
          </cell>
        </row>
        <row r="2177">
          <cell r="G2177" t="str">
            <v>5.1.1.06.99.01 - Transferencia para o Imobili</v>
          </cell>
          <cell r="I2177">
            <v>-6827279.5</v>
          </cell>
          <cell r="J2177">
            <v>-1535640.39</v>
          </cell>
          <cell r="K2177">
            <v>-8362919.8899999997</v>
          </cell>
        </row>
        <row r="2178">
          <cell r="H2178" t="str">
            <v>5110699010 Proj Inv.Est.Pesq-Transf p/Imob em Andamento (R)</v>
          </cell>
          <cell r="I2178">
            <v>-6827279.5</v>
          </cell>
          <cell r="J2178">
            <v>-1535640.39</v>
          </cell>
          <cell r="K2178">
            <v>-8362919.8899999997</v>
          </cell>
        </row>
        <row r="2179">
          <cell r="G2179" t="str">
            <v>5.1.1.06.99.02 - Transferencia para Estudos e</v>
          </cell>
          <cell r="I2179">
            <v>-20760</v>
          </cell>
          <cell r="J2179">
            <v>0</v>
          </cell>
          <cell r="K2179">
            <v>-20760</v>
          </cell>
        </row>
        <row r="2180">
          <cell r="H2180" t="str">
            <v>5110699020 Proj Inv.Est.Pesq-Transf p/Estudos/Pesq (Realiz)</v>
          </cell>
          <cell r="I2180">
            <v>-20760</v>
          </cell>
          <cell r="J2180">
            <v>0</v>
          </cell>
          <cell r="K2180">
            <v>-20760</v>
          </cell>
        </row>
        <row r="2181">
          <cell r="G2181" t="str">
            <v>5.1.1.06.99.85 - Transit Lançtos. Per.FI AA</v>
          </cell>
          <cell r="I2181">
            <v>0</v>
          </cell>
          <cell r="J2181">
            <v>0</v>
          </cell>
          <cell r="K2181">
            <v>0</v>
          </cell>
        </row>
        <row r="2182">
          <cell r="H2182" t="str">
            <v>5110699850 Transitória para Lançamentos Periódicos FI AA</v>
          </cell>
          <cell r="I2182">
            <v>0</v>
          </cell>
          <cell r="J2182">
            <v>0</v>
          </cell>
          <cell r="K2182">
            <v>0</v>
          </cell>
        </row>
        <row r="2183">
          <cell r="D2183" t="str">
            <v>5.1.1.08 - Materiais de Consumo</v>
          </cell>
          <cell r="I2183">
            <v>6790797.0199999996</v>
          </cell>
          <cell r="J2183">
            <v>1017126.18</v>
          </cell>
          <cell r="K2183">
            <v>7807923.2000000002</v>
          </cell>
        </row>
        <row r="2184">
          <cell r="F2184" t="str">
            <v>5.1.1.08.01 - Materiais de Consumo - Operação</v>
          </cell>
          <cell r="I2184">
            <v>1106485.06</v>
          </cell>
          <cell r="J2184">
            <v>162862.07999999999</v>
          </cell>
          <cell r="K2184">
            <v>1269347.1399999999</v>
          </cell>
        </row>
        <row r="2185">
          <cell r="G2185" t="str">
            <v>5.1.1.08.01.01 - Consumo de Combustiveis e Lu</v>
          </cell>
          <cell r="I2185">
            <v>0</v>
          </cell>
          <cell r="J2185">
            <v>0</v>
          </cell>
          <cell r="K2185">
            <v>0</v>
          </cell>
        </row>
        <row r="2186">
          <cell r="H2186" t="str">
            <v>5110801010 Mat Cons Oper-Combustiveis e Lubrificantes(Realiz)</v>
          </cell>
          <cell r="I2186">
            <v>0</v>
          </cell>
          <cell r="J2186">
            <v>0</v>
          </cell>
          <cell r="K2186">
            <v>0</v>
          </cell>
        </row>
        <row r="2187">
          <cell r="G2187" t="str">
            <v>5.1.1.08.01.02 - Consumo de Materias no Proce</v>
          </cell>
          <cell r="I2187">
            <v>42880.33</v>
          </cell>
          <cell r="J2187">
            <v>11790.5</v>
          </cell>
          <cell r="K2187">
            <v>54670.83</v>
          </cell>
        </row>
        <row r="2188">
          <cell r="H2188" t="str">
            <v>5110801020 Mat Cons-Oper-Mat Processo Produtivo (Realiz)</v>
          </cell>
          <cell r="I2188">
            <v>42880.33</v>
          </cell>
          <cell r="J2188">
            <v>11790.5</v>
          </cell>
          <cell r="K2188">
            <v>54670.83</v>
          </cell>
        </row>
        <row r="2189">
          <cell r="G2189" t="str">
            <v>5.1.1.08.01.03 - Consumo de Materiais p/Trata</v>
          </cell>
          <cell r="I2189">
            <v>14091.03</v>
          </cell>
          <cell r="J2189">
            <v>14091.03</v>
          </cell>
          <cell r="K2189">
            <v>28182.06</v>
          </cell>
        </row>
        <row r="2190">
          <cell r="H2190" t="str">
            <v>5110801030 Mat Cons-Oper-Mat Tratamento Residuos (Realiz)</v>
          </cell>
          <cell r="I2190">
            <v>14091.03</v>
          </cell>
          <cell r="J2190">
            <v>14091.03</v>
          </cell>
          <cell r="K2190">
            <v>28182.06</v>
          </cell>
        </row>
        <row r="2191">
          <cell r="G2191" t="str">
            <v>5.1.1.08.01.04 - Consumo de Materiais p/Anali</v>
          </cell>
          <cell r="I2191">
            <v>126214.61</v>
          </cell>
          <cell r="J2191">
            <v>16374.85</v>
          </cell>
          <cell r="K2191">
            <v>142589.46</v>
          </cell>
        </row>
        <row r="2192">
          <cell r="H2192" t="str">
            <v>5110801040 Mat Cons-Oper-Mat Análises Quimicas (Realizado)</v>
          </cell>
          <cell r="I2192">
            <v>126214.61</v>
          </cell>
          <cell r="J2192">
            <v>16374.85</v>
          </cell>
          <cell r="K2192">
            <v>142589.46</v>
          </cell>
        </row>
        <row r="2193">
          <cell r="G2193" t="str">
            <v>5.1.1.08.01.05 - Consumo de Materiais p/Teste</v>
          </cell>
          <cell r="I2193">
            <v>0</v>
          </cell>
          <cell r="J2193">
            <v>0</v>
          </cell>
          <cell r="K2193">
            <v>0</v>
          </cell>
        </row>
        <row r="2194">
          <cell r="H2194" t="str">
            <v>5110801050 Mat Cons-Oper-Mat Testes e Ensaios (Realizado)</v>
          </cell>
          <cell r="I2194">
            <v>0</v>
          </cell>
          <cell r="J2194">
            <v>0</v>
          </cell>
          <cell r="K2194">
            <v>0</v>
          </cell>
        </row>
        <row r="2195">
          <cell r="G2195" t="str">
            <v>5.1.1.08.01.06 - Consumo de Ferramentas</v>
          </cell>
          <cell r="I2195">
            <v>127110.72</v>
          </cell>
          <cell r="J2195">
            <v>15365.74</v>
          </cell>
          <cell r="K2195">
            <v>142476.46</v>
          </cell>
        </row>
        <row r="2196">
          <cell r="H2196" t="str">
            <v>5110801060 Mat Cons-Oper-Ferramentas (Realizado)</v>
          </cell>
          <cell r="I2196">
            <v>127110.72</v>
          </cell>
          <cell r="J2196">
            <v>15365.74</v>
          </cell>
          <cell r="K2196">
            <v>142476.46</v>
          </cell>
        </row>
        <row r="2197">
          <cell r="G2197" t="str">
            <v>5.1.1.08.01.07 - Consumo de Materiais de Repa</v>
          </cell>
          <cell r="I2197">
            <v>2354.0300000000002</v>
          </cell>
          <cell r="J2197">
            <v>31.66</v>
          </cell>
          <cell r="K2197">
            <v>2385.69</v>
          </cell>
        </row>
        <row r="2198">
          <cell r="H2198" t="str">
            <v>5110801070 Mat Cons-Oper-Mat Reparo e Manutençao (Realizado)</v>
          </cell>
          <cell r="I2198">
            <v>2354.0300000000002</v>
          </cell>
          <cell r="J2198">
            <v>31.66</v>
          </cell>
          <cell r="K2198">
            <v>2385.69</v>
          </cell>
        </row>
        <row r="2199">
          <cell r="G2199" t="str">
            <v>5.1.1.08.01.08 - Consumo de Materiais de Cons</v>
          </cell>
          <cell r="I2199">
            <v>3641.08</v>
          </cell>
          <cell r="J2199">
            <v>0</v>
          </cell>
          <cell r="K2199">
            <v>3641.08</v>
          </cell>
        </row>
        <row r="2200">
          <cell r="H2200" t="str">
            <v>5110801080 Mat Cons-Oper-Mat Conserv Ecológica (Realizado)</v>
          </cell>
          <cell r="I2200">
            <v>3641.08</v>
          </cell>
          <cell r="J2200">
            <v>0</v>
          </cell>
          <cell r="K2200">
            <v>3641.08</v>
          </cell>
        </row>
        <row r="2201">
          <cell r="G2201" t="str">
            <v>5.1.1.08.01.09 - Consumo de Materiais de Limp</v>
          </cell>
          <cell r="I2201">
            <v>9223.84</v>
          </cell>
          <cell r="J2201">
            <v>0</v>
          </cell>
          <cell r="K2201">
            <v>9223.84</v>
          </cell>
        </row>
        <row r="2202">
          <cell r="H2202" t="str">
            <v>5110801090 Mat Cons-Oper-Mat Limpeza (Realizado)</v>
          </cell>
          <cell r="I2202">
            <v>9223.84</v>
          </cell>
          <cell r="J2202">
            <v>0</v>
          </cell>
          <cell r="K2202">
            <v>9223.84</v>
          </cell>
        </row>
        <row r="2203">
          <cell r="G2203" t="str">
            <v>5.1.1.08.01.10 - Consumo de Materiais de Segu</v>
          </cell>
          <cell r="I2203">
            <v>478256.35</v>
          </cell>
          <cell r="J2203">
            <v>37750.589999999997</v>
          </cell>
          <cell r="K2203">
            <v>516006.94</v>
          </cell>
        </row>
        <row r="2204">
          <cell r="H2204" t="str">
            <v>5110801100 Mat Cons-Oper-Mat Segurança (Realizado)</v>
          </cell>
          <cell r="I2204">
            <v>478256.35</v>
          </cell>
          <cell r="J2204">
            <v>37750.589999999997</v>
          </cell>
          <cell r="K2204">
            <v>516006.94</v>
          </cell>
        </row>
        <row r="2205">
          <cell r="G2205" t="str">
            <v>5.1.1.08.01.11 - Consumo de Agua</v>
          </cell>
          <cell r="I2205">
            <v>284345.96999999997</v>
          </cell>
          <cell r="J2205">
            <v>61799.3</v>
          </cell>
          <cell r="K2205">
            <v>346145.27</v>
          </cell>
        </row>
        <row r="2206">
          <cell r="H2206" t="str">
            <v>5110801110 Mat Cons-Oper-Consumo de Água (Realizado)</v>
          </cell>
          <cell r="I2206">
            <v>284345.96999999997</v>
          </cell>
          <cell r="J2206">
            <v>61799.3</v>
          </cell>
          <cell r="K2206">
            <v>346145.27</v>
          </cell>
        </row>
        <row r="2207">
          <cell r="G2207" t="str">
            <v>5.1.1.08.01.12 - Consumo de Luz</v>
          </cell>
          <cell r="I2207">
            <v>0</v>
          </cell>
          <cell r="J2207">
            <v>0</v>
          </cell>
          <cell r="K2207">
            <v>0</v>
          </cell>
        </row>
        <row r="2208">
          <cell r="H2208" t="str">
            <v>5110801120 Mat Cons-Oper-Consumo de Luz  (Realizado)</v>
          </cell>
          <cell r="I2208">
            <v>0</v>
          </cell>
          <cell r="J2208">
            <v>0</v>
          </cell>
          <cell r="K2208">
            <v>0</v>
          </cell>
        </row>
        <row r="2209">
          <cell r="G2209" t="str">
            <v>5.1.1.08.01.13 - Consumo de Materiais de Escr</v>
          </cell>
          <cell r="I2209">
            <v>16111.19</v>
          </cell>
          <cell r="J2209">
            <v>5658.41</v>
          </cell>
          <cell r="K2209">
            <v>21769.599999999999</v>
          </cell>
        </row>
        <row r="2210">
          <cell r="H2210" t="str">
            <v>5110801130 Mat Cons-Oper-Mat Escritório (Realizado)</v>
          </cell>
          <cell r="I2210">
            <v>16111.19</v>
          </cell>
          <cell r="J2210">
            <v>5658.41</v>
          </cell>
          <cell r="K2210">
            <v>21769.599999999999</v>
          </cell>
        </row>
        <row r="2211">
          <cell r="G2211" t="str">
            <v>5.1.1.08.01.14 - Consumo de Materiais de Imob</v>
          </cell>
          <cell r="I2211">
            <v>2255.91</v>
          </cell>
          <cell r="J2211">
            <v>0</v>
          </cell>
          <cell r="K2211">
            <v>2255.91</v>
          </cell>
        </row>
        <row r="2212">
          <cell r="H2212" t="str">
            <v>5110801140 Mat Cons-Oper-Mat Imobilizado (Realizado)</v>
          </cell>
          <cell r="I2212">
            <v>2255.91</v>
          </cell>
          <cell r="J2212">
            <v>0</v>
          </cell>
          <cell r="K2212">
            <v>2255.91</v>
          </cell>
        </row>
        <row r="2213">
          <cell r="F2213" t="str">
            <v>5.1.1.08.02 - Materiais de Consumo - Manutenç</v>
          </cell>
          <cell r="I2213">
            <v>5684275.2999999998</v>
          </cell>
          <cell r="J2213">
            <v>854264.1</v>
          </cell>
          <cell r="K2213">
            <v>6538539.4000000004</v>
          </cell>
        </row>
        <row r="2214">
          <cell r="G2214" t="str">
            <v>5.1.1.08.02.01 - Consumo de Materiais de Manu</v>
          </cell>
          <cell r="I2214">
            <v>0</v>
          </cell>
          <cell r="J2214">
            <v>0</v>
          </cell>
          <cell r="K2214">
            <v>0</v>
          </cell>
        </row>
        <row r="2215">
          <cell r="H2215" t="str">
            <v>5110802010 Mat Cons-Manutençao-Manut Civil (Realizado)</v>
          </cell>
          <cell r="I2215">
            <v>0</v>
          </cell>
          <cell r="J2215">
            <v>0</v>
          </cell>
          <cell r="K2215">
            <v>0</v>
          </cell>
        </row>
        <row r="2216">
          <cell r="G2216" t="str">
            <v>5.1.1.08.02.02 - Consumo de Materiais de Manu</v>
          </cell>
          <cell r="I2216">
            <v>264117.28000000003</v>
          </cell>
          <cell r="J2216">
            <v>24405.31</v>
          </cell>
          <cell r="K2216">
            <v>288522.59000000003</v>
          </cell>
        </row>
        <row r="2217">
          <cell r="H2217" t="str">
            <v>5110802020 Mat Cons-Manutençao-Eletrica (Realizado)</v>
          </cell>
          <cell r="I2217">
            <v>264730.15000000002</v>
          </cell>
          <cell r="J2217">
            <v>24405.31</v>
          </cell>
          <cell r="K2217">
            <v>289135.46000000002</v>
          </cell>
        </row>
        <row r="2218">
          <cell r="H2218" t="str">
            <v>5110802025 Consumo de Materiais de Manutenção Eletrica (Recup</v>
          </cell>
          <cell r="I2218">
            <v>-612.87</v>
          </cell>
          <cell r="J2218">
            <v>0</v>
          </cell>
          <cell r="K2218">
            <v>-612.87</v>
          </cell>
        </row>
        <row r="2219">
          <cell r="G2219" t="str">
            <v>5.1.1.08.02.03 - Consumo de Materiais de Manu</v>
          </cell>
          <cell r="I2219">
            <v>1454793.53</v>
          </cell>
          <cell r="J2219">
            <v>238731.64</v>
          </cell>
          <cell r="K2219">
            <v>1693525.17</v>
          </cell>
        </row>
        <row r="2220">
          <cell r="H2220" t="str">
            <v>5110802030 Mat Cons-Manutençao-Mecânica (Realizado)</v>
          </cell>
          <cell r="I2220">
            <v>1454793.53</v>
          </cell>
          <cell r="J2220">
            <v>238731.64</v>
          </cell>
          <cell r="K2220">
            <v>1693525.17</v>
          </cell>
        </row>
        <row r="2221">
          <cell r="G2221" t="str">
            <v>5.1.1.08.02.04 - Consumo de Materiais de Manu</v>
          </cell>
          <cell r="I2221">
            <v>0.01</v>
          </cell>
          <cell r="J2221">
            <v>12342.92</v>
          </cell>
          <cell r="K2221">
            <v>12342.93</v>
          </cell>
        </row>
        <row r="2222">
          <cell r="H2222" t="str">
            <v>5110802040 Mat Cons-Manutençao-Manut Inspeçao (Realizado)</v>
          </cell>
          <cell r="I2222">
            <v>0.01</v>
          </cell>
          <cell r="J2222">
            <v>12342.92</v>
          </cell>
          <cell r="K2222">
            <v>12342.93</v>
          </cell>
        </row>
        <row r="2223">
          <cell r="G2223" t="str">
            <v>5.1.1.08.02.05 - Consumo de Materiais de Manu</v>
          </cell>
          <cell r="I2223">
            <v>1552218.33</v>
          </cell>
          <cell r="J2223">
            <v>255797.76000000001</v>
          </cell>
          <cell r="K2223">
            <v>1808016.09</v>
          </cell>
        </row>
        <row r="2224">
          <cell r="H2224" t="str">
            <v>5110802050 Mat Cons-Manutençao-Calderaria/Tubul (Realizado)</v>
          </cell>
          <cell r="I2224">
            <v>1552227.48</v>
          </cell>
          <cell r="J2224">
            <v>255797.76000000001</v>
          </cell>
          <cell r="K2224">
            <v>1808025.24</v>
          </cell>
        </row>
        <row r="2225">
          <cell r="H2225" t="str">
            <v>5110802055 Mat Cons-Manutençao-Calderaria/Tubul (Recuperado)</v>
          </cell>
          <cell r="I2225">
            <v>-9.15</v>
          </cell>
          <cell r="J2225">
            <v>0</v>
          </cell>
          <cell r="K2225">
            <v>-9.15</v>
          </cell>
        </row>
        <row r="2226">
          <cell r="G2226" t="str">
            <v>5.1.1.08.02.06 - Consumo de Materiais de Manu</v>
          </cell>
          <cell r="I2226">
            <v>1177101.24</v>
          </cell>
          <cell r="J2226">
            <v>132435.17000000001</v>
          </cell>
          <cell r="K2226">
            <v>1309536.4099999999</v>
          </cell>
        </row>
        <row r="2227">
          <cell r="H2227" t="str">
            <v>5110802060 Mat Cons-Manutençao-Instrumentaçao (Realizado)</v>
          </cell>
          <cell r="I2227">
            <v>1177184.26</v>
          </cell>
          <cell r="J2227">
            <v>132435.17000000001</v>
          </cell>
          <cell r="K2227">
            <v>1309619.43</v>
          </cell>
        </row>
        <row r="2228">
          <cell r="H2228" t="str">
            <v>5110802065 Mat Cons-Manutençao-Instrumentaçao (Recuperado)</v>
          </cell>
          <cell r="I2228">
            <v>-83.02</v>
          </cell>
          <cell r="J2228">
            <v>0</v>
          </cell>
          <cell r="K2228">
            <v>-83.02</v>
          </cell>
        </row>
        <row r="2229">
          <cell r="G2229" t="str">
            <v>5.1.1.08.02.07 - Consumo de Materiais de Manu</v>
          </cell>
          <cell r="I2229">
            <v>390339.6</v>
          </cell>
          <cell r="J2229">
            <v>62971.68</v>
          </cell>
          <cell r="K2229">
            <v>453311.28</v>
          </cell>
        </row>
        <row r="2230">
          <cell r="H2230" t="str">
            <v>5110802070 Mat Cons-Manutençao-Celula HG (Realizado)</v>
          </cell>
          <cell r="I2230">
            <v>390339.6</v>
          </cell>
          <cell r="J2230">
            <v>62971.68</v>
          </cell>
          <cell r="K2230">
            <v>453311.28</v>
          </cell>
        </row>
        <row r="2231">
          <cell r="G2231" t="str">
            <v>5.1.1.08.02.08 - Consumo de Materiais de Manu</v>
          </cell>
          <cell r="I2231">
            <v>185563.51</v>
          </cell>
          <cell r="J2231">
            <v>75507.5</v>
          </cell>
          <cell r="K2231">
            <v>261071.01</v>
          </cell>
        </row>
        <row r="2232">
          <cell r="H2232" t="str">
            <v>5110802080 Mat Cons-Manutençao-Celula Diafragma (Realizado)</v>
          </cell>
          <cell r="I2232">
            <v>185563.51</v>
          </cell>
          <cell r="J2232">
            <v>75507.5</v>
          </cell>
          <cell r="K2232">
            <v>261071.01</v>
          </cell>
        </row>
        <row r="2233">
          <cell r="G2233" t="str">
            <v>5.1.1.08.02.09 - Consumo de Materiais de Manu</v>
          </cell>
          <cell r="I2233">
            <v>261203.14</v>
          </cell>
          <cell r="J2233">
            <v>-2127.58</v>
          </cell>
          <cell r="K2233">
            <v>259075.56</v>
          </cell>
        </row>
        <row r="2234">
          <cell r="H2234" t="str">
            <v>5110802090 Mat Cons-Manutençao-Celula Membrana (Realizado)</v>
          </cell>
          <cell r="I2234">
            <v>261203.14</v>
          </cell>
          <cell r="J2234">
            <v>-2127.58</v>
          </cell>
          <cell r="K2234">
            <v>259075.56</v>
          </cell>
        </row>
        <row r="2235">
          <cell r="G2235" t="str">
            <v>5.1.1.08.02.90 - Recuperação de Materiais do</v>
          </cell>
          <cell r="I2235">
            <v>0</v>
          </cell>
          <cell r="J2235">
            <v>0</v>
          </cell>
          <cell r="K2235">
            <v>0</v>
          </cell>
        </row>
        <row r="2236">
          <cell r="H2236" t="str">
            <v>5110802900 Mat Cons-Manutençao-Recuperaçao Mat Almox(Realiz)</v>
          </cell>
          <cell r="I2236">
            <v>0</v>
          </cell>
          <cell r="J2236">
            <v>0</v>
          </cell>
          <cell r="K2236">
            <v>0</v>
          </cell>
        </row>
        <row r="2237">
          <cell r="G2237" t="str">
            <v>5.1.1.08.02.99 - Consumo de Materiais de Manu</v>
          </cell>
          <cell r="I2237">
            <v>398938.66</v>
          </cell>
          <cell r="J2237">
            <v>54199.7</v>
          </cell>
          <cell r="K2237">
            <v>453138.36</v>
          </cell>
        </row>
        <row r="2238">
          <cell r="H2238" t="str">
            <v>5110802990 Mat Cons-Manutençao-Geral (Realizado)</v>
          </cell>
          <cell r="I2238">
            <v>410231.4</v>
          </cell>
          <cell r="J2238">
            <v>54199.7</v>
          </cell>
          <cell r="K2238">
            <v>464431.1</v>
          </cell>
        </row>
        <row r="2239">
          <cell r="H2239" t="str">
            <v>5110802995 Mat Cons-Manutençao-Geral (Recuperado)</v>
          </cell>
          <cell r="I2239">
            <v>-11292.74</v>
          </cell>
          <cell r="J2239">
            <v>0</v>
          </cell>
          <cell r="K2239">
            <v>-11292.74</v>
          </cell>
        </row>
        <row r="2240">
          <cell r="F2240" t="str">
            <v>5.1.1.08.03 - Perdas de Estoque no Processo P</v>
          </cell>
          <cell r="I2240">
            <v>36.659999999999997</v>
          </cell>
          <cell r="J2240">
            <v>0</v>
          </cell>
          <cell r="K2240">
            <v>36.659999999999997</v>
          </cell>
        </row>
        <row r="2241">
          <cell r="G2241" t="str">
            <v>5.1.1.08.03.22 - Perdas de Estoque no Almoxar</v>
          </cell>
          <cell r="I2241">
            <v>36.659999999999997</v>
          </cell>
          <cell r="J2241">
            <v>0</v>
          </cell>
          <cell r="K2241">
            <v>36.659999999999997</v>
          </cell>
        </row>
        <row r="2242">
          <cell r="H2242" t="str">
            <v>5110803220 Mat Cons-Proc Produtivo-Perda Estoq Almox (Realiz)</v>
          </cell>
          <cell r="I2242">
            <v>36.659999999999997</v>
          </cell>
          <cell r="J2242">
            <v>0</v>
          </cell>
          <cell r="K2242">
            <v>36.659999999999997</v>
          </cell>
        </row>
        <row r="2243">
          <cell r="H2243" t="str">
            <v>5110803221 Mat Cons-Proc Produtivo-Prov Perda Estoq (Realiz)</v>
          </cell>
          <cell r="I2243">
            <v>0</v>
          </cell>
          <cell r="J2243">
            <v>0</v>
          </cell>
          <cell r="K2243">
            <v>0</v>
          </cell>
        </row>
        <row r="2244">
          <cell r="H2244" t="str">
            <v>5110803222 Mat Cons-Proc Produtivo-Rever Prov Perda Estoq (R)</v>
          </cell>
          <cell r="I2244">
            <v>0</v>
          </cell>
          <cell r="J2244">
            <v>0</v>
          </cell>
          <cell r="K2244">
            <v>0</v>
          </cell>
        </row>
        <row r="2245">
          <cell r="D2245" t="str">
            <v>5.1.1.09 - Ajustes de Inventarios</v>
          </cell>
          <cell r="I2245">
            <v>0</v>
          </cell>
          <cell r="J2245">
            <v>0</v>
          </cell>
          <cell r="K2245">
            <v>0</v>
          </cell>
        </row>
        <row r="2246">
          <cell r="F2246" t="str">
            <v>5.1.1.09.01 - Ajuste de Inventarios de Matéri</v>
          </cell>
          <cell r="I2246">
            <v>0</v>
          </cell>
          <cell r="J2246">
            <v>0</v>
          </cell>
          <cell r="K2246">
            <v>0</v>
          </cell>
        </row>
        <row r="2247">
          <cell r="G2247" t="str">
            <v>5.1.1.09.01.01 - Ajuste de Inventarios de Mat</v>
          </cell>
          <cell r="I2247">
            <v>0</v>
          </cell>
          <cell r="J2247">
            <v>0</v>
          </cell>
          <cell r="K2247">
            <v>0</v>
          </cell>
        </row>
        <row r="2248">
          <cell r="H2248" t="str">
            <v>5110901010 Ajuste Invent-Materia Prima (Realizado)</v>
          </cell>
          <cell r="I2248">
            <v>0</v>
          </cell>
          <cell r="J2248">
            <v>0</v>
          </cell>
          <cell r="K2248">
            <v>0</v>
          </cell>
        </row>
        <row r="2249">
          <cell r="F2249" t="str">
            <v>5.1.1.09.03 - Ajuste de Inventarios de Produt</v>
          </cell>
          <cell r="I2249">
            <v>0</v>
          </cell>
          <cell r="J2249">
            <v>0</v>
          </cell>
          <cell r="K2249">
            <v>0</v>
          </cell>
        </row>
        <row r="2250">
          <cell r="G2250" t="str">
            <v>5.1.1.09.03.01 - Ajuste de Inventarios de Pro</v>
          </cell>
          <cell r="I2250">
            <v>0</v>
          </cell>
          <cell r="J2250">
            <v>0</v>
          </cell>
          <cell r="K2250">
            <v>0</v>
          </cell>
        </row>
        <row r="2251">
          <cell r="H2251" t="str">
            <v>5110903010 Ajuste Invent-Prod Elaboraçao (Realizado)</v>
          </cell>
          <cell r="I2251">
            <v>0</v>
          </cell>
          <cell r="J2251">
            <v>0</v>
          </cell>
          <cell r="K2251">
            <v>0</v>
          </cell>
        </row>
        <row r="2252">
          <cell r="F2252" t="str">
            <v>5.1.1.09.05 - Ajuste de Inventarios de Insumo</v>
          </cell>
          <cell r="I2252">
            <v>0</v>
          </cell>
          <cell r="J2252">
            <v>0</v>
          </cell>
          <cell r="K2252">
            <v>0</v>
          </cell>
        </row>
        <row r="2253">
          <cell r="G2253" t="str">
            <v>5.1.1.09.05.01 - Ajuste de Inventarios de Ins</v>
          </cell>
          <cell r="I2253">
            <v>0</v>
          </cell>
          <cell r="J2253">
            <v>0</v>
          </cell>
          <cell r="K2253">
            <v>0</v>
          </cell>
        </row>
        <row r="2254">
          <cell r="H2254" t="str">
            <v>5110905010 Ajuste Invent-Insumos Mat Auxiliares (Realizado)</v>
          </cell>
          <cell r="I2254">
            <v>0</v>
          </cell>
          <cell r="J2254">
            <v>0</v>
          </cell>
          <cell r="K2254">
            <v>0</v>
          </cell>
        </row>
        <row r="2255">
          <cell r="F2255" t="str">
            <v>5.1.1.09.08 - Ajuste de Inventarios de Materi</v>
          </cell>
          <cell r="I2255">
            <v>0</v>
          </cell>
          <cell r="J2255">
            <v>0</v>
          </cell>
          <cell r="K2255">
            <v>0</v>
          </cell>
        </row>
        <row r="2256">
          <cell r="G2256" t="str">
            <v>5.1.1.09.08.01 - Ajuste de Inventarios de Mat</v>
          </cell>
          <cell r="I2256">
            <v>0</v>
          </cell>
          <cell r="J2256">
            <v>0</v>
          </cell>
          <cell r="K2256">
            <v>0</v>
          </cell>
        </row>
        <row r="2257">
          <cell r="H2257" t="str">
            <v>5110908010 Ajuste Invent-Materiais de Embalagens (Realizado)</v>
          </cell>
          <cell r="I2257">
            <v>0</v>
          </cell>
          <cell r="J2257">
            <v>0</v>
          </cell>
          <cell r="K2257">
            <v>0</v>
          </cell>
        </row>
        <row r="2258">
          <cell r="F2258" t="str">
            <v>5.1.1.09.10 - Ajuste de Inventarios de Produt</v>
          </cell>
          <cell r="I2258">
            <v>0</v>
          </cell>
          <cell r="J2258">
            <v>0</v>
          </cell>
          <cell r="K2258">
            <v>0</v>
          </cell>
        </row>
        <row r="2259">
          <cell r="G2259" t="str">
            <v>5.1.1.09.10.01 - Ajuste de Inventarios de Pro</v>
          </cell>
          <cell r="I2259">
            <v>0</v>
          </cell>
          <cell r="J2259">
            <v>0</v>
          </cell>
          <cell r="K2259">
            <v>0</v>
          </cell>
        </row>
        <row r="2260">
          <cell r="H2260" t="str">
            <v>5110910010 Ajuste Invent-Prod Acabados (Realizado)</v>
          </cell>
          <cell r="I2260">
            <v>0</v>
          </cell>
          <cell r="J2260">
            <v>0</v>
          </cell>
          <cell r="K2260">
            <v>0</v>
          </cell>
        </row>
        <row r="2261">
          <cell r="H2261" t="str">
            <v>5110910014 (-)Ajuste Invent-Prov Estoq Vl.Merc/Prod Acabado</v>
          </cell>
          <cell r="I2261">
            <v>0</v>
          </cell>
          <cell r="J2261">
            <v>0</v>
          </cell>
          <cell r="K2261">
            <v>0</v>
          </cell>
        </row>
        <row r="2262">
          <cell r="F2262" t="str">
            <v>5.1.1.09.20 - Ajuste de Inventarios de Manute</v>
          </cell>
          <cell r="I2262">
            <v>0</v>
          </cell>
          <cell r="J2262">
            <v>0</v>
          </cell>
          <cell r="K2262">
            <v>0</v>
          </cell>
        </row>
        <row r="2263">
          <cell r="G2263" t="str">
            <v>5.1.1.09.20.01 - Ajuste de Inventarios de Man</v>
          </cell>
          <cell r="I2263">
            <v>0</v>
          </cell>
          <cell r="J2263">
            <v>0</v>
          </cell>
          <cell r="K2263">
            <v>0</v>
          </cell>
        </row>
        <row r="2264">
          <cell r="H2264" t="str">
            <v>5110920010 Ajuste Invent Manut-AlmoxCP-Civil (Realizado)</v>
          </cell>
          <cell r="I2264">
            <v>0</v>
          </cell>
          <cell r="J2264">
            <v>0</v>
          </cell>
          <cell r="K2264">
            <v>0</v>
          </cell>
        </row>
        <row r="2265">
          <cell r="G2265" t="str">
            <v>5.1.1.09.20.02 - Ajuste de Inventarios de Man</v>
          </cell>
          <cell r="I2265">
            <v>0</v>
          </cell>
          <cell r="J2265">
            <v>0</v>
          </cell>
          <cell r="K2265">
            <v>0</v>
          </cell>
        </row>
        <row r="2266">
          <cell r="H2266" t="str">
            <v>5110920020 Ajuste Invent Manut-Almox CP-Eletrica (Realizado)</v>
          </cell>
          <cell r="I2266">
            <v>0</v>
          </cell>
          <cell r="J2266">
            <v>0</v>
          </cell>
          <cell r="K2266">
            <v>0</v>
          </cell>
        </row>
        <row r="2267">
          <cell r="G2267" t="str">
            <v>5.1.1.09.20.03 - Ajuste de Inventarios de Man</v>
          </cell>
          <cell r="I2267">
            <v>0</v>
          </cell>
          <cell r="J2267">
            <v>0</v>
          </cell>
          <cell r="K2267">
            <v>0</v>
          </cell>
        </row>
        <row r="2268">
          <cell r="H2268" t="str">
            <v>5110920030 Ajuste Invent Manut-Almox CP-Mecânica (Realizado)</v>
          </cell>
          <cell r="I2268">
            <v>0</v>
          </cell>
          <cell r="J2268">
            <v>0</v>
          </cell>
          <cell r="K2268">
            <v>0</v>
          </cell>
        </row>
        <row r="2269">
          <cell r="G2269" t="str">
            <v>5.1.1.09.20.04 - Ajuste de Inventarios de Man</v>
          </cell>
          <cell r="I2269">
            <v>0</v>
          </cell>
          <cell r="J2269">
            <v>0</v>
          </cell>
          <cell r="K2269">
            <v>0</v>
          </cell>
        </row>
        <row r="2270">
          <cell r="H2270" t="str">
            <v>5110920040 Ajuste Invent Manut-Almox CP-Inspeçao (Realizado)</v>
          </cell>
          <cell r="I2270">
            <v>0</v>
          </cell>
          <cell r="J2270">
            <v>0</v>
          </cell>
          <cell r="K2270">
            <v>0</v>
          </cell>
        </row>
        <row r="2271">
          <cell r="G2271" t="str">
            <v>5.1.1.09.20.05 - Ajuste de Inventarios de Man</v>
          </cell>
          <cell r="I2271">
            <v>0</v>
          </cell>
          <cell r="J2271">
            <v>0</v>
          </cell>
          <cell r="K2271">
            <v>0</v>
          </cell>
        </row>
        <row r="2272">
          <cell r="H2272" t="str">
            <v>5110920050 Ajuste Invent Manut-Almox CP-Calderar/Tubulaçao(R)</v>
          </cell>
          <cell r="I2272">
            <v>0</v>
          </cell>
          <cell r="J2272">
            <v>0</v>
          </cell>
          <cell r="K2272">
            <v>0</v>
          </cell>
        </row>
        <row r="2273">
          <cell r="G2273" t="str">
            <v>5.1.1.09.20.06 - Ajuste de Inventarios de Man</v>
          </cell>
          <cell r="I2273">
            <v>0</v>
          </cell>
          <cell r="J2273">
            <v>0</v>
          </cell>
          <cell r="K2273">
            <v>0</v>
          </cell>
        </row>
        <row r="2274">
          <cell r="H2274" t="str">
            <v>5110920060 Ajuste Invent Manut-Almox CP-Instrument (Realiz)</v>
          </cell>
          <cell r="I2274">
            <v>0</v>
          </cell>
          <cell r="J2274">
            <v>0</v>
          </cell>
          <cell r="K2274">
            <v>0</v>
          </cell>
        </row>
        <row r="2275">
          <cell r="G2275" t="str">
            <v>5.1.1.09.20.07 - Ajuste de Inventarios de Man</v>
          </cell>
          <cell r="I2275">
            <v>0</v>
          </cell>
          <cell r="J2275">
            <v>0</v>
          </cell>
          <cell r="K2275">
            <v>0</v>
          </cell>
        </row>
        <row r="2276">
          <cell r="H2276" t="str">
            <v>5110920070 Ajuste Invent Manut-Almox CP-Celula HG (Realizado)</v>
          </cell>
          <cell r="I2276">
            <v>0</v>
          </cell>
          <cell r="J2276">
            <v>0</v>
          </cell>
          <cell r="K2276">
            <v>0</v>
          </cell>
        </row>
        <row r="2277">
          <cell r="G2277" t="str">
            <v>5.1.1.09.20.08 - Ajuste de Inventarios de Man</v>
          </cell>
          <cell r="I2277">
            <v>0</v>
          </cell>
          <cell r="J2277">
            <v>0</v>
          </cell>
          <cell r="K2277">
            <v>0</v>
          </cell>
        </row>
        <row r="2278">
          <cell r="H2278" t="str">
            <v>5110920080 Ajuste Invent Manut-Almox CP-Celula Diafragma(R)</v>
          </cell>
          <cell r="I2278">
            <v>0</v>
          </cell>
          <cell r="J2278">
            <v>0</v>
          </cell>
          <cell r="K2278">
            <v>0</v>
          </cell>
        </row>
        <row r="2279">
          <cell r="G2279" t="str">
            <v>5.1.1.09.20.09 - Ajuste de Inventarios de Man</v>
          </cell>
          <cell r="I2279">
            <v>0</v>
          </cell>
          <cell r="J2279">
            <v>0</v>
          </cell>
          <cell r="K2279">
            <v>0</v>
          </cell>
        </row>
        <row r="2280">
          <cell r="H2280" t="str">
            <v>5110920090 Ajuste Invent Manut-Almox CP-Celula Membrana(R)</v>
          </cell>
          <cell r="I2280">
            <v>0</v>
          </cell>
          <cell r="J2280">
            <v>0</v>
          </cell>
          <cell r="K2280">
            <v>0</v>
          </cell>
        </row>
        <row r="2281">
          <cell r="G2281" t="str">
            <v>5.1.1.09.20.99 - Ajuste de Inventarios de Man</v>
          </cell>
          <cell r="I2281">
            <v>0</v>
          </cell>
          <cell r="J2281">
            <v>0</v>
          </cell>
          <cell r="K2281">
            <v>0</v>
          </cell>
        </row>
        <row r="2282">
          <cell r="H2282" t="str">
            <v>5110920990 Ajuste Invent Manut-Almox CP-Geral (Realizado)</v>
          </cell>
          <cell r="I2282">
            <v>0</v>
          </cell>
          <cell r="J2282">
            <v>0</v>
          </cell>
          <cell r="K2282">
            <v>0</v>
          </cell>
        </row>
        <row r="2283">
          <cell r="H2283" t="str">
            <v>5110920995 Ajuste Invent Manut-Almox CP-Prov Perda Geral(R)</v>
          </cell>
          <cell r="I2283">
            <v>0</v>
          </cell>
          <cell r="J2283">
            <v>0</v>
          </cell>
          <cell r="K2283">
            <v>0</v>
          </cell>
        </row>
        <row r="2284">
          <cell r="F2284" t="str">
            <v>5.1.1.09.50 - Ajuste de Inventarios de Mercad</v>
          </cell>
          <cell r="I2284">
            <v>0</v>
          </cell>
          <cell r="J2284">
            <v>0</v>
          </cell>
          <cell r="K2284">
            <v>0</v>
          </cell>
        </row>
        <row r="2285">
          <cell r="G2285" t="str">
            <v>5.1.1.09.50.01 - Ajuste de Inventarios de Mer</v>
          </cell>
          <cell r="I2285">
            <v>0</v>
          </cell>
          <cell r="J2285">
            <v>0</v>
          </cell>
          <cell r="K2285">
            <v>0</v>
          </cell>
        </row>
        <row r="2286">
          <cell r="H2286" t="str">
            <v>5110950010 Ajuste Invent Mercadorias Nacionais (Realizado)</v>
          </cell>
          <cell r="I2286">
            <v>0</v>
          </cell>
          <cell r="J2286">
            <v>0</v>
          </cell>
          <cell r="K2286">
            <v>0</v>
          </cell>
        </row>
        <row r="2287">
          <cell r="G2287" t="str">
            <v>5.1.1.09.50.02 - Ajuste de Inventarios de Mer</v>
          </cell>
          <cell r="I2287">
            <v>0</v>
          </cell>
          <cell r="J2287">
            <v>0</v>
          </cell>
          <cell r="K2287">
            <v>0</v>
          </cell>
        </row>
        <row r="2288">
          <cell r="H2288" t="str">
            <v>5110950020 Ajuste Invent Mercadorias Importadas(Realizado)</v>
          </cell>
          <cell r="I2288">
            <v>0</v>
          </cell>
          <cell r="J2288">
            <v>0</v>
          </cell>
          <cell r="K2288">
            <v>0</v>
          </cell>
        </row>
        <row r="2289">
          <cell r="D2289" t="str">
            <v>5.1.1.10 - Folha de Pagamento e Encargos Soci</v>
          </cell>
          <cell r="I2289">
            <v>27830334.289999999</v>
          </cell>
          <cell r="J2289">
            <v>5088631.07</v>
          </cell>
          <cell r="K2289">
            <v>32918965.359999999</v>
          </cell>
        </row>
        <row r="2290">
          <cell r="F2290" t="str">
            <v>5.1.1.10.01 - Folha de Pagamento</v>
          </cell>
          <cell r="I2290">
            <v>20999454.59</v>
          </cell>
          <cell r="J2290">
            <v>3836694.08</v>
          </cell>
          <cell r="K2290">
            <v>24836148.670000002</v>
          </cell>
        </row>
        <row r="2291">
          <cell r="G2291" t="str">
            <v>5.1.1.10.01.03 - Ordenados, Salários e Outras</v>
          </cell>
          <cell r="I2291">
            <v>13676331.699999999</v>
          </cell>
          <cell r="J2291">
            <v>2615606.2799999998</v>
          </cell>
          <cell r="K2291">
            <v>16291937.98</v>
          </cell>
        </row>
        <row r="2292">
          <cell r="H2292" t="str">
            <v>5111001030 FLPG-Ordena.Sal.Outras Remune Empreg(R)</v>
          </cell>
          <cell r="I2292">
            <v>13676331.699999999</v>
          </cell>
          <cell r="J2292">
            <v>2615606.2799999998</v>
          </cell>
          <cell r="K2292">
            <v>16291937.98</v>
          </cell>
        </row>
        <row r="2293">
          <cell r="G2293" t="str">
            <v>5.1.1.10.01.04 - 13º Salario</v>
          </cell>
          <cell r="I2293">
            <v>1150509.82</v>
          </cell>
          <cell r="J2293">
            <v>244465.04</v>
          </cell>
          <cell r="K2293">
            <v>1394974.86</v>
          </cell>
        </row>
        <row r="2294">
          <cell r="H2294" t="str">
            <v>5111001040 FLPG-13º Salario (Realizado)</v>
          </cell>
          <cell r="I2294">
            <v>94820.95</v>
          </cell>
          <cell r="J2294">
            <v>22396.880000000001</v>
          </cell>
          <cell r="K2294">
            <v>117217.83</v>
          </cell>
        </row>
        <row r="2295">
          <cell r="H2295" t="str">
            <v>5111001041 FLPG-Provisao de 13º Salario</v>
          </cell>
          <cell r="I2295">
            <v>1103201</v>
          </cell>
          <cell r="J2295">
            <v>239318.29</v>
          </cell>
          <cell r="K2295">
            <v>1342519.29</v>
          </cell>
        </row>
        <row r="2296">
          <cell r="H2296" t="str">
            <v>5111001042 FLPG-Reversao da Provisao de 13º Salario</v>
          </cell>
          <cell r="I2296">
            <v>-47512.13</v>
          </cell>
          <cell r="J2296">
            <v>-17250.13</v>
          </cell>
          <cell r="K2296">
            <v>-64762.26</v>
          </cell>
        </row>
        <row r="2297">
          <cell r="G2297" t="str">
            <v>5.1.1.10.01.05 - Ferias</v>
          </cell>
          <cell r="I2297">
            <v>3145332.19</v>
          </cell>
          <cell r="J2297">
            <v>329905.84000000003</v>
          </cell>
          <cell r="K2297">
            <v>3475238.03</v>
          </cell>
        </row>
        <row r="2298">
          <cell r="H2298" t="str">
            <v>5111001050 FLPG-Ferias (Realizado)</v>
          </cell>
          <cell r="I2298">
            <v>3230370.42</v>
          </cell>
          <cell r="J2298">
            <v>264270.61</v>
          </cell>
          <cell r="K2298">
            <v>3494641.03</v>
          </cell>
        </row>
        <row r="2299">
          <cell r="H2299" t="str">
            <v>5111001051 FLPG-Provisao de Ferias</v>
          </cell>
          <cell r="I2299">
            <v>1363866.27</v>
          </cell>
          <cell r="J2299">
            <v>281976.65000000002</v>
          </cell>
          <cell r="K2299">
            <v>1645842.92</v>
          </cell>
        </row>
        <row r="2300">
          <cell r="H2300" t="str">
            <v>5111001052 FLPG-Reversao da Provisao de Ferias</v>
          </cell>
          <cell r="I2300">
            <v>-1448904.5</v>
          </cell>
          <cell r="J2300">
            <v>-216341.42</v>
          </cell>
          <cell r="K2300">
            <v>-1665245.92</v>
          </cell>
        </row>
        <row r="2301">
          <cell r="G2301" t="str">
            <v>5.1.1.10.01.08 - Gratificações Ferias</v>
          </cell>
          <cell r="I2301">
            <v>886069.56</v>
          </cell>
          <cell r="J2301">
            <v>183792.48</v>
          </cell>
          <cell r="K2301">
            <v>1069862.04</v>
          </cell>
        </row>
        <row r="2302">
          <cell r="H2302" t="str">
            <v>5111001080 FLPG-Gratificaçoes de Ferias(Realizado)</v>
          </cell>
          <cell r="I2302">
            <v>942761.67</v>
          </cell>
          <cell r="J2302">
            <v>140151.15</v>
          </cell>
          <cell r="K2302">
            <v>1082912.82</v>
          </cell>
        </row>
        <row r="2303">
          <cell r="H2303" t="str">
            <v>5111001081 FLPG-Provisao de Gratificaçoes de Ferias</v>
          </cell>
          <cell r="I2303">
            <v>886069.56</v>
          </cell>
          <cell r="J2303">
            <v>183792.48</v>
          </cell>
          <cell r="K2303">
            <v>1069862.04</v>
          </cell>
        </row>
        <row r="2304">
          <cell r="H2304" t="str">
            <v>5111001082 FLPG-Rever Provi Gratificaçoes de Ferias</v>
          </cell>
          <cell r="I2304">
            <v>-942761.67</v>
          </cell>
          <cell r="J2304">
            <v>-140151.15</v>
          </cell>
          <cell r="K2304">
            <v>-1082912.82</v>
          </cell>
        </row>
        <row r="2305">
          <cell r="G2305" t="str">
            <v>5.1.1.10.01.09 - Gratificações</v>
          </cell>
          <cell r="I2305">
            <v>1959700.53</v>
          </cell>
          <cell r="J2305">
            <v>394572</v>
          </cell>
          <cell r="K2305">
            <v>2354272.5299999998</v>
          </cell>
        </row>
        <row r="2306">
          <cell r="H2306" t="str">
            <v>5111001090 FLPG-Gratificaçoes (Realizado)</v>
          </cell>
          <cell r="I2306">
            <v>363226.03</v>
          </cell>
          <cell r="J2306">
            <v>0</v>
          </cell>
          <cell r="K2306">
            <v>363226.03</v>
          </cell>
        </row>
        <row r="2307">
          <cell r="H2307" t="str">
            <v>5111001091 FLPG-Provisao de Gratificaçoes</v>
          </cell>
          <cell r="I2307">
            <v>1782372.84</v>
          </cell>
          <cell r="J2307">
            <v>394572</v>
          </cell>
          <cell r="K2307">
            <v>2176944.84</v>
          </cell>
        </row>
        <row r="2308">
          <cell r="H2308" t="str">
            <v>5111001092 FLPG-Rever da Provisao de Gratificaçoes</v>
          </cell>
          <cell r="I2308">
            <v>-185898.34</v>
          </cell>
          <cell r="J2308">
            <v>0</v>
          </cell>
          <cell r="K2308">
            <v>-185898.34</v>
          </cell>
        </row>
        <row r="2309">
          <cell r="G2309" t="str">
            <v>5.1.1.10.01.10 - Gratificações Quinquenios</v>
          </cell>
          <cell r="I2309">
            <v>-152595.04999999999</v>
          </cell>
          <cell r="J2309">
            <v>0</v>
          </cell>
          <cell r="K2309">
            <v>-152595.04999999999</v>
          </cell>
        </row>
        <row r="2310">
          <cell r="H2310" t="str">
            <v>5111001100 FLPG-Gratificaçoes Quinquenios (Realizado)</v>
          </cell>
          <cell r="I2310">
            <v>648699.78</v>
          </cell>
          <cell r="J2310">
            <v>21609.94</v>
          </cell>
          <cell r="K2310">
            <v>670309.72</v>
          </cell>
        </row>
        <row r="2311">
          <cell r="H2311" t="str">
            <v>5111001101 FLPG-Prov Gratificaçoes Quinquenios</v>
          </cell>
          <cell r="I2311">
            <v>-152595.04999999999</v>
          </cell>
          <cell r="J2311">
            <v>0</v>
          </cell>
          <cell r="K2311">
            <v>-152595.04999999999</v>
          </cell>
        </row>
        <row r="2312">
          <cell r="H2312" t="str">
            <v>5111001102 FLPG-Rever Prov Gratificaçoes Quinquenios</v>
          </cell>
          <cell r="I2312">
            <v>-648699.78</v>
          </cell>
          <cell r="J2312">
            <v>-21609.94</v>
          </cell>
          <cell r="K2312">
            <v>-670309.72</v>
          </cell>
        </row>
        <row r="2313">
          <cell r="G2313" t="str">
            <v>5.1.1.10.01.12 - Aviso Previo</v>
          </cell>
          <cell r="I2313">
            <v>0</v>
          </cell>
          <cell r="J2313">
            <v>0</v>
          </cell>
          <cell r="K2313">
            <v>0</v>
          </cell>
        </row>
        <row r="2314">
          <cell r="H2314" t="str">
            <v>5111001120 FLPG-Aviso Previo (Realizado)</v>
          </cell>
          <cell r="I2314">
            <v>677621.35</v>
          </cell>
          <cell r="J2314">
            <v>77853.45</v>
          </cell>
          <cell r="K2314">
            <v>755474.8</v>
          </cell>
        </row>
        <row r="2315">
          <cell r="H2315" t="str">
            <v>5111001121 FLPG-Provisao de Aviso Previo</v>
          </cell>
          <cell r="I2315">
            <v>0</v>
          </cell>
          <cell r="J2315">
            <v>0</v>
          </cell>
          <cell r="K2315">
            <v>0</v>
          </cell>
        </row>
        <row r="2316">
          <cell r="H2316" t="str">
            <v>5111001122 FLPG-Reversao da Provisao de Aviso Previo</v>
          </cell>
          <cell r="I2316">
            <v>-677621.35</v>
          </cell>
          <cell r="J2316">
            <v>-77853.45</v>
          </cell>
          <cell r="K2316">
            <v>-755474.8</v>
          </cell>
        </row>
        <row r="2317">
          <cell r="G2317" t="str">
            <v>5.1.1.10.01.13 - Indenizações</v>
          </cell>
          <cell r="I2317">
            <v>0</v>
          </cell>
          <cell r="J2317">
            <v>0</v>
          </cell>
          <cell r="K2317">
            <v>0</v>
          </cell>
        </row>
        <row r="2318">
          <cell r="H2318" t="str">
            <v>5111001130 FLPG-Indenizaçoes (Realizado)</v>
          </cell>
          <cell r="I2318">
            <v>0</v>
          </cell>
          <cell r="J2318">
            <v>0</v>
          </cell>
          <cell r="K2318">
            <v>0</v>
          </cell>
        </row>
        <row r="2319">
          <cell r="H2319" t="str">
            <v>5111001131 FLPG-Provisao de Indenizaçoes</v>
          </cell>
          <cell r="I2319">
            <v>0</v>
          </cell>
          <cell r="J2319">
            <v>0</v>
          </cell>
          <cell r="K2319">
            <v>0</v>
          </cell>
        </row>
        <row r="2320">
          <cell r="H2320" t="str">
            <v>5111001132 FLPG-Reversao da Provisao de Indenizaçoes</v>
          </cell>
          <cell r="I2320">
            <v>0</v>
          </cell>
          <cell r="J2320">
            <v>0</v>
          </cell>
          <cell r="K2320">
            <v>0</v>
          </cell>
        </row>
        <row r="2321">
          <cell r="G2321" t="str">
            <v>5.1.1.10.01.20 - Auxilio Natalidade</v>
          </cell>
          <cell r="I2321">
            <v>0</v>
          </cell>
          <cell r="J2321">
            <v>0</v>
          </cell>
          <cell r="K2321">
            <v>0</v>
          </cell>
        </row>
        <row r="2322">
          <cell r="H2322" t="str">
            <v>5111001200 FLPG-Auxilio Natalidade (Realizado)</v>
          </cell>
          <cell r="I2322">
            <v>0</v>
          </cell>
          <cell r="J2322">
            <v>0</v>
          </cell>
          <cell r="K2322">
            <v>0</v>
          </cell>
        </row>
        <row r="2323">
          <cell r="G2323" t="str">
            <v>5.1.1.10.01.21 - Auxilio Paternidade</v>
          </cell>
          <cell r="I2323">
            <v>0</v>
          </cell>
          <cell r="J2323">
            <v>0</v>
          </cell>
          <cell r="K2323">
            <v>0</v>
          </cell>
        </row>
        <row r="2324">
          <cell r="H2324" t="str">
            <v>5111001210 FLPG-Auxilio Paternidade (Realizado)</v>
          </cell>
          <cell r="I2324">
            <v>0</v>
          </cell>
          <cell r="J2324">
            <v>0</v>
          </cell>
          <cell r="K2324">
            <v>0</v>
          </cell>
        </row>
        <row r="2325">
          <cell r="G2325" t="str">
            <v>5.1.1.10.01.23 - Auxilio Enfermidade</v>
          </cell>
          <cell r="I2325">
            <v>0</v>
          </cell>
          <cell r="J2325">
            <v>0</v>
          </cell>
          <cell r="K2325">
            <v>0</v>
          </cell>
        </row>
        <row r="2326">
          <cell r="H2326" t="str">
            <v>5111001230 FLPG-Auxilio Enfermidade (Realizado)</v>
          </cell>
          <cell r="I2326">
            <v>0</v>
          </cell>
          <cell r="J2326">
            <v>0</v>
          </cell>
          <cell r="K2326">
            <v>0</v>
          </cell>
        </row>
        <row r="2327">
          <cell r="G2327" t="str">
            <v>5.1.1.10.01.24 - Auxilio Doença</v>
          </cell>
          <cell r="I2327">
            <v>52233.5</v>
          </cell>
          <cell r="J2327">
            <v>10385.91</v>
          </cell>
          <cell r="K2327">
            <v>62619.41</v>
          </cell>
        </row>
        <row r="2328">
          <cell r="H2328" t="str">
            <v>5111001240 FLPG-Auxilio Doença (Realizado)</v>
          </cell>
          <cell r="I2328">
            <v>52233.5</v>
          </cell>
          <cell r="J2328">
            <v>10385.91</v>
          </cell>
          <cell r="K2328">
            <v>62619.41</v>
          </cell>
        </row>
        <row r="2329">
          <cell r="G2329" t="str">
            <v>5.1.1.10.01.25 - Auxilio Ensino</v>
          </cell>
          <cell r="I2329">
            <v>177319.88</v>
          </cell>
          <cell r="J2329">
            <v>35243.160000000003</v>
          </cell>
          <cell r="K2329">
            <v>212563.04</v>
          </cell>
        </row>
        <row r="2330">
          <cell r="H2330" t="str">
            <v>5111001250 FLPG-Auxilio Ensino (Realizado)</v>
          </cell>
          <cell r="I2330">
            <v>177319.88</v>
          </cell>
          <cell r="J2330">
            <v>35243.160000000003</v>
          </cell>
          <cell r="K2330">
            <v>212563.04</v>
          </cell>
        </row>
        <row r="2331">
          <cell r="G2331" t="str">
            <v>5.1.1.10.01.30 - Bolsa Estudos de Estagiarios</v>
          </cell>
          <cell r="I2331">
            <v>109541.57</v>
          </cell>
          <cell r="J2331">
            <v>24371.599999999999</v>
          </cell>
          <cell r="K2331">
            <v>133913.17000000001</v>
          </cell>
        </row>
        <row r="2332">
          <cell r="H2332" t="str">
            <v>5111001300 FLPG-Bolsa Estudos de Estagiarios (Realizado)</v>
          </cell>
          <cell r="I2332">
            <v>109541.57</v>
          </cell>
          <cell r="J2332">
            <v>24371.599999999999</v>
          </cell>
          <cell r="K2332">
            <v>133913.17000000001</v>
          </cell>
        </row>
        <row r="2333">
          <cell r="G2333" t="str">
            <v>5.1.1.10.01.99 - Outros Gastos com Pessoal</v>
          </cell>
          <cell r="I2333">
            <v>-4989.1099999999997</v>
          </cell>
          <cell r="J2333">
            <v>-1648.23</v>
          </cell>
          <cell r="K2333">
            <v>-6637.34</v>
          </cell>
        </row>
        <row r="2334">
          <cell r="H2334" t="str">
            <v>5111001990 Rateio da Mão de Obra da Manutenção</v>
          </cell>
          <cell r="I2334">
            <v>-4989.1099999999997</v>
          </cell>
          <cell r="J2334">
            <v>-1648.23</v>
          </cell>
          <cell r="K2334">
            <v>-6637.34</v>
          </cell>
        </row>
        <row r="2335">
          <cell r="F2335" t="str">
            <v>5.1.1.10.02 - FGTS</v>
          </cell>
          <cell r="I2335">
            <v>2175481.2599999998</v>
          </cell>
          <cell r="J2335">
            <v>420135.65</v>
          </cell>
          <cell r="K2335">
            <v>2595616.91</v>
          </cell>
        </row>
        <row r="2336">
          <cell r="G2336" t="str">
            <v>5.1.1.10.02.01 - FGTS s/Foha de Pagamento</v>
          </cell>
          <cell r="I2336">
            <v>1143772.29</v>
          </cell>
          <cell r="J2336">
            <v>209965.97</v>
          </cell>
          <cell r="K2336">
            <v>1353738.26</v>
          </cell>
        </row>
        <row r="2337">
          <cell r="H2337" t="str">
            <v>5111002010 FGTS-Folha de Pagamento (Realizado)</v>
          </cell>
          <cell r="I2337">
            <v>1143772.29</v>
          </cell>
          <cell r="J2337">
            <v>209965.97</v>
          </cell>
          <cell r="K2337">
            <v>1353738.26</v>
          </cell>
        </row>
        <row r="2338">
          <cell r="G2338" t="str">
            <v>5.1.1.10.02.02 - FGTS s/Férias</v>
          </cell>
          <cell r="I2338">
            <v>78270.53</v>
          </cell>
          <cell r="J2338">
            <v>17720.03</v>
          </cell>
          <cell r="K2338">
            <v>95990.56</v>
          </cell>
        </row>
        <row r="2339">
          <cell r="H2339" t="str">
            <v>5111002020 FGTS-Ferias (Realizado)</v>
          </cell>
          <cell r="I2339">
            <v>84736.34</v>
          </cell>
          <cell r="J2339">
            <v>12561.74</v>
          </cell>
          <cell r="K2339">
            <v>97298.08</v>
          </cell>
        </row>
        <row r="2340">
          <cell r="H2340" t="str">
            <v>5111002021 FGTS-Provisao de FGTS s/Ferias</v>
          </cell>
          <cell r="I2340">
            <v>104016.72</v>
          </cell>
          <cell r="J2340">
            <v>20748.46</v>
          </cell>
          <cell r="K2340">
            <v>124765.18</v>
          </cell>
        </row>
        <row r="2341">
          <cell r="H2341" t="str">
            <v>5111002022 FGTS-Reversao da Provisao de FGTS s/Ferias</v>
          </cell>
          <cell r="I2341">
            <v>-110482.53</v>
          </cell>
          <cell r="J2341">
            <v>-15590.17</v>
          </cell>
          <cell r="K2341">
            <v>-126072.7</v>
          </cell>
        </row>
        <row r="2342">
          <cell r="G2342" t="str">
            <v>5.1.1.10.02.03 - FGTS S/13º Salario</v>
          </cell>
          <cell r="I2342">
            <v>113613.44</v>
          </cell>
          <cell r="J2342">
            <v>24484.65</v>
          </cell>
          <cell r="K2342">
            <v>138098.09</v>
          </cell>
        </row>
        <row r="2343">
          <cell r="H2343" t="str">
            <v>5111002030 FGTS-13º Salario (Realizado)</v>
          </cell>
          <cell r="I2343">
            <v>29422.57</v>
          </cell>
          <cell r="J2343">
            <v>6787.62</v>
          </cell>
          <cell r="K2343">
            <v>36210.19</v>
          </cell>
        </row>
        <row r="2344">
          <cell r="H2344" t="str">
            <v>5111002031 FGTS-Provisao de FGTS S/13º Salario</v>
          </cell>
          <cell r="I2344">
            <v>117215.34</v>
          </cell>
          <cell r="J2344">
            <v>25739.31</v>
          </cell>
          <cell r="K2344">
            <v>142954.65</v>
          </cell>
        </row>
        <row r="2345">
          <cell r="H2345" t="str">
            <v>5111002032 FGTS-Reversao da Provisao FGTS S/13º Salario</v>
          </cell>
          <cell r="I2345">
            <v>-33024.47</v>
          </cell>
          <cell r="J2345">
            <v>-8042.28</v>
          </cell>
          <cell r="K2345">
            <v>-41066.75</v>
          </cell>
        </row>
        <row r="2346">
          <cell r="G2346" t="str">
            <v>5.1.1.10.02.04 - FGTS S/Desligamento de Funci</v>
          </cell>
          <cell r="I2346">
            <v>839825</v>
          </cell>
          <cell r="J2346">
            <v>167965</v>
          </cell>
          <cell r="K2346">
            <v>1007790</v>
          </cell>
        </row>
        <row r="2347">
          <cell r="H2347" t="str">
            <v>5111002040 FGTS-Desligamento de Funcionarios (Realizado)</v>
          </cell>
          <cell r="I2347">
            <v>2109491.5499999998</v>
          </cell>
          <cell r="J2347">
            <v>256743.93</v>
          </cell>
          <cell r="K2347">
            <v>2366235.48</v>
          </cell>
        </row>
        <row r="2348">
          <cell r="H2348" t="str">
            <v>5111002041 FGTS-Provisao FGTS s/Desligamento Funcionario</v>
          </cell>
          <cell r="I2348">
            <v>839825</v>
          </cell>
          <cell r="J2348">
            <v>167965</v>
          </cell>
          <cell r="K2348">
            <v>1007790</v>
          </cell>
        </row>
        <row r="2349">
          <cell r="H2349" t="str">
            <v>5111002042 FGTS-Rever Prov FGTS s/Desligamento Funcionario</v>
          </cell>
          <cell r="I2349">
            <v>-2109491.5499999998</v>
          </cell>
          <cell r="J2349">
            <v>-256743.93</v>
          </cell>
          <cell r="K2349">
            <v>-2366235.48</v>
          </cell>
        </row>
        <row r="2350">
          <cell r="G2350" t="str">
            <v>5.1.1.10.02.05 - FGTS S/ Gratificações</v>
          </cell>
          <cell r="I2350">
            <v>0</v>
          </cell>
          <cell r="J2350">
            <v>0</v>
          </cell>
          <cell r="K2350">
            <v>0</v>
          </cell>
        </row>
        <row r="2351">
          <cell r="H2351" t="str">
            <v>5111002051 FGTS-Provisao FGTS s/Gratificações</v>
          </cell>
          <cell r="I2351">
            <v>0</v>
          </cell>
          <cell r="J2351">
            <v>0</v>
          </cell>
          <cell r="K2351">
            <v>0</v>
          </cell>
        </row>
        <row r="2352">
          <cell r="F2352" t="str">
            <v>5.1.1.10.03 - INSS</v>
          </cell>
          <cell r="I2352">
            <v>4655398.4400000004</v>
          </cell>
          <cell r="J2352">
            <v>831801.34</v>
          </cell>
          <cell r="K2352">
            <v>5487199.7800000003</v>
          </cell>
        </row>
        <row r="2353">
          <cell r="G2353" t="str">
            <v>5.1.1.10.03.01 - INSS s/Foha de Pagamento</v>
          </cell>
          <cell r="I2353">
            <v>4552163.18</v>
          </cell>
          <cell r="J2353">
            <v>761117.01</v>
          </cell>
          <cell r="K2353">
            <v>5313280.1900000004</v>
          </cell>
        </row>
        <row r="2354">
          <cell r="H2354" t="str">
            <v>5111003010 INSS-Folha de Pagamento (Realizado)</v>
          </cell>
          <cell r="I2354">
            <v>4552163.18</v>
          </cell>
          <cell r="J2354">
            <v>761117.01</v>
          </cell>
          <cell r="K2354">
            <v>5313280.1900000004</v>
          </cell>
        </row>
        <row r="2355">
          <cell r="G2355" t="str">
            <v>5.1.1.10.03.02 - INSS s/Férias</v>
          </cell>
          <cell r="I2355">
            <v>-154309.57</v>
          </cell>
          <cell r="J2355">
            <v>16130.23</v>
          </cell>
          <cell r="K2355">
            <v>-138179.34</v>
          </cell>
        </row>
        <row r="2356">
          <cell r="H2356" t="str">
            <v>5111003020 INSS-Ferias (Realizado)</v>
          </cell>
          <cell r="I2356">
            <v>0</v>
          </cell>
          <cell r="J2356">
            <v>0</v>
          </cell>
          <cell r="K2356">
            <v>0</v>
          </cell>
        </row>
        <row r="2357">
          <cell r="H2357" t="str">
            <v>5111003021 INSS-Provisao de INSS s/Ferias</v>
          </cell>
          <cell r="I2357">
            <v>77227.08</v>
          </cell>
          <cell r="J2357">
            <v>28358.09</v>
          </cell>
          <cell r="K2357">
            <v>105585.17</v>
          </cell>
        </row>
        <row r="2358">
          <cell r="H2358" t="str">
            <v>5111003022 INSS-Reversao da Provisao de INSS s/Ferias</v>
          </cell>
          <cell r="I2358">
            <v>-231536.65</v>
          </cell>
          <cell r="J2358">
            <v>-12227.86</v>
          </cell>
          <cell r="K2358">
            <v>-243764.51</v>
          </cell>
        </row>
        <row r="2359">
          <cell r="G2359" t="str">
            <v>5.1.1.10.03.03 - INSS S/13º Salario</v>
          </cell>
          <cell r="I2359">
            <v>257544.83</v>
          </cell>
          <cell r="J2359">
            <v>54554.1</v>
          </cell>
          <cell r="K2359">
            <v>312098.93</v>
          </cell>
        </row>
        <row r="2360">
          <cell r="H2360" t="str">
            <v>5111003030 INSS-13º Salario (Realizado)</v>
          </cell>
          <cell r="I2360">
            <v>0</v>
          </cell>
          <cell r="J2360">
            <v>0</v>
          </cell>
          <cell r="K2360">
            <v>0</v>
          </cell>
        </row>
        <row r="2361">
          <cell r="H2361" t="str">
            <v>5111003031 INSS-Provisao de INSS s/13º Salario</v>
          </cell>
          <cell r="I2361">
            <v>270070.42</v>
          </cell>
          <cell r="J2361">
            <v>58408.27</v>
          </cell>
          <cell r="K2361">
            <v>328478.69</v>
          </cell>
        </row>
        <row r="2362">
          <cell r="H2362" t="str">
            <v>5111003032 INSS-Reversao Provisao de INSS s/13º Salario</v>
          </cell>
          <cell r="I2362">
            <v>-12525.59</v>
          </cell>
          <cell r="J2362">
            <v>-3854.17</v>
          </cell>
          <cell r="K2362">
            <v>-16379.76</v>
          </cell>
        </row>
        <row r="2363">
          <cell r="G2363" t="str">
            <v>5.1.1.10.03.05 - INSS S/ Gratificações</v>
          </cell>
          <cell r="I2363">
            <v>0</v>
          </cell>
          <cell r="J2363">
            <v>0</v>
          </cell>
          <cell r="K2363">
            <v>0</v>
          </cell>
        </row>
        <row r="2364">
          <cell r="H2364" t="str">
            <v>5111003051 Provisao de INSS s/Gratificações</v>
          </cell>
          <cell r="I2364">
            <v>0</v>
          </cell>
          <cell r="J2364">
            <v>0</v>
          </cell>
          <cell r="K2364">
            <v>0</v>
          </cell>
        </row>
        <row r="2365">
          <cell r="D2365" t="str">
            <v>5.1.1.15 - Beneficios a Empregados</v>
          </cell>
          <cell r="I2365">
            <v>557704.5</v>
          </cell>
          <cell r="J2365">
            <v>100285.61</v>
          </cell>
          <cell r="K2365">
            <v>657990.11</v>
          </cell>
        </row>
        <row r="2366">
          <cell r="F2366" t="str">
            <v>5.1.1.15.01 - Previdencia Privada</v>
          </cell>
          <cell r="I2366">
            <v>0</v>
          </cell>
          <cell r="J2366">
            <v>0</v>
          </cell>
          <cell r="K2366">
            <v>0</v>
          </cell>
        </row>
        <row r="2367">
          <cell r="G2367" t="str">
            <v>5.1.1.15.01.01 - Previdencia Privada - Contri</v>
          </cell>
          <cell r="I2367">
            <v>0</v>
          </cell>
          <cell r="J2367">
            <v>0</v>
          </cell>
          <cell r="K2367">
            <v>0</v>
          </cell>
        </row>
        <row r="2368">
          <cell r="H2368" t="str">
            <v>5111501010 Prev Priv CD-Contribuicoes da Empresa (Realizado)</v>
          </cell>
          <cell r="I2368">
            <v>0</v>
          </cell>
          <cell r="J2368">
            <v>0</v>
          </cell>
          <cell r="K2368">
            <v>0</v>
          </cell>
        </row>
        <row r="2369">
          <cell r="H2369" t="str">
            <v>5111501015 Prev Priv CD-Participaçao dos Empregados</v>
          </cell>
          <cell r="I2369">
            <v>0</v>
          </cell>
          <cell r="J2369">
            <v>0</v>
          </cell>
          <cell r="K2369">
            <v>0</v>
          </cell>
        </row>
        <row r="2370">
          <cell r="G2370" t="str">
            <v>5.1.1.15.01.02 - Previdencia Privada - Benefi</v>
          </cell>
          <cell r="I2370">
            <v>0</v>
          </cell>
          <cell r="J2370">
            <v>0</v>
          </cell>
          <cell r="K2370">
            <v>0</v>
          </cell>
        </row>
        <row r="2371">
          <cell r="H2371" t="str">
            <v>5111501020 Prev Priv BD-Contribuiçoes da Empresa (Realiz)</v>
          </cell>
          <cell r="I2371">
            <v>0</v>
          </cell>
          <cell r="J2371">
            <v>0</v>
          </cell>
          <cell r="K2371">
            <v>0</v>
          </cell>
        </row>
        <row r="2372">
          <cell r="H2372" t="str">
            <v>5111501021 Prev Priv BD-Provisao Previdencia Privada-Empresa</v>
          </cell>
          <cell r="I2372">
            <v>0</v>
          </cell>
          <cell r="J2372">
            <v>0</v>
          </cell>
          <cell r="K2372">
            <v>0</v>
          </cell>
        </row>
        <row r="2373">
          <cell r="H2373" t="str">
            <v>5111501022 Prev Priv BD-Reversao Prov Previdencia Privada Emp</v>
          </cell>
          <cell r="I2373">
            <v>0</v>
          </cell>
          <cell r="J2373">
            <v>0</v>
          </cell>
          <cell r="K2373">
            <v>0</v>
          </cell>
        </row>
        <row r="2374">
          <cell r="G2374" t="str">
            <v>5.1.1.15.01.03 - Despesas Administrativas c/P</v>
          </cell>
          <cell r="I2374">
            <v>0</v>
          </cell>
          <cell r="J2374">
            <v>0</v>
          </cell>
          <cell r="K2374">
            <v>0</v>
          </cell>
        </row>
        <row r="2375">
          <cell r="H2375" t="str">
            <v>5111501030 Desp Adm c/Plano Previdencia Privada (Realiz)</v>
          </cell>
          <cell r="I2375">
            <v>0</v>
          </cell>
          <cell r="J2375">
            <v>0</v>
          </cell>
          <cell r="K2375">
            <v>0</v>
          </cell>
        </row>
        <row r="2376">
          <cell r="F2376" t="str">
            <v>5.1.1.15.02 - Seguro Social</v>
          </cell>
          <cell r="I2376">
            <v>0</v>
          </cell>
          <cell r="J2376">
            <v>0</v>
          </cell>
          <cell r="K2376">
            <v>0</v>
          </cell>
        </row>
        <row r="2377">
          <cell r="G2377" t="str">
            <v>5.1.1.15.02.01 - Seguro de Vida em Grupo</v>
          </cell>
          <cell r="I2377">
            <v>0</v>
          </cell>
          <cell r="J2377">
            <v>0</v>
          </cell>
          <cell r="K2377">
            <v>0</v>
          </cell>
        </row>
        <row r="2378">
          <cell r="H2378" t="str">
            <v>5111502010 Seguro de Vida em Grupo (Realizado)</v>
          </cell>
          <cell r="I2378">
            <v>0</v>
          </cell>
          <cell r="J2378">
            <v>0</v>
          </cell>
          <cell r="K2378">
            <v>0</v>
          </cell>
        </row>
        <row r="2379">
          <cell r="H2379" t="str">
            <v>5111502011 Provisao Seguro de Vida em Grupo</v>
          </cell>
          <cell r="I2379">
            <v>0</v>
          </cell>
          <cell r="J2379">
            <v>0</v>
          </cell>
          <cell r="K2379">
            <v>0</v>
          </cell>
        </row>
        <row r="2380">
          <cell r="H2380" t="str">
            <v>5111502012 Reversao da Provisao de Seguro de Vida em Grupo</v>
          </cell>
          <cell r="I2380">
            <v>0</v>
          </cell>
          <cell r="J2380">
            <v>0</v>
          </cell>
          <cell r="K2380">
            <v>0</v>
          </cell>
        </row>
        <row r="2381">
          <cell r="F2381" t="str">
            <v>5.1.1.15.03 - Despesas Medicas e Odontologica</v>
          </cell>
          <cell r="I2381">
            <v>147594.74</v>
          </cell>
          <cell r="J2381">
            <v>19173.09</v>
          </cell>
          <cell r="K2381">
            <v>166767.82999999999</v>
          </cell>
        </row>
        <row r="2382">
          <cell r="G2382" t="str">
            <v>5.1.1.15.03.04 - Despesas Medicas e Hospitala</v>
          </cell>
          <cell r="I2382">
            <v>147594.74</v>
          </cell>
          <cell r="J2382">
            <v>19173.09</v>
          </cell>
          <cell r="K2382">
            <v>166767.82999999999</v>
          </cell>
        </row>
        <row r="2383">
          <cell r="H2383" t="str">
            <v>5111503040 Desp Medicas Hospitalares (Realizado)</v>
          </cell>
          <cell r="I2383">
            <v>147594.74</v>
          </cell>
          <cell r="J2383">
            <v>19173.09</v>
          </cell>
          <cell r="K2383">
            <v>166767.82999999999</v>
          </cell>
        </row>
        <row r="2384">
          <cell r="F2384" t="str">
            <v>5.1.1.15.04 - Desenvolvimento Profissional</v>
          </cell>
          <cell r="I2384">
            <v>62526.54</v>
          </cell>
          <cell r="J2384">
            <v>12766.4</v>
          </cell>
          <cell r="K2384">
            <v>75292.94</v>
          </cell>
        </row>
        <row r="2385">
          <cell r="G2385" t="str">
            <v>5.1.1.15.04.01 - Cursos</v>
          </cell>
          <cell r="I2385">
            <v>0</v>
          </cell>
          <cell r="J2385">
            <v>0</v>
          </cell>
          <cell r="K2385">
            <v>0</v>
          </cell>
        </row>
        <row r="2386">
          <cell r="H2386" t="str">
            <v>5111504010 Desenv Prof-Cursos (Realizado)</v>
          </cell>
          <cell r="I2386">
            <v>0</v>
          </cell>
          <cell r="J2386">
            <v>0</v>
          </cell>
          <cell r="K2386">
            <v>0</v>
          </cell>
        </row>
        <row r="2387">
          <cell r="G2387" t="str">
            <v>5.1.1.15.04.02 - Material de Consumo em Curso</v>
          </cell>
          <cell r="I2387">
            <v>38.9</v>
          </cell>
          <cell r="J2387">
            <v>0</v>
          </cell>
          <cell r="K2387">
            <v>38.9</v>
          </cell>
        </row>
        <row r="2388">
          <cell r="H2388" t="str">
            <v>5111504020 Desenv Prof-Material de Consumo em Cursos (Realiz)</v>
          </cell>
          <cell r="I2388">
            <v>38.9</v>
          </cell>
          <cell r="J2388">
            <v>0</v>
          </cell>
          <cell r="K2388">
            <v>38.9</v>
          </cell>
        </row>
        <row r="2389">
          <cell r="G2389" t="str">
            <v>5.1.1.15.04.03 - Serviços de Terceiros em Cur</v>
          </cell>
          <cell r="I2389">
            <v>0</v>
          </cell>
          <cell r="J2389">
            <v>0</v>
          </cell>
          <cell r="K2389">
            <v>0</v>
          </cell>
        </row>
        <row r="2390">
          <cell r="H2390" t="str">
            <v>5111504030 Desenv Prof-Serviços de Tercrs em Cursos (Realiz)</v>
          </cell>
          <cell r="I2390">
            <v>0</v>
          </cell>
          <cell r="J2390">
            <v>0</v>
          </cell>
          <cell r="K2390">
            <v>0</v>
          </cell>
        </row>
        <row r="2391">
          <cell r="G2391" t="str">
            <v>5.1.1.15.04.04 - Diarias em Cursos</v>
          </cell>
          <cell r="I2391">
            <v>0</v>
          </cell>
          <cell r="J2391">
            <v>0</v>
          </cell>
          <cell r="K2391">
            <v>0</v>
          </cell>
        </row>
        <row r="2392">
          <cell r="H2392" t="str">
            <v>5111504040 Desenv Prof-Diarias em Cursos (Realizado)</v>
          </cell>
          <cell r="I2392">
            <v>0</v>
          </cell>
          <cell r="J2392">
            <v>0</v>
          </cell>
          <cell r="K2392">
            <v>0</v>
          </cell>
        </row>
        <row r="2393">
          <cell r="G2393" t="str">
            <v>5.1.1.15.04.05 - Transportes em Cursos</v>
          </cell>
          <cell r="I2393">
            <v>0</v>
          </cell>
          <cell r="J2393">
            <v>158.4</v>
          </cell>
          <cell r="K2393">
            <v>158.4</v>
          </cell>
        </row>
        <row r="2394">
          <cell r="H2394" t="str">
            <v>5111504050 Desenv Prof-Transportes em Cursos (Realizado)</v>
          </cell>
          <cell r="I2394">
            <v>0</v>
          </cell>
          <cell r="J2394">
            <v>158.4</v>
          </cell>
          <cell r="K2394">
            <v>158.4</v>
          </cell>
        </row>
        <row r="2395">
          <cell r="G2395" t="str">
            <v>5.1.1.15.04.06 - Refeições em Cursos</v>
          </cell>
          <cell r="I2395">
            <v>78.03</v>
          </cell>
          <cell r="J2395">
            <v>0</v>
          </cell>
          <cell r="K2395">
            <v>78.03</v>
          </cell>
        </row>
        <row r="2396">
          <cell r="H2396" t="str">
            <v>5111504060 Desenv Prof-Refeiçoes em Cursos (Realizado)</v>
          </cell>
          <cell r="I2396">
            <v>78.03</v>
          </cell>
          <cell r="J2396">
            <v>0</v>
          </cell>
          <cell r="K2396">
            <v>78.03</v>
          </cell>
        </row>
        <row r="2397">
          <cell r="G2397" t="str">
            <v>5.1.1.15.04.07 - Aprendizagem de Menores em C</v>
          </cell>
          <cell r="I2397">
            <v>62409.61</v>
          </cell>
          <cell r="J2397">
            <v>12608</v>
          </cell>
          <cell r="K2397">
            <v>75017.61</v>
          </cell>
        </row>
        <row r="2398">
          <cell r="H2398" t="str">
            <v>5111504070 Desenv Prof-Aprendiz de Menores em Cursos (Realiz)</v>
          </cell>
          <cell r="I2398">
            <v>62409.61</v>
          </cell>
          <cell r="J2398">
            <v>12608</v>
          </cell>
          <cell r="K2398">
            <v>75017.61</v>
          </cell>
        </row>
        <row r="2399">
          <cell r="F2399" t="str">
            <v>5.1.1.15.05 - Despesas Sociais com Pessoal</v>
          </cell>
          <cell r="I2399">
            <v>185381.65</v>
          </cell>
          <cell r="J2399">
            <v>36033.370000000003</v>
          </cell>
          <cell r="K2399">
            <v>221415.02</v>
          </cell>
        </row>
        <row r="2400">
          <cell r="G2400" t="str">
            <v>5.1.1.15.05.01 - Contribuições a Associação D</v>
          </cell>
          <cell r="I2400">
            <v>175400</v>
          </cell>
          <cell r="J2400">
            <v>35080</v>
          </cell>
          <cell r="K2400">
            <v>210480</v>
          </cell>
        </row>
        <row r="2401">
          <cell r="H2401" t="str">
            <v>5111505010 Desp Soc-Contrib Associaçao Desportiva (Realizado)</v>
          </cell>
          <cell r="I2401">
            <v>175400</v>
          </cell>
          <cell r="J2401">
            <v>35080</v>
          </cell>
          <cell r="K2401">
            <v>210480</v>
          </cell>
        </row>
        <row r="2402">
          <cell r="G2402" t="str">
            <v>5.1.1.15.05.02 - Comemorações e Eventos</v>
          </cell>
          <cell r="I2402">
            <v>9981.65</v>
          </cell>
          <cell r="J2402">
            <v>0</v>
          </cell>
          <cell r="K2402">
            <v>9981.65</v>
          </cell>
        </row>
        <row r="2403">
          <cell r="H2403" t="str">
            <v>5111505020 Desp Soc-Comemoraçoes e Eventos (Realizado)</v>
          </cell>
          <cell r="I2403">
            <v>9981.65</v>
          </cell>
          <cell r="J2403">
            <v>0</v>
          </cell>
          <cell r="K2403">
            <v>9981.65</v>
          </cell>
        </row>
        <row r="2404">
          <cell r="G2404" t="str">
            <v>5.1.1.15.05.03 - Assistencia Social a Funcion</v>
          </cell>
          <cell r="I2404">
            <v>0</v>
          </cell>
          <cell r="J2404">
            <v>0</v>
          </cell>
          <cell r="K2404">
            <v>0</v>
          </cell>
        </row>
        <row r="2405">
          <cell r="H2405" t="str">
            <v>5111505030 Desp Soc-Assistencia Social Funcionarios (Realiz)</v>
          </cell>
          <cell r="I2405">
            <v>0</v>
          </cell>
          <cell r="J2405">
            <v>0</v>
          </cell>
          <cell r="K2405">
            <v>0</v>
          </cell>
        </row>
        <row r="2406">
          <cell r="G2406" t="str">
            <v>5.1.1.15.05.04 - Vestuario</v>
          </cell>
          <cell r="I2406">
            <v>0</v>
          </cell>
          <cell r="J2406">
            <v>953.37</v>
          </cell>
          <cell r="K2406">
            <v>953.37</v>
          </cell>
        </row>
        <row r="2407">
          <cell r="H2407" t="str">
            <v>5111505040 Desp Soc-Vestuario (Realizado)</v>
          </cell>
          <cell r="I2407">
            <v>0</v>
          </cell>
          <cell r="J2407">
            <v>953.37</v>
          </cell>
          <cell r="K2407">
            <v>953.37</v>
          </cell>
        </row>
        <row r="2408">
          <cell r="G2408" t="str">
            <v>5.1.1.15.05.05 - Comunicação Interna</v>
          </cell>
          <cell r="I2408">
            <v>0</v>
          </cell>
          <cell r="J2408">
            <v>0</v>
          </cell>
          <cell r="K2408">
            <v>0</v>
          </cell>
        </row>
        <row r="2409">
          <cell r="H2409" t="str">
            <v>5111505050 Desp Soc-Comunicaçao Interna (Realizado)</v>
          </cell>
          <cell r="I2409">
            <v>0</v>
          </cell>
          <cell r="J2409">
            <v>0</v>
          </cell>
          <cell r="K2409">
            <v>0</v>
          </cell>
        </row>
        <row r="2410">
          <cell r="F2410" t="str">
            <v>5.1.1.15.06 - Despesas Transporte do Pessoal</v>
          </cell>
          <cell r="I2410">
            <v>128094.25</v>
          </cell>
          <cell r="J2410">
            <v>27460.62</v>
          </cell>
          <cell r="K2410">
            <v>155554.87</v>
          </cell>
        </row>
        <row r="2411">
          <cell r="G2411" t="str">
            <v>5.1.1.15.06.01 - Condução Contratada</v>
          </cell>
          <cell r="I2411">
            <v>0</v>
          </cell>
          <cell r="J2411">
            <v>0</v>
          </cell>
          <cell r="K2411">
            <v>0</v>
          </cell>
        </row>
        <row r="2412">
          <cell r="H2412" t="str">
            <v>5111506010 Desp Transp-Conduçao Contratada (Realizado)</v>
          </cell>
          <cell r="I2412">
            <v>0</v>
          </cell>
          <cell r="J2412">
            <v>0</v>
          </cell>
          <cell r="K2412">
            <v>0</v>
          </cell>
        </row>
        <row r="2413">
          <cell r="H2413" t="str">
            <v>5111506015 Participaçao dos Empregados-Conduçao Contratada</v>
          </cell>
          <cell r="I2413">
            <v>0</v>
          </cell>
          <cell r="J2413">
            <v>0</v>
          </cell>
          <cell r="K2413">
            <v>0</v>
          </cell>
        </row>
        <row r="2414">
          <cell r="G2414" t="str">
            <v>5.1.1.15.06.02 - Vale Transporte</v>
          </cell>
          <cell r="I2414">
            <v>0</v>
          </cell>
          <cell r="J2414">
            <v>43.2</v>
          </cell>
          <cell r="K2414">
            <v>43.2</v>
          </cell>
        </row>
        <row r="2415">
          <cell r="H2415" t="str">
            <v>5111506020 Despesa Vale Transporte (Realizado)</v>
          </cell>
          <cell r="I2415">
            <v>0</v>
          </cell>
          <cell r="J2415">
            <v>43.2</v>
          </cell>
          <cell r="K2415">
            <v>43.2</v>
          </cell>
        </row>
        <row r="2416">
          <cell r="H2416" t="str">
            <v>5111506025 Participaçao dos Empregados-Vale Transporte</v>
          </cell>
          <cell r="I2416">
            <v>0</v>
          </cell>
          <cell r="J2416">
            <v>0</v>
          </cell>
          <cell r="K2416">
            <v>0</v>
          </cell>
        </row>
        <row r="2417">
          <cell r="G2417" t="str">
            <v>5.1.1.15.06.03 - Taxi e Conduções</v>
          </cell>
          <cell r="I2417">
            <v>127842.25</v>
          </cell>
          <cell r="J2417">
            <v>27417.42</v>
          </cell>
          <cell r="K2417">
            <v>155259.67000000001</v>
          </cell>
        </row>
        <row r="2418">
          <cell r="H2418" t="str">
            <v>5111506030 Despesa Taxi e Conduçoes (Realizado)</v>
          </cell>
          <cell r="I2418">
            <v>127842.25</v>
          </cell>
          <cell r="J2418">
            <v>27417.42</v>
          </cell>
          <cell r="K2418">
            <v>155259.67000000001</v>
          </cell>
        </row>
        <row r="2419">
          <cell r="G2419" t="str">
            <v>5.1.1.15.06.04 - Aluguel de Veiculos</v>
          </cell>
          <cell r="I2419">
            <v>252</v>
          </cell>
          <cell r="J2419">
            <v>0</v>
          </cell>
          <cell r="K2419">
            <v>252</v>
          </cell>
        </row>
        <row r="2420">
          <cell r="H2420" t="str">
            <v>5111506040 Despesa Aluguel de Veiculos (Realizado)</v>
          </cell>
          <cell r="I2420">
            <v>252</v>
          </cell>
          <cell r="J2420">
            <v>0</v>
          </cell>
          <cell r="K2420">
            <v>252</v>
          </cell>
        </row>
        <row r="2421">
          <cell r="F2421" t="str">
            <v>5.1.1.15.07 - Despesas Refeições</v>
          </cell>
          <cell r="I2421">
            <v>34107.32</v>
          </cell>
          <cell r="J2421">
            <v>4852.13</v>
          </cell>
          <cell r="K2421">
            <v>38959.449999999997</v>
          </cell>
        </row>
        <row r="2422">
          <cell r="G2422" t="str">
            <v>5.1.1.15.07.01 - Refeições Prontas</v>
          </cell>
          <cell r="I2422">
            <v>1437.44</v>
          </cell>
          <cell r="J2422">
            <v>190.8</v>
          </cell>
          <cell r="K2422">
            <v>1628.24</v>
          </cell>
        </row>
        <row r="2423">
          <cell r="H2423" t="str">
            <v>5111507010 Despesa Refeiçoes Prontas (Realizado)</v>
          </cell>
          <cell r="I2423">
            <v>1437.44</v>
          </cell>
          <cell r="J2423">
            <v>190.8</v>
          </cell>
          <cell r="K2423">
            <v>1628.24</v>
          </cell>
        </row>
        <row r="2424">
          <cell r="H2424" t="str">
            <v>5111507015 Participaçao dos Empregados-Refeiçoes Prontas</v>
          </cell>
          <cell r="I2424">
            <v>0</v>
          </cell>
          <cell r="J2424">
            <v>0</v>
          </cell>
          <cell r="K2424">
            <v>0</v>
          </cell>
        </row>
        <row r="2425">
          <cell r="G2425" t="str">
            <v>5.1.1.15.07.02 - Material de Consumo - Refeit</v>
          </cell>
          <cell r="I2425">
            <v>0</v>
          </cell>
          <cell r="J2425">
            <v>0</v>
          </cell>
          <cell r="K2425">
            <v>0</v>
          </cell>
        </row>
        <row r="2426">
          <cell r="H2426" t="str">
            <v>5111507020 Despesa Material de Consumo Refeitorio (Realiz)</v>
          </cell>
          <cell r="I2426">
            <v>0</v>
          </cell>
          <cell r="J2426">
            <v>0</v>
          </cell>
          <cell r="K2426">
            <v>0</v>
          </cell>
        </row>
        <row r="2427">
          <cell r="G2427" t="str">
            <v>5.1.1.15.07.03 - Refeições - Visita e Outras</v>
          </cell>
          <cell r="I2427">
            <v>25304.68</v>
          </cell>
          <cell r="J2427">
            <v>3270.62</v>
          </cell>
          <cell r="K2427">
            <v>28575.3</v>
          </cell>
        </row>
        <row r="2428">
          <cell r="H2428" t="str">
            <v>5111507030 Despesa Refeiçoes-Visita e Outras (Realizado)</v>
          </cell>
          <cell r="I2428">
            <v>25304.68</v>
          </cell>
          <cell r="J2428">
            <v>3270.62</v>
          </cell>
          <cell r="K2428">
            <v>28575.3</v>
          </cell>
        </row>
        <row r="2429">
          <cell r="G2429" t="str">
            <v>5.1.1.15.07.04 - Refeições e Lanches Externos</v>
          </cell>
          <cell r="I2429">
            <v>7365.2</v>
          </cell>
          <cell r="J2429">
            <v>1390.71</v>
          </cell>
          <cell r="K2429">
            <v>8755.91</v>
          </cell>
        </row>
        <row r="2430">
          <cell r="H2430" t="str">
            <v>5111507040 Despesa Refeiçoes-Lanches Externos (Realizado)</v>
          </cell>
          <cell r="I2430">
            <v>7365.2</v>
          </cell>
          <cell r="J2430">
            <v>1390.71</v>
          </cell>
          <cell r="K2430">
            <v>8755.91</v>
          </cell>
        </row>
        <row r="2431">
          <cell r="D2431" t="str">
            <v>5.1.1.19 - Outras Despesas com Colaboradores</v>
          </cell>
          <cell r="I2431">
            <v>15578.52</v>
          </cell>
          <cell r="J2431">
            <v>208.35</v>
          </cell>
          <cell r="K2431">
            <v>15786.87</v>
          </cell>
        </row>
        <row r="2432">
          <cell r="F2432" t="str">
            <v>5.1.1.19.01 - Seleção e Recrutamento</v>
          </cell>
          <cell r="I2432">
            <v>0</v>
          </cell>
          <cell r="J2432">
            <v>0</v>
          </cell>
          <cell r="K2432">
            <v>0</v>
          </cell>
        </row>
        <row r="2433">
          <cell r="G2433" t="str">
            <v>5.1.1.19.01.01 - Serviços de Terceiros p/Sele</v>
          </cell>
          <cell r="I2433">
            <v>0</v>
          </cell>
          <cell r="J2433">
            <v>0</v>
          </cell>
          <cell r="K2433">
            <v>0</v>
          </cell>
        </row>
        <row r="2434">
          <cell r="H2434" t="str">
            <v>5111901010 Sel Recrut-Servs de Tercrs p/Seleçao e Recrut (R)</v>
          </cell>
          <cell r="I2434">
            <v>0</v>
          </cell>
          <cell r="J2434">
            <v>0</v>
          </cell>
          <cell r="K2434">
            <v>0</v>
          </cell>
        </row>
        <row r="2435">
          <cell r="G2435" t="str">
            <v>5.1.1.19.01.02 - Anuncios p/Seleção e Recruta</v>
          </cell>
          <cell r="I2435">
            <v>0</v>
          </cell>
          <cell r="J2435">
            <v>0</v>
          </cell>
          <cell r="K2435">
            <v>0</v>
          </cell>
        </row>
        <row r="2436">
          <cell r="H2436" t="str">
            <v>5111901020 Sel Recrut-Anunc p/Seleçao e Recrut (Realiz)</v>
          </cell>
          <cell r="I2436">
            <v>0</v>
          </cell>
          <cell r="J2436">
            <v>0</v>
          </cell>
          <cell r="K2436">
            <v>0</v>
          </cell>
        </row>
        <row r="2437">
          <cell r="F2437" t="str">
            <v>5.1.1.19.02 - Despesas com Viagens</v>
          </cell>
          <cell r="I2437">
            <v>15578.52</v>
          </cell>
          <cell r="J2437">
            <v>208.35</v>
          </cell>
          <cell r="K2437">
            <v>15786.87</v>
          </cell>
        </row>
        <row r="2438">
          <cell r="G2438" t="str">
            <v>5.1.1.19.02.01 - Viagens Nacionais</v>
          </cell>
          <cell r="I2438">
            <v>8211.42</v>
          </cell>
          <cell r="J2438">
            <v>0</v>
          </cell>
          <cell r="K2438">
            <v>8211.42</v>
          </cell>
        </row>
        <row r="2439">
          <cell r="H2439" t="str">
            <v>5111902010 Despesa Viagens Nacionais (Realizado)</v>
          </cell>
          <cell r="I2439">
            <v>8211.42</v>
          </cell>
          <cell r="J2439">
            <v>0</v>
          </cell>
          <cell r="K2439">
            <v>8211.42</v>
          </cell>
        </row>
        <row r="2440">
          <cell r="G2440" t="str">
            <v>5.1.1.19.02.02 - Viagens Internacionais</v>
          </cell>
          <cell r="I2440">
            <v>7367.1</v>
          </cell>
          <cell r="J2440">
            <v>208.35</v>
          </cell>
          <cell r="K2440">
            <v>7575.45</v>
          </cell>
        </row>
        <row r="2441">
          <cell r="H2441" t="str">
            <v>5111902020 Despesas Viagens Internacionais (Realizado)</v>
          </cell>
          <cell r="I2441">
            <v>7367.1</v>
          </cell>
          <cell r="J2441">
            <v>208.35</v>
          </cell>
          <cell r="K2441">
            <v>7575.45</v>
          </cell>
        </row>
        <row r="2442">
          <cell r="D2442" t="str">
            <v>5.1.1.20 - Serviços Prestados por Terceiros -</v>
          </cell>
          <cell r="I2442">
            <v>6998933.0499999998</v>
          </cell>
          <cell r="J2442">
            <v>1642639.09</v>
          </cell>
          <cell r="K2442">
            <v>8641572.1400000006</v>
          </cell>
        </row>
        <row r="2443">
          <cell r="F2443" t="str">
            <v>5.1.1.20.01 - Prestação de Serviços de Advoca</v>
          </cell>
          <cell r="I2443">
            <v>0</v>
          </cell>
          <cell r="J2443">
            <v>0</v>
          </cell>
          <cell r="K2443">
            <v>0</v>
          </cell>
        </row>
        <row r="2444">
          <cell r="G2444" t="str">
            <v>5.1.1.20.01.01 - Prestação de Serviços de Adv</v>
          </cell>
          <cell r="I2444">
            <v>0</v>
          </cell>
          <cell r="J2444">
            <v>0</v>
          </cell>
          <cell r="K2444">
            <v>0</v>
          </cell>
        </row>
        <row r="2445">
          <cell r="H2445" t="str">
            <v>5112001010 Serviços Prestados Advocacia p/PJ (Realizado)</v>
          </cell>
          <cell r="I2445">
            <v>0</v>
          </cell>
          <cell r="J2445">
            <v>0</v>
          </cell>
          <cell r="K2445">
            <v>0</v>
          </cell>
        </row>
        <row r="2446">
          <cell r="G2446" t="str">
            <v>5.1.1.20.01.02 - Serviços Prestados de Advoca</v>
          </cell>
          <cell r="I2446">
            <v>0</v>
          </cell>
          <cell r="J2446">
            <v>0</v>
          </cell>
          <cell r="K2446">
            <v>0</v>
          </cell>
        </row>
        <row r="2447">
          <cell r="H2447" t="str">
            <v>5112001020 Serviço Prest Advocacia p/Coop de Trab (Realiz)</v>
          </cell>
          <cell r="I2447">
            <v>0</v>
          </cell>
          <cell r="J2447">
            <v>0</v>
          </cell>
          <cell r="K2447">
            <v>0</v>
          </cell>
        </row>
        <row r="2448">
          <cell r="G2448" t="str">
            <v>5.1.1.20.01.04 - Prestação de Serviços de Adv</v>
          </cell>
          <cell r="I2448">
            <v>0</v>
          </cell>
          <cell r="J2448">
            <v>0</v>
          </cell>
          <cell r="K2448">
            <v>0</v>
          </cell>
        </row>
        <row r="2449">
          <cell r="H2449" t="str">
            <v>5112001040 Serv Prest Advocacia p/PF s/ Vinculo Empr (Realiz)</v>
          </cell>
          <cell r="I2449">
            <v>0</v>
          </cell>
          <cell r="J2449">
            <v>0</v>
          </cell>
          <cell r="K2449">
            <v>0</v>
          </cell>
        </row>
        <row r="2450">
          <cell r="F2450" t="str">
            <v>5.1.1.20.02 - Prestação Serviços de Auditoria</v>
          </cell>
          <cell r="I2450">
            <v>40142.379999999997</v>
          </cell>
          <cell r="J2450">
            <v>0</v>
          </cell>
          <cell r="K2450">
            <v>40142.379999999997</v>
          </cell>
        </row>
        <row r="2451">
          <cell r="G2451" t="str">
            <v>5.1.1.20.02.01 - Prestação de Serviços de Aud</v>
          </cell>
          <cell r="I2451">
            <v>40142.379999999997</v>
          </cell>
          <cell r="J2451">
            <v>0</v>
          </cell>
          <cell r="K2451">
            <v>40142.379999999997</v>
          </cell>
        </row>
        <row r="2452">
          <cell r="H2452" t="str">
            <v>5112002010 Serviços Prestados Auditoria  p/PJ (Realizado)</v>
          </cell>
          <cell r="I2452">
            <v>40142.379999999997</v>
          </cell>
          <cell r="J2452">
            <v>0</v>
          </cell>
          <cell r="K2452">
            <v>40142.379999999997</v>
          </cell>
        </row>
        <row r="2453">
          <cell r="G2453" t="str">
            <v>5.1.1.20.02.02 - Serviços Prestados de Audito</v>
          </cell>
          <cell r="I2453">
            <v>0</v>
          </cell>
          <cell r="J2453">
            <v>0</v>
          </cell>
          <cell r="K2453">
            <v>0</v>
          </cell>
        </row>
        <row r="2454">
          <cell r="H2454" t="str">
            <v>5112002020 Serviços Prest Auditoria p/ Coop Trab (Realiz)</v>
          </cell>
          <cell r="I2454">
            <v>0</v>
          </cell>
          <cell r="J2454">
            <v>0</v>
          </cell>
          <cell r="K2454">
            <v>0</v>
          </cell>
        </row>
        <row r="2455">
          <cell r="G2455" t="str">
            <v>5.1.1.20.02.04 - Prestação de Serviços de Aud</v>
          </cell>
          <cell r="I2455">
            <v>0</v>
          </cell>
          <cell r="J2455">
            <v>0</v>
          </cell>
          <cell r="K2455">
            <v>0</v>
          </cell>
        </row>
        <row r="2456">
          <cell r="H2456" t="str">
            <v>5112002040 Serviços Prest Auditoria p/PF s/Vinc Empr (Realiz)</v>
          </cell>
          <cell r="I2456">
            <v>0</v>
          </cell>
          <cell r="J2456">
            <v>0</v>
          </cell>
          <cell r="K2456">
            <v>0</v>
          </cell>
        </row>
        <row r="2457">
          <cell r="F2457" t="str">
            <v>5.1.1.20.03 - Prestação Serviços de Consultor</v>
          </cell>
          <cell r="I2457">
            <v>314546.77</v>
          </cell>
          <cell r="J2457">
            <v>47028.03</v>
          </cell>
          <cell r="K2457">
            <v>361574.8</v>
          </cell>
        </row>
        <row r="2458">
          <cell r="G2458" t="str">
            <v>5.1.1.20.03.01 - Prestação de Serviços de Con</v>
          </cell>
          <cell r="I2458">
            <v>292103.09000000003</v>
          </cell>
          <cell r="J2458">
            <v>43653.03</v>
          </cell>
          <cell r="K2458">
            <v>335756.12</v>
          </cell>
        </row>
        <row r="2459">
          <cell r="H2459" t="str">
            <v>5112003010 Serviços Prestados Consultoria p/PJ (Realizado)</v>
          </cell>
          <cell r="I2459">
            <v>292103.09000000003</v>
          </cell>
          <cell r="J2459">
            <v>43653.03</v>
          </cell>
          <cell r="K2459">
            <v>335756.12</v>
          </cell>
        </row>
        <row r="2460">
          <cell r="G2460" t="str">
            <v>5.1.1.20.03.02 - Serviços Prestados de Consul</v>
          </cell>
          <cell r="I2460">
            <v>0</v>
          </cell>
          <cell r="J2460">
            <v>0</v>
          </cell>
          <cell r="K2460">
            <v>0</v>
          </cell>
        </row>
        <row r="2461">
          <cell r="H2461" t="str">
            <v>5112003020 Serv Prest Consultoria p/Coop Trab (Realizado)</v>
          </cell>
          <cell r="I2461">
            <v>0</v>
          </cell>
          <cell r="J2461">
            <v>0</v>
          </cell>
          <cell r="K2461">
            <v>0</v>
          </cell>
        </row>
        <row r="2462">
          <cell r="G2462" t="str">
            <v>5.1.1.20.03.04 - Prestação de Serviços de Con</v>
          </cell>
          <cell r="I2462">
            <v>22443.68</v>
          </cell>
          <cell r="J2462">
            <v>3375</v>
          </cell>
          <cell r="K2462">
            <v>25818.68</v>
          </cell>
        </row>
        <row r="2463">
          <cell r="H2463" t="str">
            <v>5112003040 Serv Prest Consultoria p/PF s/Vinc Empr (Realiz)</v>
          </cell>
          <cell r="I2463">
            <v>22443.68</v>
          </cell>
          <cell r="J2463">
            <v>3375</v>
          </cell>
          <cell r="K2463">
            <v>25818.68</v>
          </cell>
        </row>
        <row r="2464">
          <cell r="F2464" t="str">
            <v>5.1.1.20.07 - Prestação de Serviços Informaçõ</v>
          </cell>
          <cell r="I2464">
            <v>0</v>
          </cell>
          <cell r="J2464">
            <v>0</v>
          </cell>
          <cell r="K2464">
            <v>0</v>
          </cell>
        </row>
        <row r="2465">
          <cell r="G2465" t="str">
            <v>5.1.1.20.07.01 - Prestação de Serviços de Inf</v>
          </cell>
          <cell r="I2465">
            <v>0</v>
          </cell>
          <cell r="J2465">
            <v>0</v>
          </cell>
          <cell r="K2465">
            <v>0</v>
          </cell>
        </row>
        <row r="2466">
          <cell r="H2466" t="str">
            <v>5112007010 Serv Prest Informaçoes Cadastrais p/PJ (Realiz)</v>
          </cell>
          <cell r="I2466">
            <v>0</v>
          </cell>
          <cell r="J2466">
            <v>0</v>
          </cell>
          <cell r="K2466">
            <v>0</v>
          </cell>
        </row>
        <row r="2467">
          <cell r="G2467" t="str">
            <v>5.1.1.20.07.02 - Serviços Prestados de Inform</v>
          </cell>
          <cell r="I2467">
            <v>0</v>
          </cell>
          <cell r="J2467">
            <v>0</v>
          </cell>
          <cell r="K2467">
            <v>0</v>
          </cell>
        </row>
        <row r="2468">
          <cell r="H2468" t="str">
            <v>5112007020 Serv Prest Inform Cadastrais p/Coop Trab (Realiz)</v>
          </cell>
          <cell r="I2468">
            <v>0</v>
          </cell>
          <cell r="J2468">
            <v>0</v>
          </cell>
          <cell r="K2468">
            <v>0</v>
          </cell>
        </row>
        <row r="2469">
          <cell r="G2469" t="str">
            <v>5.1.1.20.07.04 - Prestação de Serviços de Inf</v>
          </cell>
          <cell r="I2469">
            <v>0</v>
          </cell>
          <cell r="J2469">
            <v>0</v>
          </cell>
          <cell r="K2469">
            <v>0</v>
          </cell>
        </row>
        <row r="2470">
          <cell r="H2470" t="str">
            <v>5112007040 Serv Prest Inform Cadastrais p/PF s/Vinc Empr (R)</v>
          </cell>
          <cell r="I2470">
            <v>0</v>
          </cell>
          <cell r="J2470">
            <v>0</v>
          </cell>
          <cell r="K2470">
            <v>0</v>
          </cell>
        </row>
        <row r="2471">
          <cell r="F2471" t="str">
            <v>5.1.1.20.08 - Prestação de Serviços de Propag</v>
          </cell>
          <cell r="I2471">
            <v>2500</v>
          </cell>
          <cell r="J2471">
            <v>0</v>
          </cell>
          <cell r="K2471">
            <v>2500</v>
          </cell>
        </row>
        <row r="2472">
          <cell r="G2472" t="str">
            <v>5.1.1.20.08.01 - Prestação de Serviços de Pro</v>
          </cell>
          <cell r="I2472">
            <v>2500</v>
          </cell>
          <cell r="J2472">
            <v>0</v>
          </cell>
          <cell r="K2472">
            <v>2500</v>
          </cell>
        </row>
        <row r="2473">
          <cell r="H2473" t="str">
            <v>5112008010 Serv Prest Propaganda e Publicidade p/PJ (Realiz)</v>
          </cell>
          <cell r="I2473">
            <v>2500</v>
          </cell>
          <cell r="J2473">
            <v>0</v>
          </cell>
          <cell r="K2473">
            <v>2500</v>
          </cell>
        </row>
        <row r="2474">
          <cell r="G2474" t="str">
            <v>5.1.1.20.08.02 - Serviços Prestados de Propag</v>
          </cell>
          <cell r="I2474">
            <v>0</v>
          </cell>
          <cell r="J2474">
            <v>0</v>
          </cell>
          <cell r="K2474">
            <v>0</v>
          </cell>
        </row>
        <row r="2475">
          <cell r="H2475" t="str">
            <v>5112008020 Serviços Prest Propag Public p/Coop Trab (Realiz)</v>
          </cell>
          <cell r="I2475">
            <v>0</v>
          </cell>
          <cell r="J2475">
            <v>0</v>
          </cell>
          <cell r="K2475">
            <v>0</v>
          </cell>
        </row>
        <row r="2476">
          <cell r="G2476" t="str">
            <v>5.1.1.20.08.04 - Prestação de Serviços de Pro</v>
          </cell>
          <cell r="I2476">
            <v>0</v>
          </cell>
          <cell r="J2476">
            <v>0</v>
          </cell>
          <cell r="K2476">
            <v>0</v>
          </cell>
        </row>
        <row r="2477">
          <cell r="H2477" t="str">
            <v>5112008040 Serv Prest Propag Public p/PF s/Vinc Empr (Realiz)</v>
          </cell>
          <cell r="I2477">
            <v>0</v>
          </cell>
          <cell r="J2477">
            <v>0</v>
          </cell>
          <cell r="K2477">
            <v>0</v>
          </cell>
        </row>
        <row r="2478">
          <cell r="F2478" t="str">
            <v>5.1.1.20.09 - Prestação de Serviços de Atuali</v>
          </cell>
          <cell r="I2478">
            <v>0</v>
          </cell>
          <cell r="J2478">
            <v>13772.91</v>
          </cell>
          <cell r="K2478">
            <v>13772.91</v>
          </cell>
        </row>
        <row r="2479">
          <cell r="G2479" t="str">
            <v>5.1.1.20.09.01 - Prestação de Serviços de Atu</v>
          </cell>
          <cell r="I2479">
            <v>0</v>
          </cell>
          <cell r="J2479">
            <v>13772.91</v>
          </cell>
          <cell r="K2479">
            <v>13772.91</v>
          </cell>
        </row>
        <row r="2480">
          <cell r="H2480" t="str">
            <v>5112009010 Serv Prest Atualiz/Suporte Tecnico p/PJ (Realiz)</v>
          </cell>
          <cell r="I2480">
            <v>0</v>
          </cell>
          <cell r="J2480">
            <v>13772.91</v>
          </cell>
          <cell r="K2480">
            <v>13772.91</v>
          </cell>
        </row>
        <row r="2481">
          <cell r="G2481" t="str">
            <v>5.1.1.20.09.02 - Serviços Prestados de Atuali</v>
          </cell>
          <cell r="I2481">
            <v>0</v>
          </cell>
          <cell r="J2481">
            <v>0</v>
          </cell>
          <cell r="K2481">
            <v>0</v>
          </cell>
        </row>
        <row r="2482">
          <cell r="H2482" t="str">
            <v>5112009020 Serv Prest Atual/Suporte Tec p/Coop Trab (Realiz)</v>
          </cell>
          <cell r="I2482">
            <v>0</v>
          </cell>
          <cell r="J2482">
            <v>0</v>
          </cell>
          <cell r="K2482">
            <v>0</v>
          </cell>
        </row>
        <row r="2483">
          <cell r="G2483" t="str">
            <v>5.1.1.20.09.04 - Prestação de Serviços de Atu</v>
          </cell>
          <cell r="I2483">
            <v>0</v>
          </cell>
          <cell r="J2483">
            <v>0</v>
          </cell>
          <cell r="K2483">
            <v>0</v>
          </cell>
        </row>
        <row r="2484">
          <cell r="H2484" t="str">
            <v>5112009040 Serv Prest Atual/Sup Tec p/PF s/Vinc Empr (Realiz)</v>
          </cell>
          <cell r="I2484">
            <v>0</v>
          </cell>
          <cell r="J2484">
            <v>0</v>
          </cell>
          <cell r="K2484">
            <v>0</v>
          </cell>
        </row>
        <row r="2485">
          <cell r="F2485" t="str">
            <v>5.1.1.20.10 - Prestação de Serviços Temporári</v>
          </cell>
          <cell r="I2485">
            <v>13356.61</v>
          </cell>
          <cell r="J2485">
            <v>2857.26</v>
          </cell>
          <cell r="K2485">
            <v>16213.87</v>
          </cell>
        </row>
        <row r="2486">
          <cell r="G2486" t="str">
            <v>5.1.1.20.10.01 - Prestação de Serviços Tempor</v>
          </cell>
          <cell r="I2486">
            <v>13356.61</v>
          </cell>
          <cell r="J2486">
            <v>2857.26</v>
          </cell>
          <cell r="K2486">
            <v>16213.87</v>
          </cell>
        </row>
        <row r="2487">
          <cell r="H2487" t="str">
            <v>5112010010 Serviços Prestados Temporario p/PJ (Realizado)</v>
          </cell>
          <cell r="I2487">
            <v>13356.61</v>
          </cell>
          <cell r="J2487">
            <v>2857.26</v>
          </cell>
          <cell r="K2487">
            <v>16213.87</v>
          </cell>
        </row>
        <row r="2488">
          <cell r="G2488" t="str">
            <v>5.1.1.20.10.02 - Serviços Prestados Temporári</v>
          </cell>
          <cell r="I2488">
            <v>0</v>
          </cell>
          <cell r="J2488">
            <v>0</v>
          </cell>
          <cell r="K2488">
            <v>0</v>
          </cell>
        </row>
        <row r="2489">
          <cell r="H2489" t="str">
            <v>5112010020 Serv Prest Temporario p/Cooperativa Trab (Realiz)</v>
          </cell>
          <cell r="I2489">
            <v>0</v>
          </cell>
          <cell r="J2489">
            <v>0</v>
          </cell>
          <cell r="K2489">
            <v>0</v>
          </cell>
        </row>
        <row r="2490">
          <cell r="G2490" t="str">
            <v>5.1.1.20.10.04 - Prestação de Serviços Tempor</v>
          </cell>
          <cell r="I2490">
            <v>0</v>
          </cell>
          <cell r="J2490">
            <v>0</v>
          </cell>
          <cell r="K2490">
            <v>0</v>
          </cell>
        </row>
        <row r="2491">
          <cell r="H2491" t="str">
            <v>5112010040 Serv Prest Temporario p/PF s/ Vinc Empr (Realiz)</v>
          </cell>
          <cell r="I2491">
            <v>0</v>
          </cell>
          <cell r="J2491">
            <v>0</v>
          </cell>
          <cell r="K2491">
            <v>0</v>
          </cell>
        </row>
        <row r="2492">
          <cell r="F2492" t="str">
            <v>5.1.1.20.11 - Prestação de Serviços de Limpez</v>
          </cell>
          <cell r="I2492">
            <v>420106.99</v>
          </cell>
          <cell r="J2492">
            <v>80975.210000000006</v>
          </cell>
          <cell r="K2492">
            <v>501082.2</v>
          </cell>
        </row>
        <row r="2493">
          <cell r="G2493" t="str">
            <v>5.1.1.20.11.01 - Prestação de Serviços de Lim</v>
          </cell>
          <cell r="I2493">
            <v>420106.99</v>
          </cell>
          <cell r="J2493">
            <v>80975.210000000006</v>
          </cell>
          <cell r="K2493">
            <v>501082.2</v>
          </cell>
        </row>
        <row r="2494">
          <cell r="H2494" t="str">
            <v>5112011010 Serviços Prestados Limpeza p/ PJ (Realizado)</v>
          </cell>
          <cell r="I2494">
            <v>420106.99</v>
          </cell>
          <cell r="J2494">
            <v>80975.210000000006</v>
          </cell>
          <cell r="K2494">
            <v>501082.2</v>
          </cell>
        </row>
        <row r="2495">
          <cell r="G2495" t="str">
            <v>5.1.1.20.11.02 - Serviços Prestados de Limpez</v>
          </cell>
          <cell r="I2495">
            <v>0</v>
          </cell>
          <cell r="J2495">
            <v>0</v>
          </cell>
          <cell r="K2495">
            <v>0</v>
          </cell>
        </row>
        <row r="2496">
          <cell r="H2496" t="str">
            <v>5112011020 Serv Prest Limpeza p/Cooperativa Trabalho (Realiz)</v>
          </cell>
          <cell r="I2496">
            <v>0</v>
          </cell>
          <cell r="J2496">
            <v>0</v>
          </cell>
          <cell r="K2496">
            <v>0</v>
          </cell>
        </row>
        <row r="2497">
          <cell r="G2497" t="str">
            <v>5.1.1.20.11.04 - Prestação de Serviços de Lim</v>
          </cell>
          <cell r="I2497">
            <v>0</v>
          </cell>
          <cell r="J2497">
            <v>0</v>
          </cell>
          <cell r="K2497">
            <v>0</v>
          </cell>
        </row>
        <row r="2498">
          <cell r="H2498" t="str">
            <v>5112011040 Serv Prest Limpeza p/PF s/Vinculo Empr (Realiz)</v>
          </cell>
          <cell r="I2498">
            <v>0</v>
          </cell>
          <cell r="J2498">
            <v>0</v>
          </cell>
          <cell r="K2498">
            <v>0</v>
          </cell>
        </row>
        <row r="2499">
          <cell r="F2499" t="str">
            <v>5.1.1.20.12 - Prestação de Serviços de Vigila</v>
          </cell>
          <cell r="I2499">
            <v>690690.99</v>
          </cell>
          <cell r="J2499">
            <v>151742.31</v>
          </cell>
          <cell r="K2499">
            <v>842433.3</v>
          </cell>
        </row>
        <row r="2500">
          <cell r="G2500" t="str">
            <v>5.1.1.20.12.01 - Prestação de Serviços de Vig</v>
          </cell>
          <cell r="I2500">
            <v>690690.99</v>
          </cell>
          <cell r="J2500">
            <v>151742.31</v>
          </cell>
          <cell r="K2500">
            <v>842433.3</v>
          </cell>
        </row>
        <row r="2501">
          <cell r="H2501" t="str">
            <v>5112012010 Serviços Prestados Vigilancia PJ (Realiz)</v>
          </cell>
          <cell r="I2501">
            <v>690690.99</v>
          </cell>
          <cell r="J2501">
            <v>151742.31</v>
          </cell>
          <cell r="K2501">
            <v>842433.3</v>
          </cell>
        </row>
        <row r="2502">
          <cell r="G2502" t="str">
            <v>5.1.1.20.12.02 - Serviços Prestados de Vigila</v>
          </cell>
          <cell r="I2502">
            <v>0</v>
          </cell>
          <cell r="J2502">
            <v>0</v>
          </cell>
          <cell r="K2502">
            <v>0</v>
          </cell>
        </row>
        <row r="2503">
          <cell r="H2503" t="str">
            <v>5112012020 Serv Prest Vigilancia Cooperativa Trab (Realiz)</v>
          </cell>
          <cell r="I2503">
            <v>0</v>
          </cell>
          <cell r="J2503">
            <v>0</v>
          </cell>
          <cell r="K2503">
            <v>0</v>
          </cell>
        </row>
        <row r="2504">
          <cell r="G2504" t="str">
            <v>5.1.1.20.12.04 - Prestação de Serviços de Vig</v>
          </cell>
          <cell r="I2504">
            <v>0</v>
          </cell>
          <cell r="J2504">
            <v>0</v>
          </cell>
          <cell r="K2504">
            <v>0</v>
          </cell>
        </row>
        <row r="2505">
          <cell r="H2505" t="str">
            <v>5112012040 Serv Prest Vigilancia p/PF s/Vinculo Empr (Realiz)</v>
          </cell>
          <cell r="I2505">
            <v>0</v>
          </cell>
          <cell r="J2505">
            <v>0</v>
          </cell>
          <cell r="K2505">
            <v>0</v>
          </cell>
        </row>
        <row r="2506">
          <cell r="F2506" t="str">
            <v>5.1.1.20.13 - Prestação de Serviços de Jardin</v>
          </cell>
          <cell r="I2506">
            <v>172776.63</v>
          </cell>
          <cell r="J2506">
            <v>23043.58</v>
          </cell>
          <cell r="K2506">
            <v>195820.21</v>
          </cell>
        </row>
        <row r="2507">
          <cell r="G2507" t="str">
            <v>5.1.1.20.13.01 - Prestação de Serviços de Jar</v>
          </cell>
          <cell r="I2507">
            <v>172776.63</v>
          </cell>
          <cell r="J2507">
            <v>23043.58</v>
          </cell>
          <cell r="K2507">
            <v>195820.21</v>
          </cell>
        </row>
        <row r="2508">
          <cell r="H2508" t="str">
            <v>5112013010 Serviços Prestados Jardinagem p/PJ (Realizado)</v>
          </cell>
          <cell r="I2508">
            <v>172776.63</v>
          </cell>
          <cell r="J2508">
            <v>23043.58</v>
          </cell>
          <cell r="K2508">
            <v>195820.21</v>
          </cell>
        </row>
        <row r="2509">
          <cell r="G2509" t="str">
            <v>5.1.1.20.13.02 - Serviços Prestados de Jardin</v>
          </cell>
          <cell r="I2509">
            <v>0</v>
          </cell>
          <cell r="J2509">
            <v>0</v>
          </cell>
          <cell r="K2509">
            <v>0</v>
          </cell>
        </row>
        <row r="2510">
          <cell r="H2510" t="str">
            <v>5112013020 Serv Prest Jardinagem p/Cooperativa Trab (Realiz)</v>
          </cell>
          <cell r="I2510">
            <v>0</v>
          </cell>
          <cell r="J2510">
            <v>0</v>
          </cell>
          <cell r="K2510">
            <v>0</v>
          </cell>
        </row>
        <row r="2511">
          <cell r="G2511" t="str">
            <v>5.1.1.20.13.04 - Prestação de Serviços de Jar</v>
          </cell>
          <cell r="I2511">
            <v>0</v>
          </cell>
          <cell r="J2511">
            <v>0</v>
          </cell>
          <cell r="K2511">
            <v>0</v>
          </cell>
        </row>
        <row r="2512">
          <cell r="H2512" t="str">
            <v>5112013040 Serv Prest Jardinagem p/PF s/Vinculo Empr (Realiz)</v>
          </cell>
          <cell r="I2512">
            <v>0</v>
          </cell>
          <cell r="J2512">
            <v>0</v>
          </cell>
          <cell r="K2512">
            <v>0</v>
          </cell>
        </row>
        <row r="2513">
          <cell r="F2513" t="str">
            <v>5.1.1.20.14 - Prestação de Serviços de Estaci</v>
          </cell>
          <cell r="I2513">
            <v>408375</v>
          </cell>
          <cell r="J2513">
            <v>81675</v>
          </cell>
          <cell r="K2513">
            <v>490050</v>
          </cell>
        </row>
        <row r="2514">
          <cell r="G2514" t="str">
            <v>5.1.1.20.14.01 - Prestação de Serviços de Est</v>
          </cell>
          <cell r="I2514">
            <v>408375</v>
          </cell>
          <cell r="J2514">
            <v>81675</v>
          </cell>
          <cell r="K2514">
            <v>490050</v>
          </cell>
        </row>
        <row r="2515">
          <cell r="H2515" t="str">
            <v>5112014010 Serv Prest Estacionamento de Caminhoes PJ (Realiz)</v>
          </cell>
          <cell r="I2515">
            <v>408375</v>
          </cell>
          <cell r="J2515">
            <v>81675</v>
          </cell>
          <cell r="K2515">
            <v>490050</v>
          </cell>
        </row>
        <row r="2516">
          <cell r="G2516" t="str">
            <v>5.1.1.20.14.02 - Serviços Prestados de Estaci</v>
          </cell>
          <cell r="I2516">
            <v>0</v>
          </cell>
          <cell r="J2516">
            <v>0</v>
          </cell>
          <cell r="K2516">
            <v>0</v>
          </cell>
        </row>
        <row r="2517">
          <cell r="H2517" t="str">
            <v>5112014020 Serv Prest Estac de Cam p/Coop Trab (Realiz)</v>
          </cell>
          <cell r="I2517">
            <v>0</v>
          </cell>
          <cell r="J2517">
            <v>0</v>
          </cell>
          <cell r="K2517">
            <v>0</v>
          </cell>
        </row>
        <row r="2518">
          <cell r="G2518" t="str">
            <v>5.1.1.20.14.04 - Prestação de Serviços de Est</v>
          </cell>
          <cell r="I2518">
            <v>0</v>
          </cell>
          <cell r="J2518">
            <v>0</v>
          </cell>
          <cell r="K2518">
            <v>0</v>
          </cell>
        </row>
        <row r="2519">
          <cell r="H2519" t="str">
            <v>5112014040 Serv Prest Estac de Cami p/PF s/Vinc Empr (Realiz)</v>
          </cell>
          <cell r="I2519">
            <v>0</v>
          </cell>
          <cell r="J2519">
            <v>0</v>
          </cell>
          <cell r="K2519">
            <v>0</v>
          </cell>
        </row>
        <row r="2520">
          <cell r="F2520" t="str">
            <v>5.1.1.20.15 - Prestação de Serviços de Fretes</v>
          </cell>
          <cell r="I2520">
            <v>3862734.98</v>
          </cell>
          <cell r="J2520">
            <v>1050528.2</v>
          </cell>
          <cell r="K2520">
            <v>4913263.18</v>
          </cell>
        </row>
        <row r="2521">
          <cell r="G2521" t="str">
            <v>5.1.1.20.15.01 - Prestação de Serviços de Fre</v>
          </cell>
          <cell r="I2521">
            <v>3862734.98</v>
          </cell>
          <cell r="J2521">
            <v>1050528.2</v>
          </cell>
          <cell r="K2521">
            <v>4913263.18</v>
          </cell>
        </row>
        <row r="2522">
          <cell r="H2522" t="str">
            <v>5112015010 Serv Prest Fretes Carretos s/Compras p/PJ (Realiz)</v>
          </cell>
          <cell r="I2522">
            <v>3862734.98</v>
          </cell>
          <cell r="J2522">
            <v>1050528.2</v>
          </cell>
          <cell r="K2522">
            <v>4913263.18</v>
          </cell>
        </row>
        <row r="2523">
          <cell r="G2523" t="str">
            <v>5.1.1.20.15.02 - Serviços Prestados de Fretes</v>
          </cell>
          <cell r="I2523">
            <v>0</v>
          </cell>
          <cell r="J2523">
            <v>0</v>
          </cell>
          <cell r="K2523">
            <v>0</v>
          </cell>
        </row>
        <row r="2524">
          <cell r="H2524" t="str">
            <v>5112015020 Serv Prest Fret Carret s/Comp p/Coop Trab (Realiz)</v>
          </cell>
          <cell r="I2524">
            <v>0</v>
          </cell>
          <cell r="J2524">
            <v>0</v>
          </cell>
          <cell r="K2524">
            <v>0</v>
          </cell>
        </row>
        <row r="2525">
          <cell r="G2525" t="str">
            <v>5.1.1.20.15.04 - Prestação de Serviços de Fre</v>
          </cell>
          <cell r="I2525">
            <v>0</v>
          </cell>
          <cell r="J2525">
            <v>0</v>
          </cell>
          <cell r="K2525">
            <v>0</v>
          </cell>
        </row>
        <row r="2526">
          <cell r="H2526" t="str">
            <v>5112015040 Serv Prest Fret Carr s/Comp p/PF s/Vin Emp(Realiz)</v>
          </cell>
          <cell r="I2526">
            <v>0</v>
          </cell>
          <cell r="J2526">
            <v>0</v>
          </cell>
          <cell r="K2526">
            <v>0</v>
          </cell>
        </row>
        <row r="2527">
          <cell r="F2527" t="str">
            <v>5.1.1.20.16 - Prestação de Serviços de Constr</v>
          </cell>
          <cell r="I2527">
            <v>0</v>
          </cell>
          <cell r="J2527">
            <v>0</v>
          </cell>
          <cell r="K2527">
            <v>0</v>
          </cell>
        </row>
        <row r="2528">
          <cell r="G2528" t="str">
            <v>5.1.1.20.16.01 - Prestação de Serviços de Con</v>
          </cell>
          <cell r="I2528">
            <v>0</v>
          </cell>
          <cell r="J2528">
            <v>0</v>
          </cell>
          <cell r="K2528">
            <v>0</v>
          </cell>
        </row>
        <row r="2529">
          <cell r="H2529" t="str">
            <v>5112016010 Serviços Prestados Construçao Civil p/PJ (Realiz)</v>
          </cell>
          <cell r="I2529">
            <v>0</v>
          </cell>
          <cell r="J2529">
            <v>0</v>
          </cell>
          <cell r="K2529">
            <v>0</v>
          </cell>
        </row>
        <row r="2530">
          <cell r="G2530" t="str">
            <v>5.1.1.20.16.02 - Serviços Prestados de Constr</v>
          </cell>
          <cell r="I2530">
            <v>0</v>
          </cell>
          <cell r="J2530">
            <v>0</v>
          </cell>
          <cell r="K2530">
            <v>0</v>
          </cell>
        </row>
        <row r="2531">
          <cell r="H2531" t="str">
            <v>5112016020 Serv Prest Construçao Civil p/Coop Trab (Realiz)</v>
          </cell>
          <cell r="I2531">
            <v>0</v>
          </cell>
          <cell r="J2531">
            <v>0</v>
          </cell>
          <cell r="K2531">
            <v>0</v>
          </cell>
        </row>
        <row r="2532">
          <cell r="G2532" t="str">
            <v>5.1.1.20.16.04 - Prestação de Serviços de Con</v>
          </cell>
          <cell r="I2532">
            <v>0</v>
          </cell>
          <cell r="J2532">
            <v>0</v>
          </cell>
          <cell r="K2532">
            <v>0</v>
          </cell>
        </row>
        <row r="2533">
          <cell r="H2533" t="str">
            <v>5112016040 Serv Prest Constr Civil p/PF s/Vinc Empr (Realiz)</v>
          </cell>
          <cell r="I2533">
            <v>0</v>
          </cell>
          <cell r="J2533">
            <v>0</v>
          </cell>
          <cell r="K2533">
            <v>0</v>
          </cell>
        </row>
        <row r="2534">
          <cell r="F2534" t="str">
            <v>5.1.1.20.17 - Prestação de Serviços de Engenh</v>
          </cell>
          <cell r="I2534">
            <v>5808</v>
          </cell>
          <cell r="J2534">
            <v>0</v>
          </cell>
          <cell r="K2534">
            <v>5808</v>
          </cell>
        </row>
        <row r="2535">
          <cell r="G2535" t="str">
            <v>5.1.1.20.17.01 - Prestação de Serviços de Eng</v>
          </cell>
          <cell r="I2535">
            <v>5808</v>
          </cell>
          <cell r="J2535">
            <v>0</v>
          </cell>
          <cell r="K2535">
            <v>5808</v>
          </cell>
        </row>
        <row r="2536">
          <cell r="H2536" t="str">
            <v>5112017010 Serviços Prestados Engenharia p/PJ (Realiz)</v>
          </cell>
          <cell r="I2536">
            <v>5808</v>
          </cell>
          <cell r="J2536">
            <v>0</v>
          </cell>
          <cell r="K2536">
            <v>5808</v>
          </cell>
        </row>
        <row r="2537">
          <cell r="G2537" t="str">
            <v>5.1.1.20.17.02 - Serviços Prestados de Engenh</v>
          </cell>
          <cell r="I2537">
            <v>0</v>
          </cell>
          <cell r="J2537">
            <v>0</v>
          </cell>
          <cell r="K2537">
            <v>0</v>
          </cell>
        </row>
        <row r="2538">
          <cell r="H2538" t="str">
            <v>5112017020 Serviços Prestados Engenharia p/Coop Trab (Realiz)</v>
          </cell>
          <cell r="I2538">
            <v>0</v>
          </cell>
          <cell r="J2538">
            <v>0</v>
          </cell>
          <cell r="K2538">
            <v>0</v>
          </cell>
        </row>
        <row r="2539">
          <cell r="G2539" t="str">
            <v>5.1.1.20.17.04 - Prestação de Serviços de Eng</v>
          </cell>
          <cell r="I2539">
            <v>0</v>
          </cell>
          <cell r="J2539">
            <v>0</v>
          </cell>
          <cell r="K2539">
            <v>0</v>
          </cell>
        </row>
        <row r="2540">
          <cell r="H2540" t="str">
            <v>5112017040 Serv Prest Engenharia p/PF s/Vinc Empr (Realiz)</v>
          </cell>
          <cell r="I2540">
            <v>0</v>
          </cell>
          <cell r="J2540">
            <v>0</v>
          </cell>
          <cell r="K2540">
            <v>0</v>
          </cell>
        </row>
        <row r="2541">
          <cell r="F2541" t="str">
            <v>5.1.1.20.18 - Prestação de Serviços de Reparo</v>
          </cell>
          <cell r="I2541">
            <v>619374.18000000005</v>
          </cell>
          <cell r="J2541">
            <v>121961.89</v>
          </cell>
          <cell r="K2541">
            <v>741336.07</v>
          </cell>
        </row>
        <row r="2542">
          <cell r="G2542" t="str">
            <v>5.1.1.20.18.01 - Prestação de Serviços de Rep</v>
          </cell>
          <cell r="I2542">
            <v>619374.18000000005</v>
          </cell>
          <cell r="J2542">
            <v>121961.89</v>
          </cell>
          <cell r="K2542">
            <v>741336.07</v>
          </cell>
        </row>
        <row r="2543">
          <cell r="H2543" t="str">
            <v>5112018010 Serv Prest Reparos Assist Tecnica p/PJ (Realiz)</v>
          </cell>
          <cell r="I2543">
            <v>619374.18000000005</v>
          </cell>
          <cell r="J2543">
            <v>121961.89</v>
          </cell>
          <cell r="K2543">
            <v>741336.07</v>
          </cell>
        </row>
        <row r="2544">
          <cell r="G2544" t="str">
            <v>5.1.1.20.18.02 - Serviços Prestados de Reparo</v>
          </cell>
          <cell r="I2544">
            <v>0</v>
          </cell>
          <cell r="J2544">
            <v>0</v>
          </cell>
          <cell r="K2544">
            <v>0</v>
          </cell>
        </row>
        <row r="2545">
          <cell r="H2545" t="str">
            <v>5112018020 Serv Prest Rep Assist Tecnica p/Coop Trab (Realiz)</v>
          </cell>
          <cell r="I2545">
            <v>0</v>
          </cell>
          <cell r="J2545">
            <v>0</v>
          </cell>
          <cell r="K2545">
            <v>0</v>
          </cell>
        </row>
        <row r="2546">
          <cell r="G2546" t="str">
            <v>5.1.1.20.18.04 - Prestação de Serviços de Rep</v>
          </cell>
          <cell r="I2546">
            <v>0</v>
          </cell>
          <cell r="J2546">
            <v>0</v>
          </cell>
          <cell r="K2546">
            <v>0</v>
          </cell>
        </row>
        <row r="2547">
          <cell r="H2547" t="str">
            <v>5112018040 Serv Prest Rep Assist Tec p/PF s/Vinc Emp (Realiz)</v>
          </cell>
          <cell r="I2547">
            <v>0</v>
          </cell>
          <cell r="J2547">
            <v>0</v>
          </cell>
          <cell r="K2547">
            <v>0</v>
          </cell>
        </row>
        <row r="2548">
          <cell r="F2548" t="str">
            <v>5.1.1.20.19 - Prestação de Serviços de Tratam</v>
          </cell>
          <cell r="I2548">
            <v>102197.25</v>
          </cell>
          <cell r="J2548">
            <v>13213.19</v>
          </cell>
          <cell r="K2548">
            <v>115410.44</v>
          </cell>
        </row>
        <row r="2549">
          <cell r="G2549" t="str">
            <v>5.1.1.20.19.01 - Prestação de Serviços de Tra</v>
          </cell>
          <cell r="I2549">
            <v>102197.25</v>
          </cell>
          <cell r="J2549">
            <v>13213.19</v>
          </cell>
          <cell r="K2549">
            <v>115410.44</v>
          </cell>
        </row>
        <row r="2550">
          <cell r="H2550" t="str">
            <v>5112019010 Serv Prest Tratamento de Residuos p/PJ (Realiz)</v>
          </cell>
          <cell r="I2550">
            <v>102197.25</v>
          </cell>
          <cell r="J2550">
            <v>13213.19</v>
          </cell>
          <cell r="K2550">
            <v>115410.44</v>
          </cell>
        </row>
        <row r="2551">
          <cell r="G2551" t="str">
            <v>5.1.1.20.19.02 - Serviços Prestados de Tratam</v>
          </cell>
          <cell r="I2551">
            <v>0</v>
          </cell>
          <cell r="J2551">
            <v>0</v>
          </cell>
          <cell r="K2551">
            <v>0</v>
          </cell>
        </row>
        <row r="2552">
          <cell r="H2552" t="str">
            <v>5112019020 Serv Prest Tratamen Residuos p/Coop Trab (Realiz)</v>
          </cell>
          <cell r="I2552">
            <v>0</v>
          </cell>
          <cell r="J2552">
            <v>0</v>
          </cell>
          <cell r="K2552">
            <v>0</v>
          </cell>
        </row>
        <row r="2553">
          <cell r="G2553" t="str">
            <v>5.1.1.20.19.04 - Prestação de Serviços de Tra</v>
          </cell>
          <cell r="I2553">
            <v>0</v>
          </cell>
          <cell r="J2553">
            <v>0</v>
          </cell>
          <cell r="K2553">
            <v>0</v>
          </cell>
        </row>
        <row r="2554">
          <cell r="H2554" t="str">
            <v>5112019040 Serv Prest Tratamen Residuos p/PF s/Vin Empr (R)</v>
          </cell>
          <cell r="I2554">
            <v>0</v>
          </cell>
          <cell r="J2554">
            <v>0</v>
          </cell>
          <cell r="K2554">
            <v>0</v>
          </cell>
        </row>
        <row r="2555">
          <cell r="F2555" t="str">
            <v>5.1.1.20.99 - Prestação de Serviços Tecnicos</v>
          </cell>
          <cell r="I2555">
            <v>346323.27</v>
          </cell>
          <cell r="J2555">
            <v>55841.51</v>
          </cell>
          <cell r="K2555">
            <v>402164.78</v>
          </cell>
        </row>
        <row r="2556">
          <cell r="G2556" t="str">
            <v>5.1.1.20.99.01 - Prestação de Serviços de Tec</v>
          </cell>
          <cell r="I2556">
            <v>335760.27</v>
          </cell>
          <cell r="J2556">
            <v>55841.51</v>
          </cell>
          <cell r="K2556">
            <v>391601.78</v>
          </cell>
        </row>
        <row r="2557">
          <cell r="H2557" t="str">
            <v>5112099010 Prest Serv Tecnicos Profissionais p/PJ (Realiz)</v>
          </cell>
          <cell r="I2557">
            <v>335760.27</v>
          </cell>
          <cell r="J2557">
            <v>55841.51</v>
          </cell>
          <cell r="K2557">
            <v>391601.78</v>
          </cell>
        </row>
        <row r="2558">
          <cell r="G2558" t="str">
            <v>5.1.1.20.99.02 - Serviços Prestados de Tecnic</v>
          </cell>
          <cell r="I2558">
            <v>0</v>
          </cell>
          <cell r="J2558">
            <v>0</v>
          </cell>
          <cell r="K2558">
            <v>0</v>
          </cell>
        </row>
        <row r="2559">
          <cell r="H2559" t="str">
            <v>5112099020 Prest Serv Tec Profissionais p/Coop Trab (Realiz)</v>
          </cell>
          <cell r="I2559">
            <v>0</v>
          </cell>
          <cell r="J2559">
            <v>0</v>
          </cell>
          <cell r="K2559">
            <v>0</v>
          </cell>
        </row>
        <row r="2560">
          <cell r="G2560" t="str">
            <v>5.1.1.20.99.04 - Prestação de Serviços de Tec</v>
          </cell>
          <cell r="I2560">
            <v>10563</v>
          </cell>
          <cell r="J2560">
            <v>0</v>
          </cell>
          <cell r="K2560">
            <v>10563</v>
          </cell>
        </row>
        <row r="2561">
          <cell r="H2561" t="str">
            <v>5112099040 Serv Prest Tec Profissionais p/PF s/Vin Empr (R)</v>
          </cell>
          <cell r="I2561">
            <v>10563</v>
          </cell>
          <cell r="J2561">
            <v>0</v>
          </cell>
          <cell r="K2561">
            <v>10563</v>
          </cell>
        </row>
        <row r="2562">
          <cell r="D2562" t="str">
            <v>5.1.1.21 - Serviços Prestados por Terceiros -</v>
          </cell>
          <cell r="I2562">
            <v>2542376.5</v>
          </cell>
          <cell r="J2562">
            <v>951280.55</v>
          </cell>
          <cell r="K2562">
            <v>3493657.05</v>
          </cell>
        </row>
        <row r="2563">
          <cell r="F2563" t="str">
            <v>5.1.1.21.50 - Prestação de Serviços de Manute</v>
          </cell>
          <cell r="I2563">
            <v>1260878.77</v>
          </cell>
          <cell r="J2563">
            <v>234883.58</v>
          </cell>
          <cell r="K2563">
            <v>1495762.35</v>
          </cell>
        </row>
        <row r="2564">
          <cell r="G2564" t="str">
            <v>5.1.1.21.50.01 - Prestação de Serviços de Man</v>
          </cell>
          <cell r="I2564">
            <v>1260878.77</v>
          </cell>
          <cell r="J2564">
            <v>234883.58</v>
          </cell>
          <cell r="K2564">
            <v>1495762.35</v>
          </cell>
        </row>
        <row r="2565">
          <cell r="H2565" t="str">
            <v>5112150010 Serv Prest Manutençao Civil p/PJ (Realizado)</v>
          </cell>
          <cell r="I2565">
            <v>1264629.5</v>
          </cell>
          <cell r="J2565">
            <v>234883.58</v>
          </cell>
          <cell r="K2565">
            <v>1499513.08</v>
          </cell>
        </row>
        <row r="2566">
          <cell r="H2566" t="str">
            <v>5112150015 Serv Prest Manutençao Civil p/PJ (Recuperado)</v>
          </cell>
          <cell r="I2566">
            <v>-3750.73</v>
          </cell>
          <cell r="J2566">
            <v>0</v>
          </cell>
          <cell r="K2566">
            <v>-3750.73</v>
          </cell>
        </row>
        <row r="2567">
          <cell r="G2567" t="str">
            <v>5.1.1.21.50.02 - Serviços Prestados de Manute</v>
          </cell>
          <cell r="I2567">
            <v>0</v>
          </cell>
          <cell r="J2567">
            <v>0</v>
          </cell>
          <cell r="K2567">
            <v>0</v>
          </cell>
        </row>
        <row r="2568">
          <cell r="H2568" t="str">
            <v>5112150020 Serv Prest Manutençao Civil p/Coop Trab (Realiz)</v>
          </cell>
          <cell r="I2568">
            <v>0</v>
          </cell>
          <cell r="J2568">
            <v>0</v>
          </cell>
          <cell r="K2568">
            <v>0</v>
          </cell>
        </row>
        <row r="2569">
          <cell r="G2569" t="str">
            <v>5.1.1.21.50.04 - Prestação de Serviços de Man</v>
          </cell>
          <cell r="I2569">
            <v>0</v>
          </cell>
          <cell r="J2569">
            <v>0</v>
          </cell>
          <cell r="K2569">
            <v>0</v>
          </cell>
        </row>
        <row r="2570">
          <cell r="H2570" t="str">
            <v>5112150040 Serv Prest Manut Civil p/PF s/Vin Empr (Realiz)</v>
          </cell>
          <cell r="I2570">
            <v>0</v>
          </cell>
          <cell r="J2570">
            <v>0</v>
          </cell>
          <cell r="K2570">
            <v>0</v>
          </cell>
        </row>
        <row r="2571">
          <cell r="F2571" t="str">
            <v>5.1.1.21.51 - Prestação de Serviços de Eletri</v>
          </cell>
          <cell r="I2571">
            <v>-394901.12</v>
          </cell>
          <cell r="J2571">
            <v>98389.95</v>
          </cell>
          <cell r="K2571">
            <v>-296511.17</v>
          </cell>
        </row>
        <row r="2572">
          <cell r="G2572" t="str">
            <v>5.1.1.21.51.01 - Prestação de Serviços de Ele</v>
          </cell>
          <cell r="I2572">
            <v>-394901.12</v>
          </cell>
          <cell r="J2572">
            <v>98389.95</v>
          </cell>
          <cell r="K2572">
            <v>-296511.17</v>
          </cell>
        </row>
        <row r="2573">
          <cell r="H2573" t="str">
            <v>5112151010 Serv Prest Manutençao Eletricos p/PJ (Realiz)</v>
          </cell>
          <cell r="I2573">
            <v>284073.8</v>
          </cell>
          <cell r="J2573">
            <v>98389.95</v>
          </cell>
          <cell r="K2573">
            <v>382463.75</v>
          </cell>
        </row>
        <row r="2574">
          <cell r="H2574" t="str">
            <v>5112151015 Serv Prest Manutençao Eletricos p/PJ (Recuperado)</v>
          </cell>
          <cell r="I2574">
            <v>-678974.92</v>
          </cell>
          <cell r="J2574">
            <v>0</v>
          </cell>
          <cell r="K2574">
            <v>-678974.92</v>
          </cell>
        </row>
        <row r="2575">
          <cell r="G2575" t="str">
            <v>5.1.1.21.51.02 - Serviços Prestados de Eletri</v>
          </cell>
          <cell r="I2575">
            <v>0</v>
          </cell>
          <cell r="J2575">
            <v>0</v>
          </cell>
          <cell r="K2575">
            <v>0</v>
          </cell>
        </row>
        <row r="2576">
          <cell r="H2576" t="str">
            <v>5112151020 Serv Manutençao Eletricos p/Coop Trabalho (Realiz)</v>
          </cell>
          <cell r="I2576">
            <v>0</v>
          </cell>
          <cell r="J2576">
            <v>0</v>
          </cell>
          <cell r="K2576">
            <v>0</v>
          </cell>
        </row>
        <row r="2577">
          <cell r="G2577" t="str">
            <v>5.1.1.21.51.04 - Prestação de Serviços de Ele</v>
          </cell>
          <cell r="I2577">
            <v>0</v>
          </cell>
          <cell r="J2577">
            <v>0</v>
          </cell>
          <cell r="K2577">
            <v>0</v>
          </cell>
        </row>
        <row r="2578">
          <cell r="H2578" t="str">
            <v>5112151040 Serv Prest Manut Eletricos p/PF s/Vin Emp (Realiz)</v>
          </cell>
          <cell r="I2578">
            <v>0</v>
          </cell>
          <cell r="J2578">
            <v>0</v>
          </cell>
          <cell r="K2578">
            <v>0</v>
          </cell>
        </row>
        <row r="2579">
          <cell r="F2579" t="str">
            <v>5.1.1.21.52 - Prestação de Serviços de Mecani</v>
          </cell>
          <cell r="I2579">
            <v>283109.05</v>
          </cell>
          <cell r="J2579">
            <v>91858.3</v>
          </cell>
          <cell r="K2579">
            <v>374967.35</v>
          </cell>
        </row>
        <row r="2580">
          <cell r="G2580" t="str">
            <v>5.1.1.21.52.01 - Prestação de Serviços de Mec</v>
          </cell>
          <cell r="I2580">
            <v>283109.05</v>
          </cell>
          <cell r="J2580">
            <v>91858.3</v>
          </cell>
          <cell r="K2580">
            <v>374967.35</v>
          </cell>
        </row>
        <row r="2581">
          <cell r="H2581" t="str">
            <v>5112152010 Serv Prest Manutençao Mecânicos p/PJ (Realizado)</v>
          </cell>
          <cell r="I2581">
            <v>283109.05</v>
          </cell>
          <cell r="J2581">
            <v>91858.3</v>
          </cell>
          <cell r="K2581">
            <v>374967.35</v>
          </cell>
        </row>
        <row r="2582">
          <cell r="G2582" t="str">
            <v>5.1.1.21.52.02 - Serviços Prestados de Mecani</v>
          </cell>
          <cell r="I2582">
            <v>0</v>
          </cell>
          <cell r="J2582">
            <v>0</v>
          </cell>
          <cell r="K2582">
            <v>0</v>
          </cell>
        </row>
        <row r="2583">
          <cell r="H2583" t="str">
            <v>5112152020 Serv Prest Manut Mecânicos p/Coop Trab (Realiz)</v>
          </cell>
          <cell r="I2583">
            <v>0</v>
          </cell>
          <cell r="J2583">
            <v>0</v>
          </cell>
          <cell r="K2583">
            <v>0</v>
          </cell>
        </row>
        <row r="2584">
          <cell r="G2584" t="str">
            <v>5.1.1.21.52.04 - Prestação de Serviços de Mec</v>
          </cell>
          <cell r="I2584">
            <v>0</v>
          </cell>
          <cell r="J2584">
            <v>0</v>
          </cell>
          <cell r="K2584">
            <v>0</v>
          </cell>
        </row>
        <row r="2585">
          <cell r="H2585" t="str">
            <v>5112152040 Serv Prest Manut Mecânicos p/PF s/Vin Emp (Realiz)</v>
          </cell>
          <cell r="I2585">
            <v>0</v>
          </cell>
          <cell r="J2585">
            <v>0</v>
          </cell>
          <cell r="K2585">
            <v>0</v>
          </cell>
        </row>
        <row r="2586">
          <cell r="F2586" t="str">
            <v>5.1.1.21.53 - Prestação de Serviços de Inspeç</v>
          </cell>
          <cell r="I2586">
            <v>360956.91</v>
          </cell>
          <cell r="J2586">
            <v>60548.4</v>
          </cell>
          <cell r="K2586">
            <v>421505.31</v>
          </cell>
        </row>
        <row r="2587">
          <cell r="G2587" t="str">
            <v>5.1.1.21.53.01 - Prestação de Serviços de  In</v>
          </cell>
          <cell r="I2587">
            <v>360956.91</v>
          </cell>
          <cell r="J2587">
            <v>60548.4</v>
          </cell>
          <cell r="K2587">
            <v>421505.31</v>
          </cell>
        </row>
        <row r="2588">
          <cell r="H2588" t="str">
            <v>5112153010 Serv Prest Manutençao Inspeçao PJ (Realizado)</v>
          </cell>
          <cell r="I2588">
            <v>360956.91</v>
          </cell>
          <cell r="J2588">
            <v>60548.4</v>
          </cell>
          <cell r="K2588">
            <v>421505.31</v>
          </cell>
        </row>
        <row r="2589">
          <cell r="G2589" t="str">
            <v>5.1.1.21.53.02 - Serviços Prestados de  Inspe</v>
          </cell>
          <cell r="I2589">
            <v>0</v>
          </cell>
          <cell r="J2589">
            <v>0</v>
          </cell>
          <cell r="K2589">
            <v>0</v>
          </cell>
        </row>
        <row r="2590">
          <cell r="H2590" t="str">
            <v>5112153020 Serv Prest Manutençao Insp p/Coop Trab (Realizado)</v>
          </cell>
          <cell r="I2590">
            <v>0</v>
          </cell>
          <cell r="J2590">
            <v>0</v>
          </cell>
          <cell r="K2590">
            <v>0</v>
          </cell>
        </row>
        <row r="2591">
          <cell r="G2591" t="str">
            <v>5.1.1.21.53.04 - Prestação de Serviços de  In</v>
          </cell>
          <cell r="I2591">
            <v>0</v>
          </cell>
          <cell r="J2591">
            <v>0</v>
          </cell>
          <cell r="K2591">
            <v>0</v>
          </cell>
        </row>
        <row r="2592">
          <cell r="H2592" t="str">
            <v>5112153040 Serv Prest Manuteçao Inspeçao-PF s/Vinc Empreg(R)</v>
          </cell>
          <cell r="I2592">
            <v>0</v>
          </cell>
          <cell r="J2592">
            <v>0</v>
          </cell>
          <cell r="K2592">
            <v>0</v>
          </cell>
        </row>
        <row r="2593">
          <cell r="F2593" t="str">
            <v>5.1.1.21.54 - Prestação de Serviços de Calder</v>
          </cell>
          <cell r="I2593">
            <v>627220.05000000005</v>
          </cell>
          <cell r="J2593">
            <v>119372.75</v>
          </cell>
          <cell r="K2593">
            <v>746592.8</v>
          </cell>
        </row>
        <row r="2594">
          <cell r="G2594" t="str">
            <v>5.1.1.21.54.01 - Prestação de Serviços de Cal</v>
          </cell>
          <cell r="I2594">
            <v>627220.05000000005</v>
          </cell>
          <cell r="J2594">
            <v>119372.75</v>
          </cell>
          <cell r="K2594">
            <v>746592.8</v>
          </cell>
        </row>
        <row r="2595">
          <cell r="H2595" t="str">
            <v>5112154010 Serv Prest Manutençao Cald/Tubul PJ (Realzado)</v>
          </cell>
          <cell r="I2595">
            <v>627220.05000000005</v>
          </cell>
          <cell r="J2595">
            <v>119372.75</v>
          </cell>
          <cell r="K2595">
            <v>746592.8</v>
          </cell>
        </row>
        <row r="2596">
          <cell r="G2596" t="str">
            <v>5.1.1.21.54.02 - Serviços Prestados de Calder</v>
          </cell>
          <cell r="I2596">
            <v>0</v>
          </cell>
          <cell r="J2596">
            <v>0</v>
          </cell>
          <cell r="K2596">
            <v>0</v>
          </cell>
        </row>
        <row r="2597">
          <cell r="H2597" t="str">
            <v>5112154020 Serv Prest Manut Cald/Tubul p/Coop Trab(Realizado)</v>
          </cell>
          <cell r="I2597">
            <v>0</v>
          </cell>
          <cell r="J2597">
            <v>0</v>
          </cell>
          <cell r="K2597">
            <v>0</v>
          </cell>
        </row>
        <row r="2598">
          <cell r="G2598" t="str">
            <v>5.1.1.21.54.04 - Prestação de Serviços de Cal</v>
          </cell>
          <cell r="I2598">
            <v>0</v>
          </cell>
          <cell r="J2598">
            <v>0</v>
          </cell>
          <cell r="K2598">
            <v>0</v>
          </cell>
        </row>
        <row r="2599">
          <cell r="H2599" t="str">
            <v>5112154040 Serv Prest Manut Cald/Tubul PF s/Vinc Empr (Realiz</v>
          </cell>
          <cell r="I2599">
            <v>0</v>
          </cell>
          <cell r="J2599">
            <v>0</v>
          </cell>
          <cell r="K2599">
            <v>0</v>
          </cell>
        </row>
        <row r="2600">
          <cell r="F2600" t="str">
            <v>5.1.1.21.55 - Prestação de Serviços de Instru</v>
          </cell>
          <cell r="I2600">
            <v>279252.95</v>
          </cell>
          <cell r="J2600">
            <v>75161.25</v>
          </cell>
          <cell r="K2600">
            <v>354414.2</v>
          </cell>
        </row>
        <row r="2601">
          <cell r="G2601" t="str">
            <v>5.1.1.21.55.01 - Prestação de Serviços de  In</v>
          </cell>
          <cell r="I2601">
            <v>279252.95</v>
          </cell>
          <cell r="J2601">
            <v>75161.25</v>
          </cell>
          <cell r="K2601">
            <v>354414.2</v>
          </cell>
        </row>
        <row r="2602">
          <cell r="H2602" t="str">
            <v>5112155010 Serv Prest Manut Instrumentaçao PJ (Realizado)</v>
          </cell>
          <cell r="I2602">
            <v>279252.95</v>
          </cell>
          <cell r="J2602">
            <v>75161.25</v>
          </cell>
          <cell r="K2602">
            <v>354414.2</v>
          </cell>
        </row>
        <row r="2603">
          <cell r="G2603" t="str">
            <v>5.1.1.21.55.02 - Serviços Prestados de  Instr</v>
          </cell>
          <cell r="I2603">
            <v>0</v>
          </cell>
          <cell r="J2603">
            <v>0</v>
          </cell>
          <cell r="K2603">
            <v>0</v>
          </cell>
        </row>
        <row r="2604">
          <cell r="H2604" t="str">
            <v>5112155020 Serv Prest Manut Instrument p/Coop Trab(Realizado)</v>
          </cell>
          <cell r="I2604">
            <v>0</v>
          </cell>
          <cell r="J2604">
            <v>0</v>
          </cell>
          <cell r="K2604">
            <v>0</v>
          </cell>
        </row>
        <row r="2605">
          <cell r="G2605" t="str">
            <v>5.1.1.21.55.04 - Prestação de Serviços de  In</v>
          </cell>
          <cell r="I2605">
            <v>0</v>
          </cell>
          <cell r="J2605">
            <v>0</v>
          </cell>
          <cell r="K2605">
            <v>0</v>
          </cell>
        </row>
        <row r="2606">
          <cell r="H2606" t="str">
            <v>5112155040 Serv Prest Manut Instrument PF s/Vinc Empr(Realiz)</v>
          </cell>
          <cell r="I2606">
            <v>0</v>
          </cell>
          <cell r="J2606">
            <v>0</v>
          </cell>
          <cell r="K2606">
            <v>0</v>
          </cell>
        </row>
        <row r="2607">
          <cell r="F2607" t="str">
            <v>5.1.1.21.70 - Prestação de Serviços de Manute</v>
          </cell>
          <cell r="I2607">
            <v>389243.59</v>
          </cell>
          <cell r="J2607">
            <v>5308.88</v>
          </cell>
          <cell r="K2607">
            <v>394552.47</v>
          </cell>
        </row>
        <row r="2608">
          <cell r="G2608" t="str">
            <v>5.1.1.21.70.01 - Prestação de Serviços de Man</v>
          </cell>
          <cell r="I2608">
            <v>389243.59</v>
          </cell>
          <cell r="J2608">
            <v>5308.88</v>
          </cell>
          <cell r="K2608">
            <v>394552.47</v>
          </cell>
        </row>
        <row r="2609">
          <cell r="H2609" t="str">
            <v>5112170010 Serv Prest Manutenaçao Cel HG-PJ (Realizado)</v>
          </cell>
          <cell r="I2609">
            <v>389243.59</v>
          </cell>
          <cell r="J2609">
            <v>5308.88</v>
          </cell>
          <cell r="K2609">
            <v>394552.47</v>
          </cell>
        </row>
        <row r="2610">
          <cell r="G2610" t="str">
            <v>5.1.1.21.70.02 - Prestação de Serviços de Man</v>
          </cell>
          <cell r="I2610">
            <v>0</v>
          </cell>
          <cell r="J2610">
            <v>0</v>
          </cell>
          <cell r="K2610">
            <v>0</v>
          </cell>
        </row>
        <row r="2611">
          <cell r="H2611" t="str">
            <v>5112170020 Serv Prest Manut Cel HG p/Coop Trab (Realizado)</v>
          </cell>
          <cell r="I2611">
            <v>0</v>
          </cell>
          <cell r="J2611">
            <v>0</v>
          </cell>
          <cell r="K2611">
            <v>0</v>
          </cell>
        </row>
        <row r="2612">
          <cell r="G2612" t="str">
            <v>5.1.1.21.70.04 - Prestação de Serviços de Man</v>
          </cell>
          <cell r="I2612">
            <v>0</v>
          </cell>
          <cell r="J2612">
            <v>0</v>
          </cell>
          <cell r="K2612">
            <v>0</v>
          </cell>
        </row>
        <row r="2613">
          <cell r="H2613" t="str">
            <v>5112170040 Serv Prest Manut Cel HG-PF s/Vinc Empreg (Realiz)</v>
          </cell>
          <cell r="I2613">
            <v>0</v>
          </cell>
          <cell r="J2613">
            <v>0</v>
          </cell>
          <cell r="K2613">
            <v>0</v>
          </cell>
        </row>
        <row r="2614">
          <cell r="F2614" t="str">
            <v>5.1.1.21.75 - Prestação de Serviços de Manute</v>
          </cell>
          <cell r="I2614">
            <v>100840.07</v>
          </cell>
          <cell r="J2614">
            <v>0</v>
          </cell>
          <cell r="K2614">
            <v>100840.07</v>
          </cell>
        </row>
        <row r="2615">
          <cell r="G2615" t="str">
            <v>5.1.1.21.75.01 - Prestação de Serviços de Man</v>
          </cell>
          <cell r="I2615">
            <v>100840.07</v>
          </cell>
          <cell r="J2615">
            <v>0</v>
          </cell>
          <cell r="K2615">
            <v>100840.07</v>
          </cell>
        </row>
        <row r="2616">
          <cell r="H2616" t="str">
            <v>5112175010 Serv Prest Manutençao Cel Diafrag p/PJ (Realiz)</v>
          </cell>
          <cell r="I2616">
            <v>100840.07</v>
          </cell>
          <cell r="J2616">
            <v>0</v>
          </cell>
          <cell r="K2616">
            <v>100840.07</v>
          </cell>
        </row>
        <row r="2617">
          <cell r="G2617" t="str">
            <v>5.1.1.21.75.02 - Prestação de Serviços de Man</v>
          </cell>
          <cell r="I2617">
            <v>0</v>
          </cell>
          <cell r="J2617">
            <v>0</v>
          </cell>
          <cell r="K2617">
            <v>0</v>
          </cell>
        </row>
        <row r="2618">
          <cell r="H2618" t="str">
            <v>5112175020 Serv Prest Manut Cel Diafrag p/Coop Trab (Realiz)</v>
          </cell>
          <cell r="I2618">
            <v>0</v>
          </cell>
          <cell r="J2618">
            <v>0</v>
          </cell>
          <cell r="K2618">
            <v>0</v>
          </cell>
        </row>
        <row r="2619">
          <cell r="G2619" t="str">
            <v>5.1.1.21.75.04 - Prestação de Serviços de Man</v>
          </cell>
          <cell r="I2619">
            <v>0</v>
          </cell>
          <cell r="J2619">
            <v>0</v>
          </cell>
          <cell r="K2619">
            <v>0</v>
          </cell>
        </row>
        <row r="2620">
          <cell r="H2620" t="str">
            <v>5112175040 Serv Prest Manut Cel Diafrag PF s/Vinc Empreg (R)</v>
          </cell>
          <cell r="I2620">
            <v>0</v>
          </cell>
          <cell r="J2620">
            <v>0</v>
          </cell>
          <cell r="K2620">
            <v>0</v>
          </cell>
        </row>
        <row r="2621">
          <cell r="F2621" t="str">
            <v>5.1.1.21.80 - Prestação de Serviços de Manute</v>
          </cell>
          <cell r="I2621">
            <v>366.66</v>
          </cell>
          <cell r="J2621">
            <v>0</v>
          </cell>
          <cell r="K2621">
            <v>366.66</v>
          </cell>
        </row>
        <row r="2622">
          <cell r="G2622" t="str">
            <v>5.1.1.21.80.01 - Prestação de Serviços de Man</v>
          </cell>
          <cell r="I2622">
            <v>366.66</v>
          </cell>
          <cell r="J2622">
            <v>0</v>
          </cell>
          <cell r="K2622">
            <v>366.66</v>
          </cell>
        </row>
        <row r="2623">
          <cell r="H2623" t="str">
            <v>5112180010 Serv Prest Manutençao Cel Memb PJ (Realizado)</v>
          </cell>
          <cell r="I2623">
            <v>366.66</v>
          </cell>
          <cell r="J2623">
            <v>0</v>
          </cell>
          <cell r="K2623">
            <v>366.66</v>
          </cell>
        </row>
        <row r="2624">
          <cell r="G2624" t="str">
            <v>5.1.1.21.80.02 - Prestação de Serviços de Man</v>
          </cell>
          <cell r="I2624">
            <v>0</v>
          </cell>
          <cell r="J2624">
            <v>0</v>
          </cell>
          <cell r="K2624">
            <v>0</v>
          </cell>
        </row>
        <row r="2625">
          <cell r="H2625" t="str">
            <v>5112180020 Serv Prest Manut Cel Memb p/Coop Trab (Realiz)</v>
          </cell>
          <cell r="I2625">
            <v>0</v>
          </cell>
          <cell r="J2625">
            <v>0</v>
          </cell>
          <cell r="K2625">
            <v>0</v>
          </cell>
        </row>
        <row r="2626">
          <cell r="G2626" t="str">
            <v>5.1.1.21.80.04 - Prestação de Serviços de Man</v>
          </cell>
          <cell r="I2626">
            <v>0</v>
          </cell>
          <cell r="J2626">
            <v>0</v>
          </cell>
          <cell r="K2626">
            <v>0</v>
          </cell>
        </row>
        <row r="2627">
          <cell r="H2627" t="str">
            <v>5112180040 Serv Prest Manut Cel Memb PF s/Vinc Empreg (R)</v>
          </cell>
          <cell r="I2627">
            <v>0</v>
          </cell>
          <cell r="J2627">
            <v>0</v>
          </cell>
          <cell r="K2627">
            <v>0</v>
          </cell>
        </row>
        <row r="2628">
          <cell r="F2628" t="str">
            <v>5.1.1.21.99 - Prestação de Serviços de Manute</v>
          </cell>
          <cell r="I2628">
            <v>-364590.43</v>
          </cell>
          <cell r="J2628">
            <v>265757.44</v>
          </cell>
          <cell r="K2628">
            <v>-98832.99</v>
          </cell>
        </row>
        <row r="2629">
          <cell r="G2629" t="str">
            <v>5.1.1.21.99.01 - Prestação de Serviços de Man</v>
          </cell>
          <cell r="I2629">
            <v>-989529.08</v>
          </cell>
          <cell r="J2629">
            <v>20039.830000000002</v>
          </cell>
          <cell r="K2629">
            <v>-969489.25</v>
          </cell>
        </row>
        <row r="2630">
          <cell r="H2630" t="str">
            <v>5112199010 Serv Prest Manutençao Apoio-PJ (Realizado)</v>
          </cell>
          <cell r="I2630">
            <v>150106.54999999999</v>
          </cell>
          <cell r="J2630">
            <v>20039.830000000002</v>
          </cell>
          <cell r="K2630">
            <v>170146.38</v>
          </cell>
        </row>
        <row r="2631">
          <cell r="H2631" t="str">
            <v>5112199015 Serv Prest Manutençao Apoio-PJ (Recuperado)</v>
          </cell>
          <cell r="I2631">
            <v>-1139635.6299999999</v>
          </cell>
          <cell r="J2631">
            <v>0</v>
          </cell>
          <cell r="K2631">
            <v>-1139635.6299999999</v>
          </cell>
        </row>
        <row r="2632">
          <cell r="G2632" t="str">
            <v>5.1.1.21.99.02 - Serviços Prestados de Manute</v>
          </cell>
          <cell r="I2632">
            <v>0</v>
          </cell>
          <cell r="J2632">
            <v>0</v>
          </cell>
          <cell r="K2632">
            <v>0</v>
          </cell>
        </row>
        <row r="2633">
          <cell r="H2633" t="str">
            <v>5112199020 Serv Prest Manutencão Apoio p/Coop Trab (Realiz)</v>
          </cell>
          <cell r="I2633">
            <v>0</v>
          </cell>
          <cell r="J2633">
            <v>0</v>
          </cell>
          <cell r="K2633">
            <v>0</v>
          </cell>
        </row>
        <row r="2634">
          <cell r="G2634" t="str">
            <v>5.1.1.21.99.04 - Prestação de Serviços de Man</v>
          </cell>
          <cell r="I2634">
            <v>0</v>
          </cell>
          <cell r="J2634">
            <v>0</v>
          </cell>
          <cell r="K2634">
            <v>0</v>
          </cell>
        </row>
        <row r="2635">
          <cell r="H2635" t="str">
            <v>5112199040 Serv Prest Manut Apoio p/PF s/Vinc Empreg (R)</v>
          </cell>
          <cell r="I2635">
            <v>0</v>
          </cell>
          <cell r="J2635">
            <v>0</v>
          </cell>
          <cell r="K2635">
            <v>0</v>
          </cell>
        </row>
        <row r="2636">
          <cell r="G2636" t="str">
            <v>5.1.1.21.99.21 - Prestação de Serviços de Man</v>
          </cell>
          <cell r="I2636">
            <v>0</v>
          </cell>
          <cell r="J2636">
            <v>0</v>
          </cell>
          <cell r="K2636">
            <v>0</v>
          </cell>
        </row>
        <row r="2637">
          <cell r="H2637" t="str">
            <v>5112199210 Serv Prest Manutençao Consultoria-PJ (Realizado)</v>
          </cell>
          <cell r="I2637">
            <v>0</v>
          </cell>
          <cell r="J2637">
            <v>0</v>
          </cell>
          <cell r="K2637">
            <v>0</v>
          </cell>
        </row>
        <row r="2638">
          <cell r="G2638" t="str">
            <v>5.1.1.21.99.22 - Serviços Prestados de Manute</v>
          </cell>
          <cell r="I2638">
            <v>0</v>
          </cell>
          <cell r="J2638">
            <v>0</v>
          </cell>
          <cell r="K2638">
            <v>0</v>
          </cell>
        </row>
        <row r="2639">
          <cell r="H2639" t="str">
            <v>5112199220 Serv Prest Manut.Consultoria Coop Trab (Realizado)</v>
          </cell>
          <cell r="I2639">
            <v>0</v>
          </cell>
          <cell r="J2639">
            <v>0</v>
          </cell>
          <cell r="K2639">
            <v>0</v>
          </cell>
        </row>
        <row r="2640">
          <cell r="G2640" t="str">
            <v>5.1.1.21.99.24 - Prestação de Serviços de Man</v>
          </cell>
          <cell r="I2640">
            <v>0</v>
          </cell>
          <cell r="J2640">
            <v>0</v>
          </cell>
          <cell r="K2640">
            <v>0</v>
          </cell>
        </row>
        <row r="2641">
          <cell r="H2641" t="str">
            <v>5112199240 Serv Prest Manut Consultoria p/PF s/Vinc Empreg(R)</v>
          </cell>
          <cell r="I2641">
            <v>0</v>
          </cell>
          <cell r="J2641">
            <v>0</v>
          </cell>
          <cell r="K2641">
            <v>0</v>
          </cell>
        </row>
        <row r="2642">
          <cell r="G2642" t="str">
            <v>5.1.1.21.99.31 - Prestação de Serviços de Man</v>
          </cell>
          <cell r="I2642">
            <v>0</v>
          </cell>
          <cell r="J2642">
            <v>0</v>
          </cell>
          <cell r="K2642">
            <v>0</v>
          </cell>
        </row>
        <row r="2643">
          <cell r="H2643" t="str">
            <v>5112199310 Serv Prest Manutençao Fretes Carret-PJ (Realizado)</v>
          </cell>
          <cell r="I2643">
            <v>0</v>
          </cell>
          <cell r="J2643">
            <v>0</v>
          </cell>
          <cell r="K2643">
            <v>0</v>
          </cell>
        </row>
        <row r="2644">
          <cell r="G2644" t="str">
            <v>5.1.1.21.99.32 - Serviços Prestados de Manute</v>
          </cell>
          <cell r="I2644">
            <v>0</v>
          </cell>
          <cell r="J2644">
            <v>0</v>
          </cell>
          <cell r="K2644">
            <v>0</v>
          </cell>
        </row>
        <row r="2645">
          <cell r="H2645" t="str">
            <v>5112199320 Serv Prest Manutencão Fretes  p/Coop Trab (Realiz)</v>
          </cell>
          <cell r="I2645">
            <v>0</v>
          </cell>
          <cell r="J2645">
            <v>0</v>
          </cell>
          <cell r="K2645">
            <v>0</v>
          </cell>
        </row>
        <row r="2646">
          <cell r="G2646" t="str">
            <v>5.1.1.21.99.34 - Prestação de Serviços de Man</v>
          </cell>
          <cell r="I2646">
            <v>0</v>
          </cell>
          <cell r="J2646">
            <v>0</v>
          </cell>
          <cell r="K2646">
            <v>0</v>
          </cell>
        </row>
        <row r="2647">
          <cell r="H2647" t="str">
            <v>5112199340 Serv Prest Manut Fretes Car p/PF s/Vinc Empreg (R)</v>
          </cell>
          <cell r="I2647">
            <v>0</v>
          </cell>
          <cell r="J2647">
            <v>0</v>
          </cell>
          <cell r="K2647">
            <v>0</v>
          </cell>
        </row>
        <row r="2648">
          <cell r="G2648" t="str">
            <v>5.1.1.21.99.41 - Prestação de Serviços de Man</v>
          </cell>
          <cell r="I2648">
            <v>382541.12</v>
          </cell>
          <cell r="J2648">
            <v>152845.79</v>
          </cell>
          <cell r="K2648">
            <v>535386.91</v>
          </cell>
        </row>
        <row r="2649">
          <cell r="H2649" t="str">
            <v>5112199410 Serv Prest Manutençao Pintura-PJ (Realizado)</v>
          </cell>
          <cell r="I2649">
            <v>382541.12</v>
          </cell>
          <cell r="J2649">
            <v>152845.79</v>
          </cell>
          <cell r="K2649">
            <v>535386.91</v>
          </cell>
        </row>
        <row r="2650">
          <cell r="G2650" t="str">
            <v>5.1.1.21.99.42 - Serviços Prestados de Manute</v>
          </cell>
          <cell r="I2650">
            <v>0</v>
          </cell>
          <cell r="J2650">
            <v>0</v>
          </cell>
          <cell r="K2650">
            <v>0</v>
          </cell>
        </row>
        <row r="2651">
          <cell r="H2651" t="str">
            <v>5112199420 Serv Prest Manutencão Pintura p/Coop Trab (Realiz)</v>
          </cell>
          <cell r="I2651">
            <v>0</v>
          </cell>
          <cell r="J2651">
            <v>0</v>
          </cell>
          <cell r="K2651">
            <v>0</v>
          </cell>
        </row>
        <row r="2652">
          <cell r="G2652" t="str">
            <v>5.1.1.21.99.44 - Prestação de Serviços de Man</v>
          </cell>
          <cell r="I2652">
            <v>0</v>
          </cell>
          <cell r="J2652">
            <v>0</v>
          </cell>
          <cell r="K2652">
            <v>0</v>
          </cell>
        </row>
        <row r="2653">
          <cell r="H2653" t="str">
            <v>5112199440 Serv Prest Manut Pintura p/PF s/Vinc Empreg (R)</v>
          </cell>
          <cell r="I2653">
            <v>0</v>
          </cell>
          <cell r="J2653">
            <v>0</v>
          </cell>
          <cell r="K2653">
            <v>0</v>
          </cell>
        </row>
        <row r="2654">
          <cell r="G2654" t="str">
            <v>5.1.1.21.99.51 - Prestação de Serviços de Man</v>
          </cell>
          <cell r="I2654">
            <v>81826.97</v>
          </cell>
          <cell r="J2654">
            <v>53428.72</v>
          </cell>
          <cell r="K2654">
            <v>135255.69</v>
          </cell>
        </row>
        <row r="2655">
          <cell r="H2655" t="str">
            <v>5112199510 Serv Prest Manutençao Revestimentos-PJ (Realizado)</v>
          </cell>
          <cell r="I2655">
            <v>81826.97</v>
          </cell>
          <cell r="J2655">
            <v>53428.72</v>
          </cell>
          <cell r="K2655">
            <v>135255.69</v>
          </cell>
        </row>
        <row r="2656">
          <cell r="G2656" t="str">
            <v>5.1.1.21.99.52 - Serviços Prestados de Manute</v>
          </cell>
          <cell r="I2656">
            <v>0</v>
          </cell>
          <cell r="J2656">
            <v>0</v>
          </cell>
          <cell r="K2656">
            <v>0</v>
          </cell>
        </row>
        <row r="2657">
          <cell r="H2657" t="str">
            <v>5112199520 Serv Prest Manut Revestimento p/Coop Trab (Realiz)</v>
          </cell>
          <cell r="I2657">
            <v>0</v>
          </cell>
          <cell r="J2657">
            <v>0</v>
          </cell>
          <cell r="K2657">
            <v>0</v>
          </cell>
        </row>
        <row r="2658">
          <cell r="G2658" t="str">
            <v>5.1.1.21.99.54 - Prestação de Serviços de Man</v>
          </cell>
          <cell r="I2658">
            <v>0</v>
          </cell>
          <cell r="J2658">
            <v>0</v>
          </cell>
          <cell r="K2658">
            <v>0</v>
          </cell>
        </row>
        <row r="2659">
          <cell r="H2659" t="str">
            <v>5112199540 Serv Prest Manut Revest p/PF s/Vinc Empreg (R)</v>
          </cell>
          <cell r="I2659">
            <v>0</v>
          </cell>
          <cell r="J2659">
            <v>0</v>
          </cell>
          <cell r="K2659">
            <v>0</v>
          </cell>
        </row>
        <row r="2660">
          <cell r="G2660" t="str">
            <v>5.1.1.21.99.61 - Prestação de Serviços de Man</v>
          </cell>
          <cell r="I2660">
            <v>160570.56</v>
          </cell>
          <cell r="J2660">
            <v>39443.1</v>
          </cell>
          <cell r="K2660">
            <v>200013.66</v>
          </cell>
        </row>
        <row r="2661">
          <cell r="H2661" t="str">
            <v>5112199610 Serv Prest Manutençao Isolamentos-PJ (Realizado)</v>
          </cell>
          <cell r="I2661">
            <v>160570.56</v>
          </cell>
          <cell r="J2661">
            <v>39443.1</v>
          </cell>
          <cell r="K2661">
            <v>200013.66</v>
          </cell>
        </row>
        <row r="2662">
          <cell r="G2662" t="str">
            <v>5.1.1.21.99.62 - Serviços Prestados de Manute</v>
          </cell>
          <cell r="I2662">
            <v>0</v>
          </cell>
          <cell r="J2662">
            <v>0</v>
          </cell>
          <cell r="K2662">
            <v>0</v>
          </cell>
        </row>
        <row r="2663">
          <cell r="H2663" t="str">
            <v>5112199620 Serv Prest Manut Isolamentos p/Coop Trab (Realiz)</v>
          </cell>
          <cell r="I2663">
            <v>0</v>
          </cell>
          <cell r="J2663">
            <v>0</v>
          </cell>
          <cell r="K2663">
            <v>0</v>
          </cell>
        </row>
        <row r="2664">
          <cell r="G2664" t="str">
            <v>5.1.1.21.99.64 - Prestação de Serviços de Man</v>
          </cell>
          <cell r="I2664">
            <v>0</v>
          </cell>
          <cell r="J2664">
            <v>0</v>
          </cell>
          <cell r="K2664">
            <v>0</v>
          </cell>
        </row>
        <row r="2665">
          <cell r="H2665" t="str">
            <v>5112199640 Serv Prest Manut isolamento p/PF s/Vinc Empreg (R)</v>
          </cell>
          <cell r="I2665">
            <v>0</v>
          </cell>
          <cell r="J2665">
            <v>0</v>
          </cell>
          <cell r="K2665">
            <v>0</v>
          </cell>
        </row>
        <row r="2666">
          <cell r="D2666" t="str">
            <v>5.1.1.35 - Despesas com Comunicações</v>
          </cell>
          <cell r="I2666">
            <v>281.92</v>
          </cell>
          <cell r="J2666">
            <v>165.5</v>
          </cell>
          <cell r="K2666">
            <v>447.42</v>
          </cell>
        </row>
        <row r="2667">
          <cell r="F2667" t="str">
            <v>5.1.1.35.01 - Despesas com Correspondencias</v>
          </cell>
          <cell r="I2667">
            <v>281.92</v>
          </cell>
          <cell r="J2667">
            <v>165.5</v>
          </cell>
          <cell r="K2667">
            <v>447.42</v>
          </cell>
        </row>
        <row r="2668">
          <cell r="G2668" t="str">
            <v>5.1.1.35.01.01 - Despesas com Malote</v>
          </cell>
          <cell r="I2668">
            <v>0</v>
          </cell>
          <cell r="J2668">
            <v>0</v>
          </cell>
          <cell r="K2668">
            <v>0</v>
          </cell>
        </row>
        <row r="2669">
          <cell r="H2669" t="str">
            <v>5113501010 Desp Correspondencia-Malote (Realizado)</v>
          </cell>
          <cell r="I2669">
            <v>0</v>
          </cell>
          <cell r="J2669">
            <v>0</v>
          </cell>
          <cell r="K2669">
            <v>0</v>
          </cell>
        </row>
        <row r="2670">
          <cell r="G2670" t="str">
            <v>5.1.1.35.01.02 - Despesas com Postais</v>
          </cell>
          <cell r="I2670">
            <v>281.92</v>
          </cell>
          <cell r="J2670">
            <v>165.5</v>
          </cell>
          <cell r="K2670">
            <v>447.42</v>
          </cell>
        </row>
        <row r="2671">
          <cell r="H2671" t="str">
            <v>5113501020 Desp Correspondencia-Postais (Realizado)</v>
          </cell>
          <cell r="I2671">
            <v>281.92</v>
          </cell>
          <cell r="J2671">
            <v>165.5</v>
          </cell>
          <cell r="K2671">
            <v>447.42</v>
          </cell>
        </row>
        <row r="2672">
          <cell r="D2672" t="str">
            <v>5.1.1.40 - Despesas Legais e Fiscais</v>
          </cell>
          <cell r="I2672">
            <v>-392260.17</v>
          </cell>
          <cell r="J2672">
            <v>1208.78</v>
          </cell>
          <cell r="K2672">
            <v>-391051.39</v>
          </cell>
        </row>
        <row r="2673">
          <cell r="F2673" t="str">
            <v>5.1.1.40.01 - Despesas Legais</v>
          </cell>
          <cell r="I2673">
            <v>206.48</v>
          </cell>
          <cell r="J2673">
            <v>0</v>
          </cell>
          <cell r="K2673">
            <v>206.48</v>
          </cell>
        </row>
        <row r="2674">
          <cell r="G2674" t="str">
            <v>5.1.1.40.01.03 - Despesas com Autentição e Re</v>
          </cell>
          <cell r="I2674">
            <v>206.48</v>
          </cell>
          <cell r="J2674">
            <v>0</v>
          </cell>
          <cell r="K2674">
            <v>206.48</v>
          </cell>
        </row>
        <row r="2675">
          <cell r="H2675" t="str">
            <v>5114001030 DLF-Desp Autenticidade Reconhecde Firmas (Realiz)</v>
          </cell>
          <cell r="I2675">
            <v>206.48</v>
          </cell>
          <cell r="J2675">
            <v>0</v>
          </cell>
          <cell r="K2675">
            <v>206.48</v>
          </cell>
        </row>
        <row r="2676">
          <cell r="F2676" t="str">
            <v>5.1.1.40.02 - Despesas com Impostos, Taxas e</v>
          </cell>
          <cell r="I2676">
            <v>-392466.65</v>
          </cell>
          <cell r="J2676">
            <v>1208.78</v>
          </cell>
          <cell r="K2676">
            <v>-391257.87</v>
          </cell>
        </row>
        <row r="2677">
          <cell r="G2677" t="str">
            <v>5.1.1.40.02.03 - Licença e Funcionamento</v>
          </cell>
          <cell r="I2677">
            <v>2293.3000000000002</v>
          </cell>
          <cell r="J2677">
            <v>0</v>
          </cell>
          <cell r="K2677">
            <v>2293.3000000000002</v>
          </cell>
        </row>
        <row r="2678">
          <cell r="H2678" t="str">
            <v>5114002030 DITC-Licença e Funcionamento (Realizado)</v>
          </cell>
          <cell r="I2678">
            <v>2293.3000000000002</v>
          </cell>
          <cell r="J2678">
            <v>0</v>
          </cell>
          <cell r="K2678">
            <v>2293.3000000000002</v>
          </cell>
        </row>
        <row r="2679">
          <cell r="G2679" t="str">
            <v>5.1.1.40.02.06 - Taxas Municipais, Estaduais</v>
          </cell>
          <cell r="I2679">
            <v>8451.76</v>
          </cell>
          <cell r="J2679">
            <v>1091.76</v>
          </cell>
          <cell r="K2679">
            <v>9543.52</v>
          </cell>
        </row>
        <row r="2680">
          <cell r="H2680" t="str">
            <v>5114002060 DITC-Txs Municipais,Estaduais,Federais (Realizado)</v>
          </cell>
          <cell r="I2680">
            <v>8451.76</v>
          </cell>
          <cell r="J2680">
            <v>1091.76</v>
          </cell>
          <cell r="K2680">
            <v>9543.52</v>
          </cell>
        </row>
        <row r="2681">
          <cell r="G2681" t="str">
            <v>5.1.1.40.02.10 - Impostos Federais</v>
          </cell>
          <cell r="I2681">
            <v>-403211.71</v>
          </cell>
          <cell r="J2681">
            <v>117.02</v>
          </cell>
          <cell r="K2681">
            <v>-403094.69</v>
          </cell>
        </row>
        <row r="2682">
          <cell r="H2682" t="str">
            <v>5114002105 Créditos de impostos recuperados - Reintegra</v>
          </cell>
          <cell r="I2682">
            <v>-403211.71</v>
          </cell>
          <cell r="J2682">
            <v>117.02</v>
          </cell>
          <cell r="K2682">
            <v>-403094.69</v>
          </cell>
        </row>
        <row r="2683">
          <cell r="F2683" t="str">
            <v>5.1.1.40.03 - Multas</v>
          </cell>
          <cell r="I2683">
            <v>0</v>
          </cell>
          <cell r="J2683">
            <v>0</v>
          </cell>
          <cell r="K2683">
            <v>0</v>
          </cell>
        </row>
        <row r="2684">
          <cell r="G2684" t="str">
            <v>5.1.1.40.03.01 - Multas Fiscais Indedutiveis</v>
          </cell>
          <cell r="I2684">
            <v>0</v>
          </cell>
          <cell r="J2684">
            <v>0</v>
          </cell>
          <cell r="K2684">
            <v>0</v>
          </cell>
        </row>
        <row r="2685">
          <cell r="H2685" t="str">
            <v>5114003010 Multas Fiscais Indedutiveis (Realizado)</v>
          </cell>
          <cell r="I2685">
            <v>0</v>
          </cell>
          <cell r="J2685">
            <v>0</v>
          </cell>
          <cell r="K2685">
            <v>0</v>
          </cell>
        </row>
        <row r="2686">
          <cell r="G2686" t="str">
            <v>5.1.1.40.03.02 - Multas Fiscais Dedutiveis</v>
          </cell>
          <cell r="I2686">
            <v>0</v>
          </cell>
          <cell r="J2686">
            <v>0</v>
          </cell>
          <cell r="K2686">
            <v>0</v>
          </cell>
        </row>
        <row r="2687">
          <cell r="H2687" t="str">
            <v>5114003020 Multas Fiscais Dedutiveis (Realizado)</v>
          </cell>
          <cell r="I2687">
            <v>0</v>
          </cell>
          <cell r="J2687">
            <v>0</v>
          </cell>
          <cell r="K2687">
            <v>0</v>
          </cell>
        </row>
        <row r="2688">
          <cell r="G2688" t="str">
            <v>5.1.1.40.03.03 - Multas Contratuais</v>
          </cell>
          <cell r="I2688">
            <v>0</v>
          </cell>
          <cell r="J2688">
            <v>0</v>
          </cell>
          <cell r="K2688">
            <v>0</v>
          </cell>
        </row>
        <row r="2689">
          <cell r="H2689" t="str">
            <v>5114003030 Multas Contratuais (Realizado)</v>
          </cell>
          <cell r="I2689">
            <v>0</v>
          </cell>
          <cell r="J2689">
            <v>0</v>
          </cell>
          <cell r="K2689">
            <v>0</v>
          </cell>
        </row>
        <row r="2690">
          <cell r="D2690" t="str">
            <v>5.1.1.60 - Despesas com Realização de Eventos</v>
          </cell>
          <cell r="I2690">
            <v>7080</v>
          </cell>
          <cell r="J2690">
            <v>0</v>
          </cell>
          <cell r="K2690">
            <v>7080</v>
          </cell>
        </row>
        <row r="2691">
          <cell r="F2691" t="str">
            <v>5.1.1.60.01 - Despesas com Realização de Even</v>
          </cell>
          <cell r="I2691">
            <v>6725</v>
          </cell>
          <cell r="J2691">
            <v>0</v>
          </cell>
          <cell r="K2691">
            <v>6725</v>
          </cell>
        </row>
        <row r="2692">
          <cell r="G2692" t="str">
            <v>5.1.1.60.01.01 - Eventos Fora da Cia</v>
          </cell>
          <cell r="I2692">
            <v>6200</v>
          </cell>
          <cell r="J2692">
            <v>0</v>
          </cell>
          <cell r="K2692">
            <v>6200</v>
          </cell>
        </row>
        <row r="2693">
          <cell r="H2693" t="str">
            <v>5116001010 Desp Real Even-Semi Fora da Cia Gestao (Realizado)</v>
          </cell>
          <cell r="I2693">
            <v>6200</v>
          </cell>
          <cell r="J2693">
            <v>0</v>
          </cell>
          <cell r="K2693">
            <v>6200</v>
          </cell>
        </row>
        <row r="2694">
          <cell r="G2694" t="str">
            <v>5.1.1.60.01.02 - Eventos Internos</v>
          </cell>
          <cell r="I2694">
            <v>525</v>
          </cell>
          <cell r="J2694">
            <v>0</v>
          </cell>
          <cell r="K2694">
            <v>525</v>
          </cell>
        </row>
        <row r="2695">
          <cell r="H2695" t="str">
            <v>5116001020 Desp Reali Eventos-Eventos Gestao (Realizado)</v>
          </cell>
          <cell r="I2695">
            <v>525</v>
          </cell>
          <cell r="J2695">
            <v>0</v>
          </cell>
          <cell r="K2695">
            <v>525</v>
          </cell>
        </row>
        <row r="2696">
          <cell r="F2696" t="str">
            <v>5.1.1.60.02 - Despesas com Marketing</v>
          </cell>
          <cell r="I2696">
            <v>355</v>
          </cell>
          <cell r="J2696">
            <v>0</v>
          </cell>
          <cell r="K2696">
            <v>355</v>
          </cell>
        </row>
        <row r="2697">
          <cell r="G2697" t="str">
            <v>5.1.1.60.02.01 - Eventos de Marketing</v>
          </cell>
          <cell r="I2697">
            <v>0</v>
          </cell>
          <cell r="J2697">
            <v>0</v>
          </cell>
          <cell r="K2697">
            <v>0</v>
          </cell>
        </row>
        <row r="2698">
          <cell r="H2698" t="str">
            <v>5116002010 Desp Eventos Marketing (Realizado)</v>
          </cell>
          <cell r="I2698">
            <v>0</v>
          </cell>
          <cell r="J2698">
            <v>0</v>
          </cell>
          <cell r="K2698">
            <v>0</v>
          </cell>
        </row>
        <row r="2699">
          <cell r="G2699" t="str">
            <v>5.1.1.60.02.02 - Despesas com Relações Public</v>
          </cell>
          <cell r="I2699">
            <v>355</v>
          </cell>
          <cell r="J2699">
            <v>0</v>
          </cell>
          <cell r="K2699">
            <v>355</v>
          </cell>
        </row>
        <row r="2700">
          <cell r="H2700" t="str">
            <v>5116002020 Desp c/Marketing-Relaçoes Publicas (Realizado)</v>
          </cell>
          <cell r="I2700">
            <v>355</v>
          </cell>
          <cell r="J2700">
            <v>0</v>
          </cell>
          <cell r="K2700">
            <v>355</v>
          </cell>
        </row>
        <row r="2701">
          <cell r="G2701" t="str">
            <v>5.1.1.60.02.03 - Patrocínios</v>
          </cell>
          <cell r="I2701">
            <v>0</v>
          </cell>
          <cell r="J2701">
            <v>0</v>
          </cell>
          <cell r="K2701">
            <v>0</v>
          </cell>
        </row>
        <row r="2702">
          <cell r="H2702" t="str">
            <v>5116002030 Desp c/Marketing-Patrocinios (Realizado)</v>
          </cell>
          <cell r="I2702">
            <v>0</v>
          </cell>
          <cell r="J2702">
            <v>0</v>
          </cell>
          <cell r="K2702">
            <v>0</v>
          </cell>
        </row>
        <row r="2703">
          <cell r="G2703" t="str">
            <v>5.1.1.60.02.04 - Programa Fabrica Aberta</v>
          </cell>
          <cell r="I2703">
            <v>0</v>
          </cell>
          <cell r="J2703">
            <v>0</v>
          </cell>
          <cell r="K2703">
            <v>0</v>
          </cell>
        </row>
        <row r="2704">
          <cell r="H2704" t="str">
            <v>5116002040 Desp c/Marketing-Programa Fabrica Aberta (Realiz)</v>
          </cell>
          <cell r="I2704">
            <v>0</v>
          </cell>
          <cell r="J2704">
            <v>0</v>
          </cell>
          <cell r="K2704">
            <v>0</v>
          </cell>
        </row>
        <row r="2705">
          <cell r="D2705" t="str">
            <v>5.1.1.70 - Estudos e Pesquisas Científicas e</v>
          </cell>
          <cell r="I2705">
            <v>0</v>
          </cell>
          <cell r="J2705">
            <v>0</v>
          </cell>
          <cell r="K2705">
            <v>0</v>
          </cell>
        </row>
        <row r="2706">
          <cell r="F2706" t="str">
            <v>5.1.1.70.01 - Pesquisas Científicas e Tecnoló</v>
          </cell>
          <cell r="I2706">
            <v>0</v>
          </cell>
          <cell r="J2706">
            <v>0</v>
          </cell>
          <cell r="K2706">
            <v>0</v>
          </cell>
        </row>
        <row r="2707">
          <cell r="G2707" t="str">
            <v>5.1.1.70.01.01 - Pesquisas Científicas e Tecn</v>
          </cell>
          <cell r="I2707">
            <v>0</v>
          </cell>
          <cell r="J2707">
            <v>0</v>
          </cell>
          <cell r="K2707">
            <v>0</v>
          </cell>
        </row>
        <row r="2708">
          <cell r="H2708" t="str">
            <v>5117001010 EPCT-Pesq Cientif e Tecnolog Incentivados (Realiz)</v>
          </cell>
          <cell r="I2708">
            <v>0</v>
          </cell>
          <cell r="J2708">
            <v>0</v>
          </cell>
          <cell r="K2708">
            <v>0</v>
          </cell>
        </row>
        <row r="2709">
          <cell r="F2709" t="str">
            <v>5.1.1.70.02 - Estudos  e Pesquisas</v>
          </cell>
          <cell r="I2709">
            <v>0</v>
          </cell>
          <cell r="J2709">
            <v>0</v>
          </cell>
          <cell r="K2709">
            <v>0</v>
          </cell>
        </row>
        <row r="2710">
          <cell r="G2710" t="str">
            <v>5.1.1.70.02.01 - Estudos de Engenharia</v>
          </cell>
          <cell r="I2710">
            <v>0</v>
          </cell>
          <cell r="J2710">
            <v>0</v>
          </cell>
          <cell r="K2710">
            <v>0</v>
          </cell>
        </row>
        <row r="2711">
          <cell r="H2711" t="str">
            <v>5117002010 EPCT-Estudos de Engenharia(Realizado)</v>
          </cell>
          <cell r="I2711">
            <v>0</v>
          </cell>
          <cell r="J2711">
            <v>0</v>
          </cell>
          <cell r="K2711">
            <v>0</v>
          </cell>
        </row>
        <row r="2712">
          <cell r="D2712" t="str">
            <v>5.1.1.80 - Doações, Patrocínios e Contribuiçõ</v>
          </cell>
          <cell r="I2712">
            <v>5702.89</v>
          </cell>
          <cell r="J2712">
            <v>0</v>
          </cell>
          <cell r="K2712">
            <v>5702.89</v>
          </cell>
        </row>
        <row r="2713">
          <cell r="F2713" t="str">
            <v>5.1.1.80.01 - Doações, Patrocínios e Contribu</v>
          </cell>
          <cell r="I2713">
            <v>0</v>
          </cell>
          <cell r="J2713">
            <v>0</v>
          </cell>
          <cell r="K2713">
            <v>0</v>
          </cell>
        </row>
        <row r="2714">
          <cell r="G2714" t="str">
            <v>5.1.1.80.01.01 - Doações e Patrocínios de Car</v>
          </cell>
          <cell r="I2714">
            <v>0</v>
          </cell>
          <cell r="J2714">
            <v>0</v>
          </cell>
          <cell r="K2714">
            <v>0</v>
          </cell>
        </row>
        <row r="2715">
          <cell r="H2715" t="str">
            <v>5118001010 DPC Ind-Carater Cultural, Artistico Lei 8313/91(R)</v>
          </cell>
          <cell r="I2715">
            <v>0</v>
          </cell>
          <cell r="J2715">
            <v>0</v>
          </cell>
          <cell r="K2715">
            <v>0</v>
          </cell>
        </row>
        <row r="2716">
          <cell r="G2716" t="str">
            <v>5.1.1.80.01.03 - Doações a Instituições de En</v>
          </cell>
          <cell r="I2716">
            <v>0</v>
          </cell>
          <cell r="J2716">
            <v>0</v>
          </cell>
          <cell r="K2716">
            <v>0</v>
          </cell>
        </row>
        <row r="2717">
          <cell r="H2717" t="str">
            <v>5118001030 DPC Ind-Instit Ensin Pesq L 9249/95 art.13,§2 (R)</v>
          </cell>
          <cell r="I2717">
            <v>0</v>
          </cell>
          <cell r="J2717">
            <v>0</v>
          </cell>
          <cell r="K2717">
            <v>0</v>
          </cell>
        </row>
        <row r="2718">
          <cell r="G2718" t="str">
            <v>5.1.1.80.01.99 - Outras Contribuições e Doaçõ</v>
          </cell>
          <cell r="I2718">
            <v>0</v>
          </cell>
          <cell r="J2718">
            <v>0</v>
          </cell>
          <cell r="K2718">
            <v>0</v>
          </cell>
        </row>
        <row r="2719">
          <cell r="H2719" t="str">
            <v>5118001990 DPC Ind-Outras Contrib/Doaçoes Indeduts (Realiz)</v>
          </cell>
          <cell r="I2719">
            <v>0</v>
          </cell>
          <cell r="J2719">
            <v>0</v>
          </cell>
          <cell r="K2719">
            <v>0</v>
          </cell>
        </row>
        <row r="2720">
          <cell r="F2720" t="str">
            <v>5.1.1.80.02 - Doações, Patrocínios e Contribu</v>
          </cell>
          <cell r="I2720">
            <v>5702.89</v>
          </cell>
          <cell r="J2720">
            <v>0</v>
          </cell>
          <cell r="K2720">
            <v>5702.89</v>
          </cell>
        </row>
        <row r="2721">
          <cell r="G2721" t="str">
            <v>5.1.1.80.02.04 - Doações a Entidades Civis (A</v>
          </cell>
          <cell r="I2721">
            <v>0</v>
          </cell>
          <cell r="J2721">
            <v>0</v>
          </cell>
          <cell r="K2721">
            <v>0</v>
          </cell>
        </row>
        <row r="2722">
          <cell r="H2722" t="str">
            <v>5118002040 DPC Ded-Doaçoes a Entidades Civis ADCC (Realizado)</v>
          </cell>
          <cell r="I2722">
            <v>0</v>
          </cell>
          <cell r="J2722">
            <v>0</v>
          </cell>
          <cell r="K2722">
            <v>0</v>
          </cell>
        </row>
        <row r="2723">
          <cell r="G2723" t="str">
            <v>5.1.1.80.02.05 - Contribuições a Entidades de</v>
          </cell>
          <cell r="I2723">
            <v>5702.89</v>
          </cell>
          <cell r="J2723">
            <v>0</v>
          </cell>
          <cell r="K2723">
            <v>5702.89</v>
          </cell>
        </row>
        <row r="2724">
          <cell r="H2724" t="str">
            <v>5118002050 DPC Ded-Contrib a Entidades de Classes (Realizado)</v>
          </cell>
          <cell r="I2724">
            <v>5702.89</v>
          </cell>
          <cell r="J2724">
            <v>0</v>
          </cell>
          <cell r="K2724">
            <v>5702.89</v>
          </cell>
        </row>
        <row r="2725">
          <cell r="G2725" t="str">
            <v>5.1.1.80.02.99 - Outras Contribuições e Doaçõ</v>
          </cell>
          <cell r="I2725">
            <v>0</v>
          </cell>
          <cell r="J2725">
            <v>0</v>
          </cell>
          <cell r="K2725">
            <v>0</v>
          </cell>
        </row>
        <row r="2726">
          <cell r="H2726" t="str">
            <v>5118002990 DPC Ded-Outras Contrib e Doaçoes Dedutivs (Realiz)</v>
          </cell>
          <cell r="I2726">
            <v>0</v>
          </cell>
          <cell r="J2726">
            <v>0</v>
          </cell>
          <cell r="K2726">
            <v>0</v>
          </cell>
        </row>
        <row r="2727">
          <cell r="D2727" t="str">
            <v>5.1.1.90 - Encargos de Depreciação e Amortiza</v>
          </cell>
          <cell r="I2727">
            <v>16426459.59</v>
          </cell>
          <cell r="J2727">
            <v>3327902.88</v>
          </cell>
          <cell r="K2727">
            <v>19754362.469999999</v>
          </cell>
        </row>
        <row r="2728">
          <cell r="F2728" t="str">
            <v>5.1.1.90.01 - Encargos de Depreciação e Amort</v>
          </cell>
          <cell r="I2728">
            <v>16426459.59</v>
          </cell>
          <cell r="J2728">
            <v>3327902.88</v>
          </cell>
          <cell r="K2728">
            <v>19754362.469999999</v>
          </cell>
        </row>
        <row r="2729">
          <cell r="G2729" t="str">
            <v>5.1.1.90.01.01 - Depreciação</v>
          </cell>
          <cell r="I2729">
            <v>16410136.57</v>
          </cell>
          <cell r="J2729">
            <v>3324638.26</v>
          </cell>
          <cell r="K2729">
            <v>19734774.829999998</v>
          </cell>
        </row>
        <row r="2730">
          <cell r="H2730" t="str">
            <v>5119001010 Encarg de Deprec e Amort-Depreciaçao (Realizado)</v>
          </cell>
          <cell r="I2730">
            <v>10848373.66</v>
          </cell>
          <cell r="J2730">
            <v>2212246.81</v>
          </cell>
          <cell r="K2730">
            <v>13060620.470000001</v>
          </cell>
        </row>
        <row r="2731">
          <cell r="H2731" t="str">
            <v>5119001011 Encarg de Depreciaçao Mais Valia (Realizado)</v>
          </cell>
          <cell r="I2731">
            <v>2683709.58</v>
          </cell>
          <cell r="J2731">
            <v>536705.29</v>
          </cell>
          <cell r="K2731">
            <v>3220414.87</v>
          </cell>
        </row>
        <row r="2732">
          <cell r="H2732" t="str">
            <v>5119001012 Encarg de Depreciaçao Mais Valia CN (Realizado)</v>
          </cell>
          <cell r="I2732">
            <v>2683709.58</v>
          </cell>
          <cell r="J2732">
            <v>536705.29</v>
          </cell>
          <cell r="K2732">
            <v>3220414.87</v>
          </cell>
        </row>
        <row r="2733">
          <cell r="H2733" t="str">
            <v>5119001014 Encarg de Depreciaçao AVP (Realizado)</v>
          </cell>
          <cell r="I2733">
            <v>194343.75</v>
          </cell>
          <cell r="J2733">
            <v>38980.870000000003</v>
          </cell>
          <cell r="K2733">
            <v>233324.62</v>
          </cell>
        </row>
        <row r="2734">
          <cell r="G2734" t="str">
            <v>5.1.1.90.01.05 - Amortização</v>
          </cell>
          <cell r="I2734">
            <v>16323.02</v>
          </cell>
          <cell r="J2734">
            <v>3264.62</v>
          </cell>
          <cell r="K2734">
            <v>19587.64</v>
          </cell>
        </row>
        <row r="2735">
          <cell r="H2735" t="str">
            <v>5119001050 Encarg de Deprec e Amort-Amortizaçao (Realizado)</v>
          </cell>
          <cell r="I2735">
            <v>16237.51</v>
          </cell>
          <cell r="J2735">
            <v>3247.51</v>
          </cell>
          <cell r="K2735">
            <v>19485.02</v>
          </cell>
        </row>
        <row r="2736">
          <cell r="H2736" t="str">
            <v>5119001054 Amortizaçao AVP (Realizado)</v>
          </cell>
          <cell r="I2736">
            <v>85.51</v>
          </cell>
          <cell r="J2736">
            <v>17.11</v>
          </cell>
          <cell r="K2736">
            <v>102.62</v>
          </cell>
        </row>
        <row r="2737">
          <cell r="D2737" t="str">
            <v>5.1.1.99 - Demais Custos</v>
          </cell>
          <cell r="I2737">
            <v>1071961.81</v>
          </cell>
          <cell r="J2737">
            <v>257152.76</v>
          </cell>
          <cell r="K2737">
            <v>1329114.57</v>
          </cell>
        </row>
        <row r="2738">
          <cell r="F2738" t="str">
            <v>5.1.1.99.05 - Despesas  com Alugueis/Locações</v>
          </cell>
          <cell r="I2738">
            <v>676684.47</v>
          </cell>
          <cell r="J2738">
            <v>152931.69</v>
          </cell>
          <cell r="K2738">
            <v>829616.16</v>
          </cell>
        </row>
        <row r="2739">
          <cell r="G2739" t="str">
            <v>5.1.1.99.05.01 - Locações de Equipamento de O</v>
          </cell>
          <cell r="I2739">
            <v>674188.84</v>
          </cell>
          <cell r="J2739">
            <v>152432.56</v>
          </cell>
          <cell r="K2739">
            <v>826621.4</v>
          </cell>
        </row>
        <row r="2740">
          <cell r="H2740" t="str">
            <v>5119905010 Desp Alug/Loc.Oper-Locaçao Equip Operaçao (Realiz)</v>
          </cell>
          <cell r="I2740">
            <v>674188.84</v>
          </cell>
          <cell r="J2740">
            <v>152432.56</v>
          </cell>
          <cell r="K2740">
            <v>826621.4</v>
          </cell>
        </row>
        <row r="2741">
          <cell r="G2741" t="str">
            <v>5.1.1.99.05.03 - Locações de Equipamento de E</v>
          </cell>
          <cell r="I2741">
            <v>0</v>
          </cell>
          <cell r="J2741">
            <v>0</v>
          </cell>
          <cell r="K2741">
            <v>0</v>
          </cell>
        </row>
        <row r="2742">
          <cell r="H2742" t="str">
            <v>5119905030 Desp Alug/Loc.Oper-Loc Equiptos Escritorio(Realiz)</v>
          </cell>
          <cell r="I2742">
            <v>0</v>
          </cell>
          <cell r="J2742">
            <v>0</v>
          </cell>
          <cell r="K2742">
            <v>0</v>
          </cell>
        </row>
        <row r="2743">
          <cell r="G2743" t="str">
            <v>5.1.1.99.05.04 - Locações de Equipamento de I</v>
          </cell>
          <cell r="I2743">
            <v>0</v>
          </cell>
          <cell r="J2743">
            <v>0</v>
          </cell>
          <cell r="K2743">
            <v>0</v>
          </cell>
        </row>
        <row r="2744">
          <cell r="H2744" t="str">
            <v>5119905040 Desp Alug/Loc.Oper-Equip Impressao/Copias(Realiz)</v>
          </cell>
          <cell r="I2744">
            <v>0</v>
          </cell>
          <cell r="J2744">
            <v>0</v>
          </cell>
          <cell r="K2744">
            <v>0</v>
          </cell>
        </row>
        <row r="2745">
          <cell r="G2745" t="str">
            <v>5.1.1.99.05.05 - Locações de Equipamento de T</v>
          </cell>
          <cell r="I2745">
            <v>2495.63</v>
          </cell>
          <cell r="J2745">
            <v>499.13</v>
          </cell>
          <cell r="K2745">
            <v>2994.76</v>
          </cell>
        </row>
        <row r="2746">
          <cell r="H2746" t="str">
            <v>5119905050 Desp Alug/Loc.Oper-Loc de Equip Telefonia(Realiz)</v>
          </cell>
          <cell r="I2746">
            <v>2495.63</v>
          </cell>
          <cell r="J2746">
            <v>499.13</v>
          </cell>
          <cell r="K2746">
            <v>2994.76</v>
          </cell>
        </row>
        <row r="2747">
          <cell r="G2747" t="str">
            <v>5.1.1.99.05.10 - Aluguel de Imovel</v>
          </cell>
          <cell r="I2747">
            <v>0</v>
          </cell>
          <cell r="J2747">
            <v>0</v>
          </cell>
          <cell r="K2747">
            <v>0</v>
          </cell>
        </row>
        <row r="2748">
          <cell r="H2748" t="str">
            <v>5119905100 Desp Alug/Loc.Oper-Aluguel de Imovel (Realizado)</v>
          </cell>
          <cell r="I2748">
            <v>0</v>
          </cell>
          <cell r="J2748">
            <v>0</v>
          </cell>
          <cell r="K2748">
            <v>0</v>
          </cell>
        </row>
        <row r="2749">
          <cell r="F2749" t="str">
            <v>5.1.1.99.06 - Despesas  com Alugueis/Locações</v>
          </cell>
          <cell r="I2749">
            <v>383337.83</v>
          </cell>
          <cell r="J2749">
            <v>91070.1</v>
          </cell>
          <cell r="K2749">
            <v>474407.93</v>
          </cell>
        </row>
        <row r="2750">
          <cell r="G2750" t="str">
            <v>5.1.1.99.06.01 - Locações de Equipamento de M</v>
          </cell>
          <cell r="I2750">
            <v>383337.83</v>
          </cell>
          <cell r="J2750">
            <v>91070.1</v>
          </cell>
          <cell r="K2750">
            <v>474407.93</v>
          </cell>
        </row>
        <row r="2751">
          <cell r="H2751" t="str">
            <v>5119906010 Desp Alug/Loc. Op-Equipamentos de Manut (Realiz)</v>
          </cell>
          <cell r="I2751">
            <v>383598.71</v>
          </cell>
          <cell r="J2751">
            <v>91070.1</v>
          </cell>
          <cell r="K2751">
            <v>474668.81</v>
          </cell>
        </row>
        <row r="2752">
          <cell r="H2752" t="str">
            <v>5119906015 Desp Alug/Loc. Op-Equipamentos de Manut (Recup)</v>
          </cell>
          <cell r="I2752">
            <v>-260.88</v>
          </cell>
          <cell r="J2752">
            <v>0</v>
          </cell>
          <cell r="K2752">
            <v>-260.88</v>
          </cell>
        </row>
        <row r="2753">
          <cell r="F2753" t="str">
            <v>5.1.1.99.10 - Assinatura de Livros, Informati</v>
          </cell>
          <cell r="I2753">
            <v>2259.42</v>
          </cell>
          <cell r="J2753">
            <v>0</v>
          </cell>
          <cell r="K2753">
            <v>2259.42</v>
          </cell>
        </row>
        <row r="2754">
          <cell r="G2754" t="str">
            <v>5.1.1.99.10.01 - Assinatura de Jornais e Revi</v>
          </cell>
          <cell r="I2754">
            <v>2259.42</v>
          </cell>
          <cell r="J2754">
            <v>0</v>
          </cell>
          <cell r="K2754">
            <v>2259.42</v>
          </cell>
        </row>
        <row r="2755">
          <cell r="H2755" t="str">
            <v>5119910010 Assin L.IT.J.R-Ass de Jornais e Revistas (Realiz)</v>
          </cell>
          <cell r="I2755">
            <v>2259.42</v>
          </cell>
          <cell r="J2755">
            <v>0</v>
          </cell>
          <cell r="K2755">
            <v>2259.42</v>
          </cell>
        </row>
        <row r="2756">
          <cell r="G2756" t="str">
            <v>5.1.1.99.10.03 - Assinatura de Livros e Infor</v>
          </cell>
          <cell r="I2756">
            <v>0</v>
          </cell>
          <cell r="J2756">
            <v>0</v>
          </cell>
          <cell r="K2756">
            <v>0</v>
          </cell>
        </row>
        <row r="2757">
          <cell r="H2757" t="str">
            <v>5119910030 Assin L.IT.J.R-Ass Livros/Inform Tecnicos (Realiz)</v>
          </cell>
          <cell r="I2757">
            <v>0</v>
          </cell>
          <cell r="J2757">
            <v>0</v>
          </cell>
          <cell r="K2757">
            <v>0</v>
          </cell>
        </row>
        <row r="2758">
          <cell r="F2758" t="str">
            <v>5.1.1.99.15 - Despesas c/impressão e Cópias f</v>
          </cell>
          <cell r="I2758">
            <v>0</v>
          </cell>
          <cell r="J2758">
            <v>0</v>
          </cell>
          <cell r="K2758">
            <v>0</v>
          </cell>
        </row>
        <row r="2759">
          <cell r="G2759" t="str">
            <v>5.1.1.99.15.01 - Despesas c/impressão e Cópia</v>
          </cell>
          <cell r="I2759">
            <v>0</v>
          </cell>
          <cell r="J2759">
            <v>0</v>
          </cell>
          <cell r="K2759">
            <v>0</v>
          </cell>
        </row>
        <row r="2760">
          <cell r="H2760" t="str">
            <v>5119915010 Desp c/Impressao e Copias fora da Cia (Realizado)</v>
          </cell>
          <cell r="I2760">
            <v>0</v>
          </cell>
          <cell r="J2760">
            <v>0</v>
          </cell>
          <cell r="K2760">
            <v>0</v>
          </cell>
        </row>
        <row r="2761">
          <cell r="F2761" t="str">
            <v>5.1.1.99.20 - Despesas com Veiculos</v>
          </cell>
          <cell r="I2761">
            <v>9680.09</v>
          </cell>
          <cell r="J2761">
            <v>13150.97</v>
          </cell>
          <cell r="K2761">
            <v>22831.06</v>
          </cell>
        </row>
        <row r="2762">
          <cell r="G2762" t="str">
            <v>5.1.1.99.20.01 - Abastecimento</v>
          </cell>
          <cell r="I2762">
            <v>1424.79</v>
          </cell>
          <cell r="J2762">
            <v>289.14</v>
          </cell>
          <cell r="K2762">
            <v>1713.93</v>
          </cell>
        </row>
        <row r="2763">
          <cell r="H2763" t="str">
            <v>5119920010 Desp c/Veiculos-Abastecimento (Realizado)</v>
          </cell>
          <cell r="I2763">
            <v>1424.79</v>
          </cell>
          <cell r="J2763">
            <v>289.14</v>
          </cell>
          <cell r="K2763">
            <v>1713.93</v>
          </cell>
        </row>
        <row r="2764">
          <cell r="G2764" t="str">
            <v>5.1.1.99.20.02 - Reparos e Manutenções</v>
          </cell>
          <cell r="I2764">
            <v>0</v>
          </cell>
          <cell r="J2764">
            <v>11115.43</v>
          </cell>
          <cell r="K2764">
            <v>11115.43</v>
          </cell>
        </row>
        <row r="2765">
          <cell r="H2765" t="str">
            <v>5119920020 Desp c/Veiculos-Reparos e Manutençoes (Realizado)</v>
          </cell>
          <cell r="I2765">
            <v>0</v>
          </cell>
          <cell r="J2765">
            <v>11115.43</v>
          </cell>
          <cell r="K2765">
            <v>11115.43</v>
          </cell>
        </row>
        <row r="2766">
          <cell r="G2766" t="str">
            <v>5.1.1.99.20.03 - Peças e Acessorios</v>
          </cell>
          <cell r="I2766">
            <v>0</v>
          </cell>
          <cell r="J2766">
            <v>421</v>
          </cell>
          <cell r="K2766">
            <v>421</v>
          </cell>
        </row>
        <row r="2767">
          <cell r="H2767" t="str">
            <v>5119920030 Desp c/Veiculos-Peças e Acessorios (Realizado)</v>
          </cell>
          <cell r="I2767">
            <v>0</v>
          </cell>
          <cell r="J2767">
            <v>421</v>
          </cell>
          <cell r="K2767">
            <v>421</v>
          </cell>
        </row>
        <row r="2768">
          <cell r="G2768" t="str">
            <v>5.1.1.99.20.04 - Lavagem e Lubrificação</v>
          </cell>
          <cell r="I2768">
            <v>0</v>
          </cell>
          <cell r="J2768">
            <v>0</v>
          </cell>
          <cell r="K2768">
            <v>0</v>
          </cell>
        </row>
        <row r="2769">
          <cell r="H2769" t="str">
            <v>5119920040 Desp c/Veiculos-Lavagem e Lubrificaçao (Realizado)</v>
          </cell>
          <cell r="I2769">
            <v>0</v>
          </cell>
          <cell r="J2769">
            <v>0</v>
          </cell>
          <cell r="K2769">
            <v>0</v>
          </cell>
        </row>
        <row r="2770">
          <cell r="G2770" t="str">
            <v>5.1.1.99.20.05 - Pedagio e Estacionamento</v>
          </cell>
          <cell r="I2770">
            <v>3671.45</v>
          </cell>
          <cell r="J2770">
            <v>1325.4</v>
          </cell>
          <cell r="K2770">
            <v>4996.8500000000004</v>
          </cell>
        </row>
        <row r="2771">
          <cell r="H2771" t="str">
            <v>5119920050 Desp c/Veiculos-Pedagio e Estacionam (Realizado)</v>
          </cell>
          <cell r="I2771">
            <v>3671.45</v>
          </cell>
          <cell r="J2771">
            <v>1325.4</v>
          </cell>
          <cell r="K2771">
            <v>4996.8500000000004</v>
          </cell>
        </row>
        <row r="2772">
          <cell r="G2772" t="str">
            <v>5.1.1.99.20.06 - Licenciamento</v>
          </cell>
          <cell r="I2772">
            <v>4583.8500000000004</v>
          </cell>
          <cell r="J2772">
            <v>0</v>
          </cell>
          <cell r="K2772">
            <v>4583.8500000000004</v>
          </cell>
        </row>
        <row r="2773">
          <cell r="H2773" t="str">
            <v>5119920060 Desp c/Veiculos-Licenciamento (Realizado)</v>
          </cell>
          <cell r="I2773">
            <v>4583.8500000000004</v>
          </cell>
          <cell r="J2773">
            <v>0</v>
          </cell>
          <cell r="K2773">
            <v>4583.8500000000004</v>
          </cell>
        </row>
        <row r="2774">
          <cell r="C2774" t="str">
            <v>5.1.2 - CUSTO DOS PRODUTOS DE FABRICAÇÃO PRÓP</v>
          </cell>
          <cell r="I2774">
            <v>-177220741.03</v>
          </cell>
          <cell r="J2774">
            <v>-36261139.5</v>
          </cell>
          <cell r="K2774">
            <v>-213481880.53</v>
          </cell>
        </row>
        <row r="2775">
          <cell r="D2775" t="str">
            <v>5.1.2.01 - Custos dos Produtos de Fabricação</v>
          </cell>
          <cell r="I2775">
            <v>-177220741.03</v>
          </cell>
          <cell r="J2775">
            <v>-36261139.5</v>
          </cell>
          <cell r="K2775">
            <v>-213481880.53</v>
          </cell>
        </row>
        <row r="2776">
          <cell r="F2776" t="str">
            <v>5.1.2.01.01 - Custo dos Produtos de Fabricaçã</v>
          </cell>
          <cell r="I2776">
            <v>-177220741.03</v>
          </cell>
          <cell r="J2776">
            <v>-36261139.5</v>
          </cell>
          <cell r="K2776">
            <v>-213481880.53</v>
          </cell>
        </row>
        <row r="2777">
          <cell r="G2777" t="str">
            <v>5.1.2.01.01.01 - Custo dos Produtos de Fabric</v>
          </cell>
          <cell r="I2777">
            <v>-7096900.6699999999</v>
          </cell>
          <cell r="J2777">
            <v>-3482938.63</v>
          </cell>
          <cell r="K2777">
            <v>-10579839.300000001</v>
          </cell>
        </row>
        <row r="2778">
          <cell r="H2778" t="str">
            <v>5120101010 Cst P.Fab Próp Transf p/S.Acabado(F.Fab)-(Aj.Real)</v>
          </cell>
          <cell r="I2778">
            <v>-539879051.36000001</v>
          </cell>
          <cell r="J2778">
            <v>-109106647.53</v>
          </cell>
          <cell r="K2778">
            <v>-648985698.88999999</v>
          </cell>
        </row>
        <row r="2779">
          <cell r="H2779" t="str">
            <v>5120101011 Cst P.Fab Próp Transf p/S.Acab(AjOrdProd)-(Planej)</v>
          </cell>
          <cell r="I2779">
            <v>-14965921.27</v>
          </cell>
          <cell r="J2779">
            <v>-2250565.0099999998</v>
          </cell>
          <cell r="K2779">
            <v>-17216486.280000001</v>
          </cell>
        </row>
        <row r="2780">
          <cell r="H2780" t="str">
            <v>5120101012 Cst P.Fab Próp Transf p/S.Acab(Zerar Centro Cst)</v>
          </cell>
          <cell r="I2780">
            <v>8266330.5899999999</v>
          </cell>
          <cell r="J2780">
            <v>1297641.72</v>
          </cell>
          <cell r="K2780">
            <v>9563972.3100000005</v>
          </cell>
        </row>
        <row r="2781">
          <cell r="H2781" t="str">
            <v>5120101013 Cst P.Fab Próp Consumo S.Acab (Realizado)</v>
          </cell>
          <cell r="I2781">
            <v>539481741.37</v>
          </cell>
          <cell r="J2781">
            <v>106576632.19</v>
          </cell>
          <cell r="K2781">
            <v>646058373.55999994</v>
          </cell>
        </row>
        <row r="2782">
          <cell r="G2782" t="str">
            <v>5.1.2.01.01.02 - Custo dos Produtos de Fabric</v>
          </cell>
          <cell r="I2782">
            <v>-171522478.86000001</v>
          </cell>
          <cell r="J2782">
            <v>-32194028.23</v>
          </cell>
          <cell r="K2782">
            <v>-203716507.09</v>
          </cell>
        </row>
        <row r="2783">
          <cell r="H2783" t="str">
            <v>5120101020 Cst P.Fab Próp Transf p/P.Acabado(F.Fab)-(Aj.Real)</v>
          </cell>
          <cell r="I2783">
            <v>-167022648.37</v>
          </cell>
          <cell r="J2783">
            <v>-31782881.579999998</v>
          </cell>
          <cell r="K2783">
            <v>-198805529.94999999</v>
          </cell>
        </row>
        <row r="2784">
          <cell r="H2784" t="str">
            <v>5120101021 Cst P.Fab Próp Transf p/P.Acabado(F.Fab)-(Planej)</v>
          </cell>
          <cell r="I2784">
            <v>-1129860.3799999999</v>
          </cell>
          <cell r="J2784">
            <v>151358.37</v>
          </cell>
          <cell r="K2784">
            <v>-978502.01</v>
          </cell>
        </row>
        <row r="2785">
          <cell r="H2785" t="str">
            <v>5120101022 Cst P.Fab Próp Transf p/P.Acabado(Zerar CentroCst)</v>
          </cell>
          <cell r="I2785">
            <v>-3369970.11</v>
          </cell>
          <cell r="J2785">
            <v>-562505.02</v>
          </cell>
          <cell r="K2785">
            <v>-3932475.13</v>
          </cell>
        </row>
        <row r="2786">
          <cell r="G2786" t="str">
            <v>5.1.2.01.01.03 - Custo dos Produtos de Fabric</v>
          </cell>
          <cell r="I2786">
            <v>1398638.5</v>
          </cell>
          <cell r="J2786">
            <v>-584172.64</v>
          </cell>
          <cell r="K2786">
            <v>814465.86</v>
          </cell>
        </row>
        <row r="2787">
          <cell r="H2787" t="str">
            <v>5120101030 Cst P.Fab Próp Transf p/P.Acabado(Aj Cons Real)</v>
          </cell>
          <cell r="I2787">
            <v>1398638.5</v>
          </cell>
          <cell r="J2787">
            <v>-584172.64</v>
          </cell>
          <cell r="K2787">
            <v>814465.86</v>
          </cell>
        </row>
        <row r="2788">
          <cell r="H2788" t="str">
            <v>5120101037 Cst P.Fab Próp Transf p/P.Acabado(manut. em DGA)</v>
          </cell>
          <cell r="I2788">
            <v>0</v>
          </cell>
          <cell r="J2788">
            <v>0</v>
          </cell>
          <cell r="K2788">
            <v>0</v>
          </cell>
        </row>
        <row r="2789">
          <cell r="F2789" t="str">
            <v>5.1.2.01.02 - Custo dos Serviços Transferidos</v>
          </cell>
          <cell r="I2789">
            <v>0</v>
          </cell>
          <cell r="J2789">
            <v>0</v>
          </cell>
          <cell r="K2789">
            <v>0</v>
          </cell>
        </row>
        <row r="2790">
          <cell r="G2790" t="str">
            <v>5.1.2.01.02.02 - Custo dos Serviços Transferi</v>
          </cell>
          <cell r="I2790">
            <v>0</v>
          </cell>
          <cell r="J2790">
            <v>0</v>
          </cell>
          <cell r="K2790">
            <v>0</v>
          </cell>
        </row>
        <row r="2791">
          <cell r="H2791" t="str">
            <v>5120102020 Cst Serv Transf p/P.Acabado(F.Fab)-(Realiz)</v>
          </cell>
          <cell r="I2791">
            <v>0</v>
          </cell>
          <cell r="J2791">
            <v>0</v>
          </cell>
          <cell r="K2791">
            <v>0</v>
          </cell>
        </row>
        <row r="2792">
          <cell r="G2792" t="str">
            <v>5.1.2.01.02.03 - Custo dos Serviços Transferi</v>
          </cell>
          <cell r="I2792">
            <v>0</v>
          </cell>
          <cell r="J2792">
            <v>0</v>
          </cell>
          <cell r="K2792">
            <v>0</v>
          </cell>
        </row>
        <row r="2793">
          <cell r="H2793" t="str">
            <v>5120102030 Cst Serv Transf p/S.Vendidos(F.Fab)-(Realiz)</v>
          </cell>
          <cell r="I2793">
            <v>0</v>
          </cell>
          <cell r="J2793">
            <v>0</v>
          </cell>
          <cell r="K2793">
            <v>0</v>
          </cell>
        </row>
        <row r="2794">
          <cell r="C2794" t="str">
            <v>5.1.5 - CUSTO DOS PRODUTOS DE FABRICAÇÃO EM T</v>
          </cell>
          <cell r="I2794">
            <v>179278.48</v>
          </cell>
          <cell r="J2794">
            <v>131074.79</v>
          </cell>
          <cell r="K2794">
            <v>310353.27</v>
          </cell>
        </row>
        <row r="2795">
          <cell r="D2795" t="str">
            <v>5.1.5.01 - Consumo de Insumos</v>
          </cell>
          <cell r="I2795">
            <v>179278.48</v>
          </cell>
          <cell r="J2795">
            <v>131074.79</v>
          </cell>
          <cell r="K2795">
            <v>310353.27</v>
          </cell>
        </row>
        <row r="2796">
          <cell r="F2796" t="str">
            <v>5.1.5.01.01 - Estoque Consumido na Industrial</v>
          </cell>
          <cell r="I2796">
            <v>122724.16</v>
          </cell>
          <cell r="J2796">
            <v>94842.85</v>
          </cell>
          <cell r="K2796">
            <v>217567.01</v>
          </cell>
        </row>
        <row r="2797">
          <cell r="G2797" t="str">
            <v>5.1.5.01.01.98 - Consumo de Materiais Proprio</v>
          </cell>
          <cell r="I2797">
            <v>122724.16</v>
          </cell>
          <cell r="J2797">
            <v>94842.85</v>
          </cell>
          <cell r="K2797">
            <v>217567.01</v>
          </cell>
        </row>
        <row r="2798">
          <cell r="H2798" t="str">
            <v>5150101980 Cons.Insu-Estoq Cons-Mat Próp Industrializado(R)</v>
          </cell>
          <cell r="I2798">
            <v>122724.16</v>
          </cell>
          <cell r="J2798">
            <v>94842.85</v>
          </cell>
          <cell r="K2798">
            <v>217567.01</v>
          </cell>
        </row>
        <row r="2799">
          <cell r="G2799" t="str">
            <v>5.1.5.01.01.99 - Consumo de Materiais de Terc</v>
          </cell>
          <cell r="I2799">
            <v>0</v>
          </cell>
          <cell r="J2799">
            <v>0</v>
          </cell>
          <cell r="K2799">
            <v>0</v>
          </cell>
        </row>
        <row r="2800">
          <cell r="H2800" t="str">
            <v>5150101990 Cons.Insu-Estoq Cons-Mat Terc Industrializado(R)</v>
          </cell>
          <cell r="I2800">
            <v>0</v>
          </cell>
          <cell r="J2800">
            <v>0</v>
          </cell>
          <cell r="K2800">
            <v>0</v>
          </cell>
        </row>
        <row r="2801">
          <cell r="F2801" t="str">
            <v>5.1.5.01.02 - Serviços Consumidos</v>
          </cell>
          <cell r="I2801">
            <v>56554.32</v>
          </cell>
          <cell r="J2801">
            <v>36231.94</v>
          </cell>
          <cell r="K2801">
            <v>92786.26</v>
          </cell>
        </row>
        <row r="2802">
          <cell r="G2802" t="str">
            <v>5.1.5.01.01.99 - Serviços Consumidos na Indus</v>
          </cell>
          <cell r="I2802">
            <v>56554.32</v>
          </cell>
          <cell r="J2802">
            <v>36231.94</v>
          </cell>
          <cell r="K2802">
            <v>92786.26</v>
          </cell>
        </row>
        <row r="2803">
          <cell r="H2803" t="str">
            <v>5150102990 Cons.Insu-Serv Cons-Industrializaçao(Realiz)</v>
          </cell>
          <cell r="I2803">
            <v>56554.32</v>
          </cell>
          <cell r="J2803">
            <v>36231.94</v>
          </cell>
          <cell r="K2803">
            <v>92786.26</v>
          </cell>
        </row>
        <row r="2804">
          <cell r="C2804" t="str">
            <v>5.1.6 - CUSTO DOS PRODUTOS DE FABRICAÇÃO PRÓP</v>
          </cell>
          <cell r="I2804">
            <v>-179278.48</v>
          </cell>
          <cell r="J2804">
            <v>-131074.79</v>
          </cell>
          <cell r="K2804">
            <v>-310353.27</v>
          </cell>
        </row>
        <row r="2805">
          <cell r="D2805" t="str">
            <v>5.1.6.01 - Custos dos Produtos de Fabricação</v>
          </cell>
          <cell r="I2805">
            <v>-179278.48</v>
          </cell>
          <cell r="J2805">
            <v>-131074.79</v>
          </cell>
          <cell r="K2805">
            <v>-310353.27</v>
          </cell>
        </row>
        <row r="2806">
          <cell r="F2806" t="str">
            <v>5.1.6.01.01.02 - Custo dos Produtos de Fabric</v>
          </cell>
          <cell r="I2806">
            <v>-179278.48</v>
          </cell>
          <cell r="J2806">
            <v>-131074.79</v>
          </cell>
          <cell r="K2806">
            <v>-310353.27</v>
          </cell>
        </row>
        <row r="2807">
          <cell r="G2807" t="str">
            <v>5160101020 C.Prod FTerc Transf FatFabri-Prod Acabados(Realiz)</v>
          </cell>
          <cell r="I2807">
            <v>-179278.48</v>
          </cell>
          <cell r="J2807">
            <v>-131074.79</v>
          </cell>
          <cell r="K2807">
            <v>-310353.27</v>
          </cell>
        </row>
        <row r="2808">
          <cell r="C2808" t="str">
            <v>5.1.9 - FATURAMENTO DE FÁBRICA - INATIVO</v>
          </cell>
          <cell r="I2808">
            <v>0</v>
          </cell>
          <cell r="J2808">
            <v>0</v>
          </cell>
          <cell r="K2808">
            <v>0</v>
          </cell>
        </row>
        <row r="2809">
          <cell r="D2809" t="str">
            <v>5190101010 Custo dos Produtos de Fabricação Própria Trnmasfer</v>
          </cell>
          <cell r="I2809">
            <v>0</v>
          </cell>
          <cell r="J2809">
            <v>0</v>
          </cell>
          <cell r="K2809">
            <v>0</v>
          </cell>
        </row>
        <row r="2810">
          <cell r="D2810" t="str">
            <v>5190101020 Custo dos Produtos de Fabricação Própria Trnmasfer</v>
          </cell>
          <cell r="I2810">
            <v>0</v>
          </cell>
          <cell r="J2810">
            <v>0</v>
          </cell>
          <cell r="K2810">
            <v>0</v>
          </cell>
        </row>
        <row r="2811">
          <cell r="I2811">
            <v>0</v>
          </cell>
          <cell r="J2811">
            <v>0</v>
          </cell>
          <cell r="K2811">
            <v>0</v>
          </cell>
        </row>
        <row r="2812">
          <cell r="I2812">
            <v>0</v>
          </cell>
          <cell r="J2812">
            <v>0</v>
          </cell>
          <cell r="K2812">
            <v>0</v>
          </cell>
        </row>
        <row r="2813">
          <cell r="C2813" t="str">
            <v>8.1.1 - Reconciliação FIxCO</v>
          </cell>
          <cell r="I2813">
            <v>0</v>
          </cell>
          <cell r="J2813">
            <v>0</v>
          </cell>
          <cell r="K2813">
            <v>0</v>
          </cell>
        </row>
        <row r="2814">
          <cell r="D2814" t="str">
            <v>8.1.1.01 - Reconciliação FIxCO</v>
          </cell>
          <cell r="I2814">
            <v>0</v>
          </cell>
          <cell r="J2814">
            <v>0</v>
          </cell>
          <cell r="K2814">
            <v>0</v>
          </cell>
        </row>
        <row r="2815">
          <cell r="F2815" t="str">
            <v>8.1.1.01.01 - Reconciliação FIxCO</v>
          </cell>
          <cell r="I2815">
            <v>0</v>
          </cell>
          <cell r="J2815">
            <v>0</v>
          </cell>
          <cell r="K2815">
            <v>0</v>
          </cell>
        </row>
        <row r="2816">
          <cell r="G2816" t="str">
            <v>8010100010 Reconciliação FIxCO</v>
          </cell>
          <cell r="I2816">
            <v>0</v>
          </cell>
          <cell r="J2816">
            <v>0</v>
          </cell>
          <cell r="K2816">
            <v>0</v>
          </cell>
        </row>
        <row r="2817">
          <cell r="G2817" t="str">
            <v>8010101010 Reconciliação FIxCO</v>
          </cell>
          <cell r="I2817">
            <v>0</v>
          </cell>
          <cell r="J2817">
            <v>0</v>
          </cell>
          <cell r="K2817">
            <v>0</v>
          </cell>
        </row>
        <row r="2818">
          <cell r="I2818">
            <v>0</v>
          </cell>
          <cell r="J2818">
            <v>0</v>
          </cell>
          <cell r="K2818">
            <v>0</v>
          </cell>
        </row>
        <row r="2819">
          <cell r="I2819">
            <v>0</v>
          </cell>
          <cell r="J2819">
            <v>0</v>
          </cell>
          <cell r="K2819">
            <v>0</v>
          </cell>
        </row>
        <row r="2820">
          <cell r="C2820" t="str">
            <v>9.1.1 - CARGAS</v>
          </cell>
          <cell r="I2820">
            <v>0</v>
          </cell>
          <cell r="J2820">
            <v>0</v>
          </cell>
          <cell r="K2820">
            <v>0</v>
          </cell>
        </row>
        <row r="2821">
          <cell r="D2821" t="str">
            <v>9.1.1.01 - Carga Inicial</v>
          </cell>
          <cell r="I2821">
            <v>0</v>
          </cell>
          <cell r="J2821">
            <v>0</v>
          </cell>
          <cell r="K2821">
            <v>0</v>
          </cell>
        </row>
        <row r="2822">
          <cell r="F2822" t="str">
            <v>9.1.1.01.01 - Carga Inicial</v>
          </cell>
          <cell r="I2822">
            <v>0</v>
          </cell>
          <cell r="J2822">
            <v>0</v>
          </cell>
          <cell r="K2822">
            <v>0</v>
          </cell>
        </row>
        <row r="2823">
          <cell r="G2823" t="str">
            <v>9.1.1.01.01.01 - Carga Inicial</v>
          </cell>
          <cell r="I2823">
            <v>0</v>
          </cell>
          <cell r="J2823">
            <v>0</v>
          </cell>
          <cell r="K2823">
            <v>0</v>
          </cell>
        </row>
        <row r="2824">
          <cell r="H2824" t="str">
            <v>9110101010 Carga Saldos Patrimoniais</v>
          </cell>
          <cell r="I2824">
            <v>0</v>
          </cell>
          <cell r="J2824">
            <v>0</v>
          </cell>
          <cell r="K2824">
            <v>0</v>
          </cell>
        </row>
        <row r="2825">
          <cell r="H2825" t="str">
            <v>9110101020 Carga Inicial Frete</v>
          </cell>
          <cell r="I2825">
            <v>0</v>
          </cell>
          <cell r="J2825">
            <v>0</v>
          </cell>
          <cell r="K2825">
            <v>0</v>
          </cell>
        </row>
        <row r="2826">
          <cell r="H2826" t="str">
            <v>9110101030 Carga Inicial Folha</v>
          </cell>
          <cell r="I2826">
            <v>0</v>
          </cell>
          <cell r="J2826">
            <v>0</v>
          </cell>
          <cell r="K2826">
            <v>0</v>
          </cell>
        </row>
        <row r="2827">
          <cell r="I2827">
            <v>0</v>
          </cell>
          <cell r="J2827">
            <v>0</v>
          </cell>
          <cell r="K2827">
            <v>0</v>
          </cell>
        </row>
      </sheetData>
      <sheetData sheetId="27" refreshError="1">
        <row r="3">
          <cell r="A3">
            <v>1</v>
          </cell>
          <cell r="B3" t="str">
            <v>ATIVO</v>
          </cell>
          <cell r="G3">
            <v>1738084.9</v>
          </cell>
          <cell r="H3">
            <v>1678126.4</v>
          </cell>
        </row>
        <row r="4">
          <cell r="A4" t="str">
            <v>1.01</v>
          </cell>
          <cell r="C4" t="str">
            <v>CIRCULANTE</v>
          </cell>
          <cell r="G4">
            <v>396991.3</v>
          </cell>
          <cell r="H4">
            <v>344402.8</v>
          </cell>
        </row>
        <row r="5">
          <cell r="A5" t="str">
            <v>1.01.01</v>
          </cell>
          <cell r="D5" t="str">
            <v>CAIXA E EQUIVALENTE DE CAIXA</v>
          </cell>
          <cell r="G5">
            <v>171080.9</v>
          </cell>
          <cell r="H5">
            <v>111377.8</v>
          </cell>
        </row>
        <row r="6">
          <cell r="E6" t="str">
            <v>Recursos em caixa e contas correntes bancária</v>
          </cell>
          <cell r="G6">
            <v>2208.6999999999998</v>
          </cell>
          <cell r="H6">
            <v>390.7</v>
          </cell>
        </row>
        <row r="7">
          <cell r="F7" t="str">
            <v>1110102020 Banco Bradesco (Realizado)</v>
          </cell>
          <cell r="G7">
            <v>0</v>
          </cell>
          <cell r="H7">
            <v>0</v>
          </cell>
        </row>
        <row r="8">
          <cell r="F8" t="str">
            <v>1110102030 Banco Itau (Realizado)</v>
          </cell>
          <cell r="G8">
            <v>589.4</v>
          </cell>
          <cell r="H8">
            <v>156.19999999999999</v>
          </cell>
        </row>
        <row r="9">
          <cell r="F9" t="str">
            <v>1110102031 Banco Itau (Transitorias - Entradas)</v>
          </cell>
          <cell r="G9">
            <v>-3.3</v>
          </cell>
          <cell r="H9">
            <v>0</v>
          </cell>
        </row>
        <row r="10">
          <cell r="F10" t="str">
            <v>1110102040 Banco Santander (Realizado)</v>
          </cell>
          <cell r="G10">
            <v>144.80000000000001</v>
          </cell>
          <cell r="H10">
            <v>119.3</v>
          </cell>
        </row>
        <row r="11">
          <cell r="F11" t="str">
            <v>1110102050 Caixa Economica Federal (Realizado)</v>
          </cell>
          <cell r="G11">
            <v>0</v>
          </cell>
          <cell r="H11">
            <v>0</v>
          </cell>
        </row>
        <row r="12">
          <cell r="F12" t="str">
            <v>1110102070 Banco Safra (Realizado)</v>
          </cell>
          <cell r="G12">
            <v>0</v>
          </cell>
          <cell r="H12">
            <v>0</v>
          </cell>
        </row>
        <row r="13">
          <cell r="F13" t="str">
            <v>1110102072 Banco Safra (Transitorias - Saidas)</v>
          </cell>
          <cell r="G13">
            <v>0</v>
          </cell>
          <cell r="H13">
            <v>0</v>
          </cell>
        </row>
        <row r="14">
          <cell r="F14" t="str">
            <v>1110102270 Banco Safra (Realizado)</v>
          </cell>
          <cell r="G14">
            <v>1</v>
          </cell>
          <cell r="H14">
            <v>2.1</v>
          </cell>
        </row>
        <row r="15">
          <cell r="F15" t="str">
            <v>1110102080 Banco Votorantin (Realizado)</v>
          </cell>
          <cell r="G15">
            <v>1.2</v>
          </cell>
          <cell r="H15">
            <v>0.3</v>
          </cell>
        </row>
        <row r="16">
          <cell r="F16" t="str">
            <v>1110102090 Banco Paulista (Realizado)</v>
          </cell>
          <cell r="G16">
            <v>0</v>
          </cell>
          <cell r="H16">
            <v>0</v>
          </cell>
        </row>
        <row r="17">
          <cell r="F17" t="str">
            <v>1110102100 Banco Pactual S.A.(Realizado)</v>
          </cell>
          <cell r="G17">
            <v>1.8</v>
          </cell>
          <cell r="H17">
            <v>1.8</v>
          </cell>
        </row>
        <row r="18">
          <cell r="F18" t="str">
            <v>1110102110 Banco Panamericano S.A (Realizado)</v>
          </cell>
          <cell r="G18">
            <v>0</v>
          </cell>
          <cell r="H18">
            <v>0</v>
          </cell>
        </row>
        <row r="19">
          <cell r="F19" t="str">
            <v>1110102120 Banco Alfa de Investimentos S.A. (Realizado)</v>
          </cell>
          <cell r="G19">
            <v>5.8</v>
          </cell>
          <cell r="H19">
            <v>5.8</v>
          </cell>
        </row>
        <row r="20">
          <cell r="F20" t="str">
            <v>1110102150 Banco Espírito Santo S.A. - BES (Realizado)</v>
          </cell>
          <cell r="G20">
            <v>0</v>
          </cell>
          <cell r="H20">
            <v>0</v>
          </cell>
        </row>
        <row r="21">
          <cell r="F21" t="str">
            <v>1110102210 Banco do Brasil  (Realizado)</v>
          </cell>
          <cell r="G21">
            <v>135.5</v>
          </cell>
          <cell r="H21">
            <v>93.3</v>
          </cell>
        </row>
        <row r="22">
          <cell r="F22" t="str">
            <v>1110102220 Banco Bradesco (Realizado)</v>
          </cell>
          <cell r="G22">
            <v>0.7</v>
          </cell>
          <cell r="H22">
            <v>0.8</v>
          </cell>
        </row>
        <row r="23">
          <cell r="F23" t="str">
            <v>1110102230 Banco Itau (Realizado)</v>
          </cell>
          <cell r="G23">
            <v>0</v>
          </cell>
          <cell r="H23">
            <v>0</v>
          </cell>
        </row>
        <row r="24">
          <cell r="F24" t="str">
            <v>1110102240 Banco Santander (Realizado)</v>
          </cell>
          <cell r="G24">
            <v>0.4</v>
          </cell>
          <cell r="H24">
            <v>8.1999999999999993</v>
          </cell>
        </row>
        <row r="25">
          <cell r="F25" t="str">
            <v>1110102250 Caixa Economica Federal (Realizado)</v>
          </cell>
          <cell r="G25">
            <v>0.6</v>
          </cell>
          <cell r="H25">
            <v>0.5</v>
          </cell>
        </row>
        <row r="26">
          <cell r="F26" t="str">
            <v>1110102270 Banco Safra (Transitorias - Saidas)</v>
          </cell>
          <cell r="G26">
            <v>0</v>
          </cell>
          <cell r="H26">
            <v>0</v>
          </cell>
        </row>
        <row r="27">
          <cell r="F27" t="str">
            <v>1110102272 Banco Safra (Transitorias - Saidas)</v>
          </cell>
          <cell r="G27">
            <v>0</v>
          </cell>
          <cell r="H27">
            <v>0</v>
          </cell>
        </row>
        <row r="28">
          <cell r="F28" t="str">
            <v>1110102290 Banco Paulista (Realizado)</v>
          </cell>
          <cell r="G28">
            <v>0.6</v>
          </cell>
          <cell r="H28">
            <v>1.1000000000000001</v>
          </cell>
        </row>
        <row r="29">
          <cell r="F29" t="str">
            <v>1110102320 Banco Bradesco (Realizado)</v>
          </cell>
          <cell r="G29">
            <v>1329.4</v>
          </cell>
          <cell r="H29">
            <v>0.5</v>
          </cell>
        </row>
        <row r="30">
          <cell r="F30" t="str">
            <v>1110102350 Caixa Economica Federal (Realizado)</v>
          </cell>
          <cell r="G30">
            <v>0.8</v>
          </cell>
          <cell r="H30">
            <v>0.7</v>
          </cell>
        </row>
        <row r="31">
          <cell r="E31" t="str">
            <v>Aplicações Financeiras (CDBs)</v>
          </cell>
          <cell r="G31">
            <v>168872.2</v>
          </cell>
          <cell r="H31">
            <v>110987.1</v>
          </cell>
        </row>
        <row r="32">
          <cell r="F32" t="str">
            <v>1110105010 Aplicaçoes Financeiras (Realizado)</v>
          </cell>
          <cell r="G32">
            <v>168872.2</v>
          </cell>
          <cell r="H32">
            <v>110987.1</v>
          </cell>
        </row>
        <row r="33">
          <cell r="A33" t="str">
            <v>1.01.02</v>
          </cell>
          <cell r="D33" t="str">
            <v>APLICAÇÕES FINANCEIRAS</v>
          </cell>
          <cell r="G33">
            <v>95463.8</v>
          </cell>
          <cell r="H33">
            <v>92989.8</v>
          </cell>
        </row>
        <row r="34">
          <cell r="A34" t="str">
            <v>1.01.02.01.01</v>
          </cell>
          <cell r="E34" t="str">
            <v>Mantidos para negociação</v>
          </cell>
          <cell r="G34">
            <v>95463.8</v>
          </cell>
          <cell r="H34">
            <v>92989.8</v>
          </cell>
        </row>
        <row r="35">
          <cell r="F35" t="str">
            <v>1110201010 Tits do Merc de Cap Inter Mant p/ Neg (Realizado)</v>
          </cell>
          <cell r="G35">
            <v>95463.8</v>
          </cell>
          <cell r="H35">
            <v>92989.8</v>
          </cell>
        </row>
        <row r="36">
          <cell r="A36" t="str">
            <v>1.01.02.02.01</v>
          </cell>
          <cell r="E36" t="str">
            <v>Mantidos até o vencimento</v>
          </cell>
          <cell r="G36">
            <v>0</v>
          </cell>
          <cell r="H36">
            <v>0</v>
          </cell>
        </row>
        <row r="37">
          <cell r="F37" t="str">
            <v>1110201020 Tits do Merc de Cap Inter Mant ate Ven (Realizado)</v>
          </cell>
          <cell r="G37">
            <v>0</v>
          </cell>
          <cell r="H37">
            <v>0</v>
          </cell>
        </row>
        <row r="38">
          <cell r="A38" t="str">
            <v>1.01.03.01</v>
          </cell>
          <cell r="D38" t="str">
            <v>DUPLICATAS A RECEBER DE CLIENTES</v>
          </cell>
          <cell r="G38">
            <v>85399.2</v>
          </cell>
          <cell r="H38">
            <v>82512.7</v>
          </cell>
        </row>
        <row r="39">
          <cell r="E39" t="str">
            <v>Clientes nacionais</v>
          </cell>
          <cell r="G39">
            <v>99216.5</v>
          </cell>
          <cell r="H39">
            <v>96468.7</v>
          </cell>
        </row>
        <row r="40">
          <cell r="F40" t="str">
            <v>1110501010 Duplicatas a Receber no MI  (Realizado)</v>
          </cell>
          <cell r="G40">
            <v>100479</v>
          </cell>
          <cell r="H40">
            <v>97670.399999999994</v>
          </cell>
        </row>
        <row r="41">
          <cell r="F41" t="str">
            <v>1110501011 Duplicatas a Receber no MI (Parcela de CP / LP)</v>
          </cell>
          <cell r="G41">
            <v>-1162.5999999999999</v>
          </cell>
          <cell r="H41">
            <v>-1067.4000000000001</v>
          </cell>
        </row>
        <row r="42">
          <cell r="F42" t="str">
            <v>1110501014 (-)Rec Financeira a apropriar s/Dups a Rec no MI</v>
          </cell>
          <cell r="G42">
            <v>-99.9</v>
          </cell>
          <cell r="H42">
            <v>-134.30000000000001</v>
          </cell>
        </row>
        <row r="43">
          <cell r="E43" t="str">
            <v>Clientes Internacionais</v>
          </cell>
          <cell r="G43">
            <v>0</v>
          </cell>
          <cell r="H43">
            <v>0</v>
          </cell>
        </row>
        <row r="44">
          <cell r="F44" t="str">
            <v>1110502010 Duplicatas a Receber no ME  (Realizado)</v>
          </cell>
          <cell r="G44">
            <v>0</v>
          </cell>
          <cell r="H44">
            <v>0</v>
          </cell>
        </row>
        <row r="45">
          <cell r="E45" t="str">
            <v>PCLD</v>
          </cell>
          <cell r="G45">
            <v>-13817.3</v>
          </cell>
          <cell r="H45">
            <v>-13956</v>
          </cell>
        </row>
        <row r="46">
          <cell r="F46" t="str">
            <v>1110501900 (-) Provisões para Créditos de Liquidação Duvidosa</v>
          </cell>
          <cell r="G46">
            <v>-13817.3</v>
          </cell>
          <cell r="H46">
            <v>-13956</v>
          </cell>
        </row>
        <row r="47">
          <cell r="A47" t="str">
            <v>1.01.06.01</v>
          </cell>
          <cell r="D47" t="str">
            <v>IMPOSTOS A RECUPERAR</v>
          </cell>
          <cell r="G47">
            <v>12768.2</v>
          </cell>
          <cell r="H47">
            <v>14908.7</v>
          </cell>
        </row>
        <row r="48">
          <cell r="E48" t="str">
            <v>Impostos de renda e CSLL</v>
          </cell>
          <cell r="G48">
            <v>479.5</v>
          </cell>
          <cell r="H48">
            <v>3379.1</v>
          </cell>
        </row>
        <row r="49">
          <cell r="F49" t="str">
            <v>1111001010 Antecipaçoes de CSLL (Realizado)</v>
          </cell>
          <cell r="G49">
            <v>0</v>
          </cell>
          <cell r="H49">
            <v>0</v>
          </cell>
        </row>
        <row r="50">
          <cell r="F50" t="str">
            <v>1111001020 Antecipaçoes de IRPJ (Realizado)</v>
          </cell>
          <cell r="G50">
            <v>0</v>
          </cell>
          <cell r="H50">
            <v>0</v>
          </cell>
        </row>
        <row r="51">
          <cell r="F51" t="str">
            <v>1111505990 Cred Fisc CSLL- Sdo Negativo Per Anterior (Realiz)</v>
          </cell>
          <cell r="G51">
            <v>0</v>
          </cell>
          <cell r="H51">
            <v>0</v>
          </cell>
        </row>
        <row r="52">
          <cell r="F52" t="str">
            <v>1111506020 IRRF sobre Aplicaçoes Financeiras (Realizado)</v>
          </cell>
          <cell r="G52">
            <v>440.1</v>
          </cell>
          <cell r="H52">
            <v>3339.7</v>
          </cell>
        </row>
        <row r="53">
          <cell r="F53" t="str">
            <v>1111506030 IRRF sobre Depositos Judiciais (Realizado)</v>
          </cell>
          <cell r="G53">
            <v>0</v>
          </cell>
          <cell r="H53">
            <v>0</v>
          </cell>
        </row>
        <row r="54">
          <cell r="F54" t="str">
            <v>1111506040 IRRF sobre Juros sobre Capital Proprio (Realizado)</v>
          </cell>
          <cell r="G54">
            <v>0</v>
          </cell>
          <cell r="H54">
            <v>0</v>
          </cell>
        </row>
        <row r="55">
          <cell r="F55" t="str">
            <v>1111506990 Cred Fisc IRPJ Sdo Negativo Per Anterior (Realiz)</v>
          </cell>
          <cell r="G55">
            <v>39.4</v>
          </cell>
          <cell r="H55">
            <v>39.4</v>
          </cell>
        </row>
        <row r="56">
          <cell r="F56" t="str">
            <v>2112001014 Prov p/ CSLL s/Alíquota Efetiva</v>
          </cell>
          <cell r="G56">
            <v>0</v>
          </cell>
          <cell r="H56">
            <v>0</v>
          </cell>
        </row>
        <row r="57">
          <cell r="F57" t="str">
            <v>2112001010 Prov p/ CSLL s/Resultado Operacional (Realizado)</v>
          </cell>
          <cell r="G57">
            <v>0</v>
          </cell>
          <cell r="H57">
            <v>0</v>
          </cell>
        </row>
        <row r="58">
          <cell r="F58" t="str">
            <v>2112001020 Provisao p/ CSLL Diferida (Realizado)</v>
          </cell>
          <cell r="G58">
            <v>0</v>
          </cell>
          <cell r="H58">
            <v>0</v>
          </cell>
        </row>
        <row r="59">
          <cell r="F59" t="str">
            <v>2112001030 Provisao p/ CSLL Diferida s/Depreciaçao Fiscal (R)</v>
          </cell>
          <cell r="G59">
            <v>0</v>
          </cell>
          <cell r="H59">
            <v>0</v>
          </cell>
        </row>
        <row r="60">
          <cell r="F60" t="str">
            <v>2112001040 Contribuição Social s/Compensação Base Negativa (R</v>
          </cell>
          <cell r="G60">
            <v>0</v>
          </cell>
          <cell r="H60">
            <v>0</v>
          </cell>
        </row>
        <row r="61">
          <cell r="F61" t="str">
            <v>2112002010 Prov p/  IR s/Resultando Operacional (Realizado)</v>
          </cell>
          <cell r="G61">
            <v>0</v>
          </cell>
          <cell r="H61">
            <v>0</v>
          </cell>
        </row>
        <row r="62">
          <cell r="F62" t="str">
            <v>2112002014 Prov p/  IR s/Alíquota Efetiva</v>
          </cell>
          <cell r="G62">
            <v>0</v>
          </cell>
          <cell r="H62">
            <v>0</v>
          </cell>
        </row>
        <row r="63">
          <cell r="F63" t="str">
            <v>2112002020 Provisao para IR Diferida (Realizado)</v>
          </cell>
          <cell r="G63">
            <v>0</v>
          </cell>
          <cell r="H63">
            <v>0</v>
          </cell>
        </row>
        <row r="64">
          <cell r="F64" t="str">
            <v>2112002030 Provisao p/ IR Diferida s/Depreciaçao Fiscal (R)</v>
          </cell>
          <cell r="G64">
            <v>0</v>
          </cell>
          <cell r="H64">
            <v>0</v>
          </cell>
        </row>
        <row r="65">
          <cell r="F65" t="str">
            <v>2112002040 Imposto de Renda s/ Compensação Prejuízo Fiscal (R</v>
          </cell>
          <cell r="G65">
            <v>0</v>
          </cell>
          <cell r="H65">
            <v>0</v>
          </cell>
        </row>
        <row r="66">
          <cell r="E66" t="str">
            <v>ICMS a recuperar</v>
          </cell>
          <cell r="G66">
            <v>2024.2</v>
          </cell>
          <cell r="H66">
            <v>1945.9</v>
          </cell>
        </row>
        <row r="67">
          <cell r="F67" t="str">
            <v>1111507010 ICMS a Recup sobre Ativo Permanente (Realizado)</v>
          </cell>
          <cell r="G67">
            <v>2345.9</v>
          </cell>
          <cell r="H67">
            <v>2212.6</v>
          </cell>
        </row>
        <row r="68">
          <cell r="F68" t="str">
            <v>1111507014 (-)AVP sobre ICMS a Recup sobre Ativo Permanente</v>
          </cell>
          <cell r="G68">
            <v>-321.7</v>
          </cell>
          <cell r="H68">
            <v>-266.7</v>
          </cell>
        </row>
        <row r="69">
          <cell r="F69" t="str">
            <v>1111507050 ICMS a Recuperar s/Aquisição Entrega Futura (R)</v>
          </cell>
          <cell r="G69">
            <v>0</v>
          </cell>
          <cell r="H69">
            <v>0</v>
          </cell>
        </row>
        <row r="70">
          <cell r="E70" t="str">
            <v>IRPJ e CSLL</v>
          </cell>
          <cell r="G70">
            <v>0</v>
          </cell>
          <cell r="H70">
            <v>0</v>
          </cell>
        </row>
        <row r="71">
          <cell r="F71" t="str">
            <v>1111001010 Antecipaçoes de CSLL (Realizado)</v>
          </cell>
          <cell r="G71">
            <v>0</v>
          </cell>
          <cell r="H71">
            <v>0</v>
          </cell>
        </row>
        <row r="72">
          <cell r="F72" t="str">
            <v>1111001020 Antecipaçoes de IRPJ (Realizado)</v>
          </cell>
          <cell r="G72">
            <v>0</v>
          </cell>
          <cell r="H72">
            <v>0</v>
          </cell>
        </row>
        <row r="73">
          <cell r="F73" t="str">
            <v>2112001014 Prov p/ CSLL s/Alíquota Efetiva</v>
          </cell>
          <cell r="G73">
            <v>0</v>
          </cell>
          <cell r="H73">
            <v>0</v>
          </cell>
        </row>
        <row r="74">
          <cell r="F74" t="str">
            <v>2112001010 Prov p/ CSLL s/Resultado Operacional (Realizado)</v>
          </cell>
          <cell r="G74">
            <v>0</v>
          </cell>
          <cell r="H74">
            <v>0</v>
          </cell>
        </row>
        <row r="75">
          <cell r="F75" t="str">
            <v>2112001020 Provisao p/ CSLL Diferida (Realizado)</v>
          </cell>
          <cell r="G75">
            <v>0</v>
          </cell>
          <cell r="H75">
            <v>0</v>
          </cell>
        </row>
        <row r="76">
          <cell r="F76" t="str">
            <v>2112001030 Provisao p/ CSLL Diferida s/Depreciaçao Fiscal (R)</v>
          </cell>
          <cell r="G76">
            <v>0</v>
          </cell>
          <cell r="H76">
            <v>0</v>
          </cell>
        </row>
        <row r="77">
          <cell r="F77" t="str">
            <v>2112001040 Contribuição Social s/Compensação Base Negativa (R</v>
          </cell>
          <cell r="G77">
            <v>0</v>
          </cell>
          <cell r="H77">
            <v>0</v>
          </cell>
        </row>
        <row r="78">
          <cell r="F78" t="str">
            <v>2112002010 Prov p/  IR s/Resultando Operacional (Realizado)</v>
          </cell>
          <cell r="G78">
            <v>0</v>
          </cell>
          <cell r="H78">
            <v>0</v>
          </cell>
        </row>
        <row r="79">
          <cell r="F79" t="str">
            <v>2112002014 Prov p/  IR s/Alíquota Efetiva</v>
          </cell>
          <cell r="G79">
            <v>0</v>
          </cell>
          <cell r="H79">
            <v>0</v>
          </cell>
        </row>
        <row r="80">
          <cell r="F80" t="str">
            <v>2112002020 Provisao para IR Diferida (Realizado)</v>
          </cell>
          <cell r="G80">
            <v>0</v>
          </cell>
          <cell r="H80">
            <v>0</v>
          </cell>
        </row>
        <row r="81">
          <cell r="F81" t="str">
            <v>2112002030 Provisao p/ IR Diferida s/Depreciaçao Fiscal (R)</v>
          </cell>
          <cell r="G81">
            <v>0</v>
          </cell>
          <cell r="H81">
            <v>0</v>
          </cell>
        </row>
        <row r="82">
          <cell r="F82" t="str">
            <v>2112002040 Imposto de Renda s/ Compensação Prejuízo Fiscal (R</v>
          </cell>
          <cell r="G82">
            <v>0</v>
          </cell>
          <cell r="H82">
            <v>0</v>
          </cell>
        </row>
        <row r="83">
          <cell r="E83" t="str">
            <v>INSS a compensar</v>
          </cell>
          <cell r="G83">
            <v>5441</v>
          </cell>
          <cell r="H83">
            <v>4519.1000000000004</v>
          </cell>
        </row>
        <row r="84">
          <cell r="F84" t="str">
            <v>1111599070 INSS a Compensar  - Decisão Judicial (Realizado)</v>
          </cell>
          <cell r="G84">
            <v>5441</v>
          </cell>
          <cell r="H84">
            <v>4519.1000000000004</v>
          </cell>
        </row>
        <row r="85">
          <cell r="E85" t="str">
            <v>PIS a compensar Lei nº 9.715</v>
          </cell>
          <cell r="G85">
            <v>3129.7</v>
          </cell>
          <cell r="H85">
            <v>3164.5</v>
          </cell>
        </row>
        <row r="86">
          <cell r="F86" t="str">
            <v>1111599000 PIS a Compensar Lei 9715 (Realizado)</v>
          </cell>
          <cell r="G86">
            <v>3129.7</v>
          </cell>
          <cell r="H86">
            <v>3164.5</v>
          </cell>
        </row>
        <row r="87">
          <cell r="E87" t="str">
            <v>Outros</v>
          </cell>
          <cell r="G87">
            <v>1693.9</v>
          </cell>
          <cell r="H87">
            <v>1900.2</v>
          </cell>
        </row>
        <row r="88">
          <cell r="F88" t="str">
            <v>1111599010 Imp Import a Rec-Recolhimento em Dupl (Realiz)</v>
          </cell>
          <cell r="G88">
            <v>232.2</v>
          </cell>
          <cell r="H88">
            <v>232.2</v>
          </cell>
        </row>
        <row r="89">
          <cell r="F89" t="str">
            <v>1111599020 INSS a Rec-Recolhimento em Duplicidade (Realizado)</v>
          </cell>
          <cell r="G89">
            <v>137.30000000000001</v>
          </cell>
          <cell r="H89">
            <v>343.6</v>
          </cell>
        </row>
        <row r="90">
          <cell r="F90" t="str">
            <v>1111599030 Adic Estadual doImposto de Renda a Rec (Realizado)</v>
          </cell>
          <cell r="G90">
            <v>1251.5</v>
          </cell>
          <cell r="H90">
            <v>1251.5</v>
          </cell>
        </row>
        <row r="91">
          <cell r="F91" t="str">
            <v>1111599040 FINSOCIAL 1982/83 (Realizado)</v>
          </cell>
          <cell r="G91">
            <v>67.099999999999994</v>
          </cell>
          <cell r="H91">
            <v>67.099999999999994</v>
          </cell>
        </row>
        <row r="92">
          <cell r="F92" t="str">
            <v>1111599050 IRRF Tercs Ret a Maior (Realizado)</v>
          </cell>
          <cell r="G92">
            <v>0</v>
          </cell>
          <cell r="H92">
            <v>0</v>
          </cell>
        </row>
        <row r="93">
          <cell r="F93" t="str">
            <v>1111599060 PIS/COF/COF Ret a maior (Realizado)</v>
          </cell>
          <cell r="G93">
            <v>0</v>
          </cell>
          <cell r="H93">
            <v>0</v>
          </cell>
        </row>
        <row r="94">
          <cell r="F94" t="str">
            <v>1111599080 ISS a restituir</v>
          </cell>
          <cell r="G94">
            <v>5.7</v>
          </cell>
          <cell r="H94">
            <v>5.7</v>
          </cell>
        </row>
        <row r="95">
          <cell r="F95" t="str">
            <v>1111599100 Recuperação de Impostos Federais - Reintegra</v>
          </cell>
          <cell r="G95">
            <v>0</v>
          </cell>
          <cell r="H95">
            <v>0</v>
          </cell>
        </row>
        <row r="96">
          <cell r="A96" t="str">
            <v>1.01.04</v>
          </cell>
          <cell r="D96" t="str">
            <v>ESTOQUES</v>
          </cell>
          <cell r="G96">
            <v>22898.3</v>
          </cell>
          <cell r="H96">
            <v>33627.5</v>
          </cell>
        </row>
        <row r="97">
          <cell r="E97" t="str">
            <v>Matérias-primas</v>
          </cell>
          <cell r="G97">
            <v>7970</v>
          </cell>
          <cell r="H97">
            <v>14147.6</v>
          </cell>
        </row>
        <row r="98">
          <cell r="F98" t="str">
            <v>1112001010 Estoques de Materias Primas (Realizado)</v>
          </cell>
          <cell r="G98">
            <v>0</v>
          </cell>
          <cell r="H98">
            <v>0</v>
          </cell>
        </row>
        <row r="99">
          <cell r="F99" t="str">
            <v>reclassificação do estoque do SAL INTERNADO</v>
          </cell>
          <cell r="G99">
            <v>7921.4</v>
          </cell>
          <cell r="H99">
            <v>14099</v>
          </cell>
        </row>
        <row r="100">
          <cell r="F100" t="str">
            <v>1112090010 Importaçoes em And de Materias Primas (Realizado)</v>
          </cell>
          <cell r="G100">
            <v>48.7</v>
          </cell>
          <cell r="H100">
            <v>48.7</v>
          </cell>
        </row>
        <row r="101">
          <cell r="E101" t="str">
            <v>Produtos em processo</v>
          </cell>
          <cell r="G101">
            <v>3430.7</v>
          </cell>
          <cell r="H101">
            <v>3735.1</v>
          </cell>
        </row>
        <row r="102">
          <cell r="F102" t="str">
            <v>1112003010 Estoques de Produtos em Elaboraçao (Realizado)</v>
          </cell>
          <cell r="G102">
            <v>11352</v>
          </cell>
          <cell r="H102">
            <v>17834</v>
          </cell>
        </row>
        <row r="103">
          <cell r="F103" t="str">
            <v>reclassificação do estoque do SAL INTERNADO</v>
          </cell>
          <cell r="G103">
            <v>-7921.4</v>
          </cell>
          <cell r="H103">
            <v>-14099</v>
          </cell>
        </row>
        <row r="104">
          <cell r="E104" t="str">
            <v>Produtos Acabados</v>
          </cell>
          <cell r="G104">
            <v>4553.3</v>
          </cell>
          <cell r="H104">
            <v>5744.4</v>
          </cell>
        </row>
        <row r="105">
          <cell r="F105" t="str">
            <v>1112010010 Estoques de Produtos Acabados (Realizado)</v>
          </cell>
          <cell r="G105">
            <v>4520.2</v>
          </cell>
          <cell r="H105">
            <v>5709.2</v>
          </cell>
        </row>
        <row r="106">
          <cell r="F106" t="str">
            <v>1112050010 Estoques de Mercadorias Rev Nacionais (Realizado)</v>
          </cell>
          <cell r="G106">
            <v>32.700000000000003</v>
          </cell>
          <cell r="H106">
            <v>34.1</v>
          </cell>
        </row>
        <row r="107">
          <cell r="F107" t="str">
            <v>1112050020 Estoques de Mercadorias Rev Importadas (Realizado)</v>
          </cell>
          <cell r="G107">
            <v>0.4</v>
          </cell>
          <cell r="H107">
            <v>1.1000000000000001</v>
          </cell>
        </row>
        <row r="108">
          <cell r="E108" t="str">
            <v>Provisão para desvalorização</v>
          </cell>
          <cell r="G108">
            <v>-1971.7</v>
          </cell>
          <cell r="H108">
            <v>-1571.9</v>
          </cell>
        </row>
        <row r="109">
          <cell r="F109" t="str">
            <v>1112010014 (-)Prov p/ Aj. do Est ao Vlr de Merc - Prods Acab</v>
          </cell>
          <cell r="G109">
            <v>-1971.7</v>
          </cell>
          <cell r="H109">
            <v>-1571.9</v>
          </cell>
        </row>
        <row r="110">
          <cell r="E110" t="str">
            <v>Materiais auxiliares e embalagens</v>
          </cell>
          <cell r="G110">
            <v>1973.4</v>
          </cell>
          <cell r="H110">
            <v>3038</v>
          </cell>
        </row>
        <row r="111">
          <cell r="F111" t="str">
            <v>1112005010 Estoques de Insumos (Mat-Aux) (Realiz)</v>
          </cell>
          <cell r="G111">
            <v>1825.1</v>
          </cell>
          <cell r="H111">
            <v>2769.7</v>
          </cell>
        </row>
        <row r="112">
          <cell r="F112" t="str">
            <v>1112008010 Estoques de Materiais de Embalagens (Realizado)</v>
          </cell>
          <cell r="G112">
            <v>148.19999999999999</v>
          </cell>
          <cell r="H112">
            <v>268.3</v>
          </cell>
        </row>
        <row r="113">
          <cell r="E113" t="str">
            <v>Materiais de manutenção e outros</v>
          </cell>
          <cell r="G113">
            <v>5812.8</v>
          </cell>
          <cell r="H113">
            <v>5837.2</v>
          </cell>
        </row>
        <row r="114">
          <cell r="F114" t="str">
            <v>1112020020 Estoque Almoxarif CP-Manutençao Eletrica (Realiz)</v>
          </cell>
          <cell r="G114">
            <v>1821.8</v>
          </cell>
          <cell r="H114">
            <v>1814.9</v>
          </cell>
        </row>
        <row r="115">
          <cell r="F115" t="str">
            <v>1112020030 Estoque Almoxarif CP-Manutençao Mecanica (Realiz)</v>
          </cell>
          <cell r="G115">
            <v>5634</v>
          </cell>
          <cell r="H115">
            <v>5831.8</v>
          </cell>
        </row>
        <row r="116">
          <cell r="F116" t="str">
            <v>1112020050 Estoq Alm CP-Manut Calderaria e Tubulaçao (Realiz)</v>
          </cell>
          <cell r="G116">
            <v>4520.5</v>
          </cell>
          <cell r="H116">
            <v>4651</v>
          </cell>
        </row>
        <row r="117">
          <cell r="F117" t="str">
            <v>1112020060 Estoque Alm CP-Manutençao Instrumentaçao (Realiz)</v>
          </cell>
          <cell r="G117">
            <v>4553.6000000000004</v>
          </cell>
          <cell r="H117">
            <v>4514.3</v>
          </cell>
        </row>
        <row r="118">
          <cell r="F118" t="str">
            <v>1112020070 Estoque Alm CP-Manutençao Celula HG (Realizado)</v>
          </cell>
          <cell r="G118">
            <v>540.6</v>
          </cell>
          <cell r="H118">
            <v>640.4</v>
          </cell>
        </row>
        <row r="119">
          <cell r="F119" t="str">
            <v>1112020080 Estoque Almo CP-Manut Celula Diafragma (Realizado)</v>
          </cell>
          <cell r="G119">
            <v>923.2</v>
          </cell>
          <cell r="H119">
            <v>1072.3</v>
          </cell>
        </row>
        <row r="120">
          <cell r="F120" t="str">
            <v>1112020090 Estoque Alm CP-Manutençao Celula Membrana (Realiz)</v>
          </cell>
          <cell r="G120">
            <v>12.6</v>
          </cell>
          <cell r="H120">
            <v>12.5</v>
          </cell>
        </row>
        <row r="121">
          <cell r="F121" t="str">
            <v>1112020100 Estoque Alm CP-Manut.de Cilindros e Carretas R</v>
          </cell>
          <cell r="G121">
            <v>160.9</v>
          </cell>
          <cell r="H121">
            <v>134.1</v>
          </cell>
        </row>
        <row r="122">
          <cell r="F122" t="str">
            <v>1112020490 Estoque Almo CP-Manutençao em Geral (Realizado)</v>
          </cell>
          <cell r="G122">
            <v>0.8</v>
          </cell>
          <cell r="H122">
            <v>1.3</v>
          </cell>
        </row>
        <row r="123">
          <cell r="F123" t="str">
            <v>1112020500 Estoque Alm CP-Almoxarifado de Uso Geral (Realiz)</v>
          </cell>
          <cell r="G123">
            <v>298.10000000000002</v>
          </cell>
          <cell r="H123">
            <v>317</v>
          </cell>
        </row>
        <row r="124">
          <cell r="F124" t="str">
            <v>1112020991 Estoque Almoxarifado Transf. Parcela Realizada L.P</v>
          </cell>
          <cell r="G124">
            <v>-12756.7</v>
          </cell>
          <cell r="H124">
            <v>-13255.7</v>
          </cell>
        </row>
        <row r="125">
          <cell r="F125" t="str">
            <v>1112080200 Etq de Outros Mats-Almox em Poder de Ters (Realiz)</v>
          </cell>
          <cell r="G125">
            <v>103.3</v>
          </cell>
          <cell r="H125">
            <v>103.3</v>
          </cell>
        </row>
        <row r="126">
          <cell r="E126" t="str">
            <v>Adiantamento a Fornecedores de MP</v>
          </cell>
          <cell r="G126">
            <v>1129.8</v>
          </cell>
          <cell r="H126">
            <v>2697.1</v>
          </cell>
        </row>
        <row r="127">
          <cell r="F127" t="str">
            <v>Reclassificação do adto de MP Sal (SM Operadora+Navio Sunny)</v>
          </cell>
          <cell r="G127">
            <v>1129.8</v>
          </cell>
          <cell r="H127">
            <v>2697.1</v>
          </cell>
        </row>
        <row r="128">
          <cell r="A128" t="str">
            <v>1.01.07</v>
          </cell>
          <cell r="D128" t="str">
            <v>DESPESAS DE EXERCICIO SEGUINTE</v>
          </cell>
          <cell r="G128">
            <v>3227.2</v>
          </cell>
          <cell r="H128">
            <v>2542.5</v>
          </cell>
        </row>
        <row r="129">
          <cell r="E129" t="str">
            <v>Pagamentos Antecipados</v>
          </cell>
          <cell r="G129">
            <v>3227.2</v>
          </cell>
          <cell r="H129">
            <v>2542.5</v>
          </cell>
        </row>
        <row r="130">
          <cell r="F130" t="str">
            <v>1119001010 Pagamentos Antecipados-Seguros (Realizado)</v>
          </cell>
          <cell r="G130">
            <v>1262.5999999999999</v>
          </cell>
          <cell r="H130">
            <v>609.29999999999995</v>
          </cell>
        </row>
        <row r="131">
          <cell r="F131" t="str">
            <v>1119001030 Pagamentos Antecip-Serv Tecnicos Prof (Realizado)</v>
          </cell>
          <cell r="G131">
            <v>143.9</v>
          </cell>
          <cell r="H131">
            <v>519.79999999999995</v>
          </cell>
        </row>
        <row r="132">
          <cell r="F132" t="str">
            <v>1119001040 Pagamentos Antecipados-Impostos (Realizado)</v>
          </cell>
          <cell r="G132">
            <v>1713.1</v>
          </cell>
          <cell r="H132">
            <v>1142.0999999999999</v>
          </cell>
        </row>
        <row r="133">
          <cell r="F133" t="str">
            <v>1119001050 Pagtos Antecip-Contribuiçoes Associativas (Realiz)</v>
          </cell>
          <cell r="G133">
            <v>0</v>
          </cell>
          <cell r="H133">
            <v>0</v>
          </cell>
        </row>
        <row r="134">
          <cell r="F134" t="str">
            <v>1119001060 Pagtos Antecip-Despesas Financeiras (Realizado)</v>
          </cell>
          <cell r="G134">
            <v>0</v>
          </cell>
          <cell r="H134">
            <v>0</v>
          </cell>
        </row>
        <row r="135">
          <cell r="F135" t="str">
            <v>1119001900 Pagtos Antecip-Outras Desps/Custos(Realizado)</v>
          </cell>
          <cell r="G135">
            <v>107.7</v>
          </cell>
          <cell r="H135">
            <v>271.3</v>
          </cell>
        </row>
        <row r="136">
          <cell r="A136" t="str">
            <v>1.01.08.03</v>
          </cell>
          <cell r="D136" t="str">
            <v>OUTROS ATIVOS CIRCULANTE</v>
          </cell>
          <cell r="G136">
            <v>6153.7</v>
          </cell>
          <cell r="H136">
            <v>6443.8</v>
          </cell>
        </row>
        <row r="137">
          <cell r="E137" t="str">
            <v>Adiantamento a Fornecedores</v>
          </cell>
          <cell r="G137">
            <v>343.3</v>
          </cell>
          <cell r="H137">
            <v>347.9</v>
          </cell>
        </row>
        <row r="138">
          <cell r="F138" t="str">
            <v>1118001010 Adiantamentos a Fornec de Serviços (Realizado)</v>
          </cell>
          <cell r="G138">
            <v>141.80000000000001</v>
          </cell>
          <cell r="H138">
            <v>110</v>
          </cell>
        </row>
        <row r="139">
          <cell r="F139" t="str">
            <v>1118001020 Adiantamentos a Fornecedores de MP (Realizado)</v>
          </cell>
          <cell r="G139">
            <v>934.8</v>
          </cell>
          <cell r="H139">
            <v>2697.1</v>
          </cell>
        </row>
        <row r="140">
          <cell r="F140" t="str">
            <v>Reclassificação do adto de MP Sal (SM Operadora+Navio Sunny)</v>
          </cell>
          <cell r="G140">
            <v>-1129.8</v>
          </cell>
          <cell r="H140">
            <v>-2697.1</v>
          </cell>
        </row>
        <row r="141">
          <cell r="F141" t="str">
            <v>1118001030 Adiantamentos a Fornecedores de Energ (Realizado)</v>
          </cell>
          <cell r="G141">
            <v>0</v>
          </cell>
          <cell r="H141">
            <v>0</v>
          </cell>
        </row>
        <row r="142">
          <cell r="F142" t="str">
            <v>1118001040 Adiant  Fornecs de Materias de Consumo (Realizado)</v>
          </cell>
          <cell r="G142">
            <v>139.4</v>
          </cell>
          <cell r="H142">
            <v>142.1</v>
          </cell>
        </row>
        <row r="143">
          <cell r="F143" t="str">
            <v>1118001050 Adiant Fornecs de Funcionarios (Realizado)</v>
          </cell>
          <cell r="G143">
            <v>29</v>
          </cell>
          <cell r="H143">
            <v>2.5</v>
          </cell>
        </row>
        <row r="144">
          <cell r="F144" t="str">
            <v>1118001060 Adiantamentos a Fornecedores de Fretes</v>
          </cell>
          <cell r="G144">
            <v>3.5</v>
          </cell>
          <cell r="H144">
            <v>0</v>
          </cell>
        </row>
        <row r="145">
          <cell r="F145" t="str">
            <v>1118001070 Adiantamentos a Fornecedores do Exterior</v>
          </cell>
          <cell r="G145">
            <v>224.8</v>
          </cell>
          <cell r="H145">
            <v>93.3</v>
          </cell>
        </row>
        <row r="146">
          <cell r="F146" t="str">
            <v>1118001080 Adiantamentos a Fornecedores Impostos e Contribuiç</v>
          </cell>
          <cell r="G146">
            <v>0</v>
          </cell>
          <cell r="H146">
            <v>0</v>
          </cell>
        </row>
        <row r="147">
          <cell r="E147" t="str">
            <v>Créditos a receber na venda de ativos</v>
          </cell>
          <cell r="G147">
            <v>5243.4</v>
          </cell>
          <cell r="H147">
            <v>5362.2</v>
          </cell>
        </row>
        <row r="148">
          <cell r="F148" t="str">
            <v>1118099060 Outros Créditos- Contratos a Receber (Realizado)</v>
          </cell>
          <cell r="G148">
            <v>5243.4</v>
          </cell>
          <cell r="H148">
            <v>5362.2</v>
          </cell>
        </row>
        <row r="149">
          <cell r="E149" t="str">
            <v>Reclamações de seguros</v>
          </cell>
          <cell r="G149">
            <v>0</v>
          </cell>
          <cell r="H149">
            <v>0</v>
          </cell>
        </row>
        <row r="150">
          <cell r="F150" t="str">
            <v>1118099010 Outros Creditos-Reclamaçao de Seguros (Realizado)</v>
          </cell>
          <cell r="G150">
            <v>0</v>
          </cell>
          <cell r="H150">
            <v>0</v>
          </cell>
        </row>
        <row r="151">
          <cell r="E151" t="str">
            <v>Outros Créditos</v>
          </cell>
          <cell r="G151">
            <v>567</v>
          </cell>
          <cell r="H151">
            <v>733.7</v>
          </cell>
        </row>
        <row r="152">
          <cell r="F152" t="str">
            <v>1118002010 Adiantamentos a Empregados Salarios (Realizado)</v>
          </cell>
          <cell r="G152">
            <v>3.7</v>
          </cell>
          <cell r="H152">
            <v>0</v>
          </cell>
        </row>
        <row r="153">
          <cell r="F153" t="str">
            <v>1118002020 Adiantamentos a Empregados 13º Salario (Realizado)</v>
          </cell>
          <cell r="G153">
            <v>237.8</v>
          </cell>
          <cell r="H153">
            <v>441.9</v>
          </cell>
        </row>
        <row r="154">
          <cell r="F154" t="str">
            <v>1118002030 Adiantamentos a Empregados Ferias (Realizado)</v>
          </cell>
          <cell r="G154">
            <v>130.19999999999999</v>
          </cell>
          <cell r="H154">
            <v>94.8</v>
          </cell>
        </row>
        <row r="155">
          <cell r="F155" t="str">
            <v>1118002050 Adiant a Empregados Plano Auxilio Doen (Realizado)</v>
          </cell>
          <cell r="G155">
            <v>7</v>
          </cell>
          <cell r="H155">
            <v>7</v>
          </cell>
        </row>
        <row r="156">
          <cell r="F156" t="str">
            <v>1118002060 Adto a Empregados Cobertura de Sdo Devedor (R)</v>
          </cell>
          <cell r="G156">
            <v>14.7</v>
          </cell>
          <cell r="H156">
            <v>16.2</v>
          </cell>
        </row>
        <row r="157">
          <cell r="F157" t="str">
            <v>1118002090 Adto a Empregados Desp de Resp de Funcionario (R)</v>
          </cell>
          <cell r="G157">
            <v>6.2</v>
          </cell>
          <cell r="H157">
            <v>4.3</v>
          </cell>
        </row>
        <row r="158">
          <cell r="F158" t="str">
            <v>1118099020 Outros Creditos-Depositos e Cauçoes (Realizado)</v>
          </cell>
          <cell r="G158">
            <v>167.5</v>
          </cell>
          <cell r="H158">
            <v>169.5</v>
          </cell>
        </row>
        <row r="159">
          <cell r="C159" t="str">
            <v>NÃO CIRCULANTE</v>
          </cell>
          <cell r="G159">
            <v>111327.6</v>
          </cell>
          <cell r="H159">
            <v>103189.9</v>
          </cell>
        </row>
        <row r="160">
          <cell r="D160" t="str">
            <v>APLICAÇÕES FINANCEIRAS</v>
          </cell>
          <cell r="G160">
            <v>46435.6</v>
          </cell>
          <cell r="H160">
            <v>38346.1</v>
          </cell>
        </row>
        <row r="161">
          <cell r="A161" t="str">
            <v>1.02.01.02.01</v>
          </cell>
          <cell r="E161" t="str">
            <v>Mantidos para negociação</v>
          </cell>
          <cell r="G161">
            <v>46435.6</v>
          </cell>
          <cell r="H161">
            <v>38346.1</v>
          </cell>
        </row>
        <row r="162">
          <cell r="F162" t="str">
            <v>1710201010 Tits do Merc de Cap Inter Mant p/ Neg  LP(R)</v>
          </cell>
          <cell r="G162">
            <v>46435.6</v>
          </cell>
          <cell r="H162">
            <v>38346.1</v>
          </cell>
        </row>
        <row r="163">
          <cell r="E163" t="str">
            <v>Mantidos até o vencimento</v>
          </cell>
          <cell r="G163">
            <v>0</v>
          </cell>
          <cell r="H163">
            <v>0</v>
          </cell>
        </row>
        <row r="164">
          <cell r="F164" t="str">
            <v>1710201020 Tit do Merc de Capit Inter Man ate o Venct LP (R)</v>
          </cell>
          <cell r="G164">
            <v>0</v>
          </cell>
          <cell r="H164">
            <v>0</v>
          </cell>
        </row>
        <row r="165">
          <cell r="A165" t="str">
            <v>1.02.01.03.01</v>
          </cell>
          <cell r="D165" t="str">
            <v>DUPLICATAS A RECEBER DE CLIENTES</v>
          </cell>
          <cell r="G165">
            <v>1150.5</v>
          </cell>
          <cell r="H165">
            <v>1037.2</v>
          </cell>
        </row>
        <row r="166">
          <cell r="E166" t="str">
            <v>Clientes nacionais</v>
          </cell>
          <cell r="G166">
            <v>1150.5</v>
          </cell>
          <cell r="H166">
            <v>1037.2</v>
          </cell>
        </row>
        <row r="167">
          <cell r="F167" t="str">
            <v>1710501011 Duplicatas a Receber no MI LP (Parcela de CP / LP)</v>
          </cell>
          <cell r="G167">
            <v>1162.5999999999999</v>
          </cell>
          <cell r="H167">
            <v>1067.4000000000001</v>
          </cell>
        </row>
        <row r="168">
          <cell r="F168" t="str">
            <v>1710501014 (-)Rec Fin a apr s/ Dups a Rec no MI LP (P CP/LP)</v>
          </cell>
          <cell r="G168">
            <v>-12.2</v>
          </cell>
          <cell r="H168">
            <v>-30.2</v>
          </cell>
        </row>
        <row r="169">
          <cell r="A169" t="str">
            <v>1.02.01.09.04</v>
          </cell>
          <cell r="D169" t="str">
            <v>IMPOSTOS A RECUPERAR</v>
          </cell>
          <cell r="G169">
            <v>3059.3</v>
          </cell>
          <cell r="H169">
            <v>2903.2</v>
          </cell>
        </row>
        <row r="170">
          <cell r="E170" t="str">
            <v>ICMS a Recuperar</v>
          </cell>
          <cell r="G170">
            <v>2791.1</v>
          </cell>
          <cell r="H170">
            <v>2635</v>
          </cell>
        </row>
        <row r="171">
          <cell r="F171" t="str">
            <v>1711507010 ICMS a Recuperar s/e Ativo Permanet LP (Realizado)</v>
          </cell>
          <cell r="G171">
            <v>2919.6</v>
          </cell>
          <cell r="H171">
            <v>2717.8</v>
          </cell>
        </row>
        <row r="172">
          <cell r="F172" t="str">
            <v>1711507014 (-)AVP s/ ICMS a Recuperar s/ Ativo Permanente LP</v>
          </cell>
          <cell r="G172">
            <v>-128.5</v>
          </cell>
          <cell r="H172">
            <v>-82.8</v>
          </cell>
        </row>
        <row r="173">
          <cell r="E173" t="str">
            <v>Outros</v>
          </cell>
          <cell r="G173">
            <v>268.2</v>
          </cell>
          <cell r="H173">
            <v>268.2</v>
          </cell>
        </row>
        <row r="174">
          <cell r="F174" t="str">
            <v>1711599040 FINSOCIAL 1982/83 (Realizado)</v>
          </cell>
          <cell r="G174">
            <v>268.2</v>
          </cell>
          <cell r="H174">
            <v>268.2</v>
          </cell>
        </row>
        <row r="175">
          <cell r="A175" t="str">
            <v>1.02.01.06.01</v>
          </cell>
          <cell r="D175" t="str">
            <v>IR E CONTRIBUIÇÃO SOCIAL DIFERIDOS</v>
          </cell>
          <cell r="G175">
            <v>0</v>
          </cell>
          <cell r="H175">
            <v>0</v>
          </cell>
        </row>
        <row r="176">
          <cell r="E176" t="str">
            <v>Ativo de imposto diferido</v>
          </cell>
          <cell r="G176">
            <v>0</v>
          </cell>
          <cell r="H176">
            <v>0</v>
          </cell>
        </row>
        <row r="177">
          <cell r="F177" t="str">
            <v>1111505014 Ajustes Temporarios Aliq Efetiva CSLL (Realiz)</v>
          </cell>
          <cell r="G177">
            <v>0</v>
          </cell>
          <cell r="H177">
            <v>0</v>
          </cell>
        </row>
        <row r="178">
          <cell r="F178" t="str">
            <v>1111506014 Ajustes Temps Aliq Efetiva IRPJ (Realiz)</v>
          </cell>
          <cell r="G178">
            <v>0</v>
          </cell>
          <cell r="H178">
            <v>0</v>
          </cell>
        </row>
        <row r="179">
          <cell r="F179" t="str">
            <v>1711505000 Cred Fisc CSLL-Bas de Cal Negativa LP (Real)</v>
          </cell>
          <cell r="G179">
            <v>0</v>
          </cell>
          <cell r="H179">
            <v>0</v>
          </cell>
        </row>
        <row r="180">
          <cell r="F180" t="str">
            <v>1711505010 Cred Fisc CSLL-Dif Temp e Bas de Cal Negtiv (Real)</v>
          </cell>
          <cell r="G180">
            <v>0</v>
          </cell>
          <cell r="H180">
            <v>0</v>
          </cell>
        </row>
        <row r="181">
          <cell r="F181" t="str">
            <v>1711506000 Cred Fisc IRPJL-Prejuizo Fiscal LP (Real)</v>
          </cell>
          <cell r="G181">
            <v>0</v>
          </cell>
          <cell r="H181">
            <v>0</v>
          </cell>
        </row>
        <row r="182">
          <cell r="F182" t="str">
            <v>1711506010 Cred Fisc IRPJ-Dif Temp e Prej Fiscais (Realizado)</v>
          </cell>
          <cell r="G182">
            <v>0</v>
          </cell>
          <cell r="H182">
            <v>0</v>
          </cell>
        </row>
        <row r="183">
          <cell r="A183" t="str">
            <v>1.02.01.04</v>
          </cell>
          <cell r="D183" t="str">
            <v>ESTOQUES</v>
          </cell>
          <cell r="G183">
            <v>12756.7</v>
          </cell>
          <cell r="H183">
            <v>13255.7</v>
          </cell>
        </row>
        <row r="184">
          <cell r="E184" t="str">
            <v>Materiais de Almoxarifado de Giro Baixo</v>
          </cell>
          <cell r="G184">
            <v>12756.7</v>
          </cell>
          <cell r="H184">
            <v>13255.7</v>
          </cell>
        </row>
        <row r="185">
          <cell r="F185" t="str">
            <v>1712020991 Estoque Almoxarifado Parcela Realizada LP</v>
          </cell>
          <cell r="G185">
            <v>12756.7</v>
          </cell>
          <cell r="H185">
            <v>13255.7</v>
          </cell>
        </row>
        <row r="186">
          <cell r="A186" t="str">
            <v>1.02.01.09.03</v>
          </cell>
          <cell r="D186" t="str">
            <v>DEPÓSITOS JUDICIAIS</v>
          </cell>
          <cell r="G186">
            <v>47925.599999999999</v>
          </cell>
          <cell r="H186">
            <v>47647.7</v>
          </cell>
        </row>
        <row r="187">
          <cell r="E187" t="str">
            <v>Tributários</v>
          </cell>
          <cell r="G187">
            <v>8973.7999999999993</v>
          </cell>
          <cell r="H187">
            <v>9079.2000000000007</v>
          </cell>
        </row>
        <row r="188">
          <cell r="F188" t="str">
            <v>1719001010 Dep Jud s/Res Trib Fed R</v>
          </cell>
          <cell r="G188">
            <v>7912.1</v>
          </cell>
          <cell r="H188">
            <v>7884.5</v>
          </cell>
        </row>
        <row r="189">
          <cell r="F189" t="str">
            <v>1719001011 ATM Dep Jud s/Res Trib Fed R</v>
          </cell>
          <cell r="G189">
            <v>708.3</v>
          </cell>
          <cell r="H189">
            <v>836.4</v>
          </cell>
        </row>
        <row r="190">
          <cell r="F190" t="str">
            <v>1719001030 Depos Jud s/Reserva-Imp, Taxas e Contrib Munic (R)</v>
          </cell>
          <cell r="G190">
            <v>353.3</v>
          </cell>
          <cell r="H190">
            <v>358.3</v>
          </cell>
        </row>
        <row r="191">
          <cell r="E191" t="str">
            <v>Trabalhistas</v>
          </cell>
          <cell r="G191">
            <v>6074.6</v>
          </cell>
          <cell r="H191">
            <v>5068.8999999999996</v>
          </cell>
        </row>
        <row r="192">
          <cell r="F192" t="str">
            <v>1719002010 Depos Jud s/Reserva-Reclamaçoes Trab (Realizado)</v>
          </cell>
          <cell r="G192">
            <v>4319.2</v>
          </cell>
          <cell r="H192">
            <v>3269.6</v>
          </cell>
        </row>
        <row r="193">
          <cell r="F193" t="str">
            <v>1719002030 Dep Judiciais s/Res -Previdenciarios (Realizado)</v>
          </cell>
          <cell r="G193">
            <v>1755.4</v>
          </cell>
          <cell r="H193">
            <v>1799.3</v>
          </cell>
        </row>
        <row r="194">
          <cell r="E194" t="str">
            <v>Outros depósitos judiciais</v>
          </cell>
          <cell r="G194">
            <v>32877.199999999997</v>
          </cell>
          <cell r="H194">
            <v>33499.5</v>
          </cell>
        </row>
        <row r="195">
          <cell r="F195" t="str">
            <v>1719003990 Outros Dep Judic s/Reserva de Nat Oper (Realizado)</v>
          </cell>
          <cell r="G195">
            <v>28312.3</v>
          </cell>
          <cell r="H195">
            <v>28307.9</v>
          </cell>
        </row>
        <row r="196">
          <cell r="F196" t="str">
            <v>1719003991 ATM Outros Dep Judic s/Reserva Nat Oper (Realiz)</v>
          </cell>
          <cell r="G196">
            <v>4565</v>
          </cell>
          <cell r="H196">
            <v>5191.6000000000004</v>
          </cell>
        </row>
        <row r="197">
          <cell r="A197" t="str">
            <v>1.02.01.09.06</v>
          </cell>
          <cell r="D197" t="str">
            <v>OUTROS ATIVOS NÃO CIRCULANTES</v>
          </cell>
          <cell r="G197">
            <v>0</v>
          </cell>
          <cell r="H197">
            <v>0</v>
          </cell>
        </row>
        <row r="198">
          <cell r="E198" t="str">
            <v>Créditos a receber na venda de ativos</v>
          </cell>
          <cell r="G198">
            <v>0</v>
          </cell>
          <cell r="H198">
            <v>0</v>
          </cell>
        </row>
        <row r="199">
          <cell r="F199" t="str">
            <v>1718099060 Outros Créditos- Contratos a Receber (Realizado)</v>
          </cell>
          <cell r="G199">
            <v>0</v>
          </cell>
          <cell r="H199">
            <v>0</v>
          </cell>
        </row>
        <row r="200">
          <cell r="A200" t="str">
            <v>1.02.02</v>
          </cell>
          <cell r="C200" t="str">
            <v>INVESTIMENTOS</v>
          </cell>
          <cell r="G200">
            <v>41692.5</v>
          </cell>
          <cell r="H200">
            <v>49238.2</v>
          </cell>
        </row>
        <row r="201">
          <cell r="A201" t="str">
            <v>1.02.02.01</v>
          </cell>
          <cell r="D201" t="str">
            <v>PARTICIPAÇÃO EM COLIGADA</v>
          </cell>
          <cell r="G201">
            <v>41692.5</v>
          </cell>
          <cell r="H201">
            <v>49238.2</v>
          </cell>
        </row>
        <row r="202">
          <cell r="A202" t="str">
            <v>1.02.02.01.01</v>
          </cell>
          <cell r="E202" t="str">
            <v>Tecsis tecnologia e sistemas avançados</v>
          </cell>
          <cell r="G202">
            <v>41692.5</v>
          </cell>
          <cell r="H202">
            <v>49238.2</v>
          </cell>
        </row>
        <row r="203">
          <cell r="F203" t="str">
            <v>1720201010 Cto Part Per em Coligada ou ControladaTecsis</v>
          </cell>
          <cell r="G203">
            <v>-6951.9</v>
          </cell>
          <cell r="H203">
            <v>1742.2</v>
          </cell>
        </row>
        <row r="204">
          <cell r="F204" t="str">
            <v>1720201012 Agios em Partic Per Colig ou Control - Tecsis</v>
          </cell>
          <cell r="G204">
            <v>26896.6</v>
          </cell>
          <cell r="H204">
            <v>26896.6</v>
          </cell>
        </row>
        <row r="205">
          <cell r="F205" t="str">
            <v>1720201014 Vlr Justo Ativos em Part Per Col Cont Tecsis</v>
          </cell>
          <cell r="G205">
            <v>58505.8</v>
          </cell>
          <cell r="H205">
            <v>58505.8</v>
          </cell>
        </row>
        <row r="206">
          <cell r="F206" t="str">
            <v>1720201015 Realização Vlr Justo em Part Per Col Cont -Tecsis</v>
          </cell>
          <cell r="G206">
            <v>-13015.8</v>
          </cell>
          <cell r="H206">
            <v>-14164.2</v>
          </cell>
        </row>
        <row r="207">
          <cell r="F207" t="str">
            <v>1720201018 Ajust Aval Patrimonial em Part Per Col Cont Tecsis</v>
          </cell>
          <cell r="G207">
            <v>-23742.2</v>
          </cell>
          <cell r="H207">
            <v>-23742.2</v>
          </cell>
        </row>
        <row r="208">
          <cell r="A208" t="str">
            <v>1.02.03.01</v>
          </cell>
          <cell r="C208" t="str">
            <v>IMOBILIZADO</v>
          </cell>
          <cell r="G208">
            <v>900292.2</v>
          </cell>
          <cell r="H208">
            <v>894528.6</v>
          </cell>
        </row>
        <row r="209">
          <cell r="D209" t="str">
            <v>CUSTO</v>
          </cell>
          <cell r="G209">
            <v>1492113</v>
          </cell>
          <cell r="H209">
            <v>1496330.7</v>
          </cell>
        </row>
        <row r="210">
          <cell r="E210" t="str">
            <v>Terrenos</v>
          </cell>
          <cell r="G210">
            <v>247550</v>
          </cell>
          <cell r="H210">
            <v>247550</v>
          </cell>
        </row>
        <row r="211">
          <cell r="F211" t="str">
            <v>1740101010 Imobilizado-Custo dos Terrenos</v>
          </cell>
          <cell r="G211">
            <v>2292.3000000000002</v>
          </cell>
          <cell r="H211">
            <v>2292.3000000000002</v>
          </cell>
        </row>
        <row r="212">
          <cell r="F212" t="str">
            <v>1740101011 Imobilizado-Mais Valia dos Terrenos</v>
          </cell>
          <cell r="G212">
            <v>122628.9</v>
          </cell>
          <cell r="H212">
            <v>122628.9</v>
          </cell>
        </row>
        <row r="213">
          <cell r="F213" t="str">
            <v>1740101012 Imobilizado-Mais Valia Comb Neg dos Terrenos</v>
          </cell>
          <cell r="G213">
            <v>122628.9</v>
          </cell>
          <cell r="H213">
            <v>122628.9</v>
          </cell>
        </row>
        <row r="214">
          <cell r="E214" t="str">
            <v>Edificações e construções</v>
          </cell>
          <cell r="G214">
            <v>146003</v>
          </cell>
          <cell r="H214">
            <v>146182.29999999999</v>
          </cell>
        </row>
        <row r="215">
          <cell r="F215" t="str">
            <v>1740102010 Imobilizado-Custo dos Edificios</v>
          </cell>
          <cell r="G215">
            <v>125927.8</v>
          </cell>
          <cell r="H215">
            <v>126107.1</v>
          </cell>
        </row>
        <row r="216">
          <cell r="F216" t="str">
            <v>1740102011 Imobilizado-Mais Valia dos Edificios</v>
          </cell>
          <cell r="G216">
            <v>2867.3</v>
          </cell>
          <cell r="H216">
            <v>2867.3</v>
          </cell>
        </row>
        <row r="217">
          <cell r="F217" t="str">
            <v>1740102012 Imobilizado-Mais Valia Comb Negocios dos Edificios</v>
          </cell>
          <cell r="G217">
            <v>2867.3</v>
          </cell>
          <cell r="H217">
            <v>2867.3</v>
          </cell>
        </row>
        <row r="218">
          <cell r="F218" t="str">
            <v>1740102014 Imobilizado-Contrapartida do AVP de Edificios</v>
          </cell>
          <cell r="G218">
            <v>246.1</v>
          </cell>
          <cell r="H218">
            <v>246.1</v>
          </cell>
        </row>
        <row r="219">
          <cell r="F219" t="str">
            <v>1740102020 Imobilizado-Custo das Benfeitorias</v>
          </cell>
          <cell r="G219">
            <v>9745.6</v>
          </cell>
          <cell r="H219">
            <v>9745.6</v>
          </cell>
        </row>
        <row r="220">
          <cell r="F220" t="str">
            <v>1740102021 Imobilizado-Mais Valia Benfeitorias</v>
          </cell>
          <cell r="G220">
            <v>2173.6</v>
          </cell>
          <cell r="H220">
            <v>2173.6</v>
          </cell>
        </row>
        <row r="221">
          <cell r="F221" t="str">
            <v>1740102022 Imobilizado-Mais Valia Comb Neg Benfeitorias</v>
          </cell>
          <cell r="G221">
            <v>2173.6</v>
          </cell>
          <cell r="H221">
            <v>2173.6</v>
          </cell>
        </row>
        <row r="222">
          <cell r="F222" t="str">
            <v>1740102024 Imobilizado-Contrapartida do AVP de Beneficios</v>
          </cell>
          <cell r="G222">
            <v>1.6</v>
          </cell>
          <cell r="H222">
            <v>1.6</v>
          </cell>
        </row>
        <row r="223">
          <cell r="E223" t="str">
            <v>Equipamentos e Instalações</v>
          </cell>
          <cell r="G223">
            <v>1040410.8</v>
          </cell>
          <cell r="H223">
            <v>1047608.8</v>
          </cell>
        </row>
        <row r="224">
          <cell r="F224" t="str">
            <v>1740103010 Imobilizado-Custo de Equipamentos</v>
          </cell>
          <cell r="G224">
            <v>815083</v>
          </cell>
          <cell r="H224">
            <v>822181.4</v>
          </cell>
        </row>
        <row r="225">
          <cell r="F225" t="str">
            <v>1740103011 Imobilizado-Mais Valia Equipamentos</v>
          </cell>
          <cell r="G225">
            <v>97197.9</v>
          </cell>
          <cell r="H225">
            <v>97193.9</v>
          </cell>
        </row>
        <row r="226">
          <cell r="F226" t="str">
            <v>1740103012 Imobilizado-Mais Valia Comb Neg Equipamentos</v>
          </cell>
          <cell r="G226">
            <v>97197.9</v>
          </cell>
          <cell r="H226">
            <v>97193.9</v>
          </cell>
        </row>
        <row r="227">
          <cell r="F227" t="str">
            <v>1740103014 Imobilizado-AVP Equipamentos</v>
          </cell>
          <cell r="G227">
            <v>8868.4</v>
          </cell>
          <cell r="H227">
            <v>8886.4</v>
          </cell>
        </row>
        <row r="228">
          <cell r="F228" t="str">
            <v>1740103020 Imobilizado-Custo dos Sobressalentes</v>
          </cell>
          <cell r="G228">
            <v>17518.5</v>
          </cell>
          <cell r="H228">
            <v>17608</v>
          </cell>
        </row>
        <row r="229">
          <cell r="F229" t="str">
            <v>1740103021 Imobilizado-Mais Valia dos Sobressalentes</v>
          </cell>
          <cell r="G229">
            <v>2255.6</v>
          </cell>
          <cell r="H229">
            <v>2255.6</v>
          </cell>
        </row>
        <row r="230">
          <cell r="F230" t="str">
            <v>1740103022 Imobilizado-Custo dos Sobressalentes</v>
          </cell>
          <cell r="G230">
            <v>2255.6</v>
          </cell>
          <cell r="H230">
            <v>2255.6</v>
          </cell>
        </row>
        <row r="231">
          <cell r="F231" t="str">
            <v>1740105020 Imobilizado-Custo de Veiculos Fora de Estrada</v>
          </cell>
          <cell r="G231">
            <v>33.799999999999997</v>
          </cell>
          <cell r="H231">
            <v>33.799999999999997</v>
          </cell>
        </row>
        <row r="232">
          <cell r="E232" t="str">
            <v>Veículos</v>
          </cell>
          <cell r="G232">
            <v>1228.2</v>
          </cell>
          <cell r="H232">
            <v>1125.9000000000001</v>
          </cell>
        </row>
        <row r="233">
          <cell r="F233" t="str">
            <v>1740105010 Imob-Custo de Veiculos de Passageiros e Carga</v>
          </cell>
          <cell r="G233">
            <v>1224.4000000000001</v>
          </cell>
          <cell r="H233">
            <v>1122.5</v>
          </cell>
        </row>
        <row r="234">
          <cell r="F234" t="str">
            <v>1740105011 Imob-Mais Valia de Veiculos de Passageiros e Carga</v>
          </cell>
          <cell r="G234">
            <v>1.8</v>
          </cell>
          <cell r="H234">
            <v>1.6</v>
          </cell>
        </row>
        <row r="235">
          <cell r="F235" t="str">
            <v>1740105012 Imob-Mais Valia de Veiculos de Passageiros e Carga</v>
          </cell>
          <cell r="G235">
            <v>1.8</v>
          </cell>
          <cell r="H235">
            <v>1.6</v>
          </cell>
        </row>
        <row r="236">
          <cell r="F236" t="str">
            <v>1740105014 Imob-AVP de Veiculos de Passageiros e Carga</v>
          </cell>
          <cell r="G236">
            <v>0.3</v>
          </cell>
          <cell r="H236">
            <v>0.3</v>
          </cell>
        </row>
        <row r="237">
          <cell r="E237" t="str">
            <v>Móveis e utensílios</v>
          </cell>
          <cell r="G237">
            <v>12144.8</v>
          </cell>
          <cell r="H237">
            <v>12095.9</v>
          </cell>
        </row>
        <row r="238">
          <cell r="F238" t="str">
            <v>1740104010 Imob-Custo de Moveis, Utensilios e Inst Comerciais</v>
          </cell>
          <cell r="G238">
            <v>12100</v>
          </cell>
          <cell r="H238">
            <v>12051.1</v>
          </cell>
        </row>
        <row r="239">
          <cell r="F239" t="str">
            <v>1740104014 Imob-AVP de Moveis, Utensilios e Inst Comerciais</v>
          </cell>
          <cell r="G239">
            <v>44.8</v>
          </cell>
          <cell r="H239">
            <v>44.8</v>
          </cell>
        </row>
        <row r="240">
          <cell r="E240" t="str">
            <v>Demais bens</v>
          </cell>
          <cell r="G240">
            <v>11111</v>
          </cell>
          <cell r="H240">
            <v>11091.1</v>
          </cell>
        </row>
        <row r="241">
          <cell r="F241" t="str">
            <v>1740199010 Imobilizado-Custo de Material Auxiliar Permanente</v>
          </cell>
          <cell r="G241">
            <v>2511</v>
          </cell>
          <cell r="H241">
            <v>2511</v>
          </cell>
        </row>
        <row r="242">
          <cell r="F242" t="str">
            <v>1740199070 Imobilizado-Custo de Computadores e Perifericos</v>
          </cell>
          <cell r="G242">
            <v>8563.6</v>
          </cell>
          <cell r="H242">
            <v>8543.7000000000007</v>
          </cell>
        </row>
        <row r="243">
          <cell r="F243" t="str">
            <v>1740199074 Imobilizado- AVP de Computadores e Perifericos</v>
          </cell>
          <cell r="G243">
            <v>36.299999999999997</v>
          </cell>
          <cell r="H243">
            <v>36.299999999999997</v>
          </cell>
        </row>
        <row r="244">
          <cell r="E244" t="str">
            <v>imobilizado em andamento</v>
          </cell>
          <cell r="G244">
            <v>33665.199999999997</v>
          </cell>
          <cell r="H244">
            <v>30676.7</v>
          </cell>
        </row>
        <row r="245">
          <cell r="F245" t="str">
            <v>1745001010 Imob Andament-Custo das Aquisiçoes p/Imob (Receb)</v>
          </cell>
          <cell r="G245">
            <v>27684.6</v>
          </cell>
          <cell r="H245">
            <v>24670.5</v>
          </cell>
        </row>
        <row r="246">
          <cell r="F246" t="str">
            <v>1745001014 Contrapartida dos Aj a Vr Presente de IeA</v>
          </cell>
          <cell r="G246">
            <v>130.4</v>
          </cell>
          <cell r="H246">
            <v>112.4</v>
          </cell>
        </row>
        <row r="247">
          <cell r="F247" t="str">
            <v>1745001020 Imob And-Cto das Aquisiç de Sobres de Imob (Receb)</v>
          </cell>
          <cell r="G247">
            <v>64.2</v>
          </cell>
          <cell r="H247">
            <v>569</v>
          </cell>
        </row>
        <row r="248">
          <cell r="F248" t="str">
            <v>1745002030 Imob And-Cto dos Adiants p/Aquis de Imobiliz (T)</v>
          </cell>
          <cell r="G248">
            <v>1011.3</v>
          </cell>
          <cell r="H248">
            <v>550.1</v>
          </cell>
        </row>
        <row r="249">
          <cell r="F249" t="str">
            <v>1745002031 Imob And-Tran de Adto p/Aquis Imob Reconcil (T)</v>
          </cell>
          <cell r="G249">
            <v>0</v>
          </cell>
          <cell r="H249">
            <v>0</v>
          </cell>
        </row>
        <row r="250">
          <cell r="F250" t="str">
            <v>1745002032 Imob And-Tran de Adto p/Aquis de Imob Razao (T)</v>
          </cell>
          <cell r="G250">
            <v>0</v>
          </cell>
          <cell r="H250">
            <v>0</v>
          </cell>
        </row>
        <row r="251">
          <cell r="F251" t="str">
            <v>1745099010 Imob And-Encar Fin s/ Aquis de Imob-Juros (Realiz)</v>
          </cell>
          <cell r="G251">
            <v>2754.9</v>
          </cell>
          <cell r="H251">
            <v>2754.9</v>
          </cell>
        </row>
        <row r="252">
          <cell r="F252" t="str">
            <v>1745099030 Imob And-Encar Fin s/ Aquis de Imob-Var Cam (R)</v>
          </cell>
          <cell r="G252">
            <v>2019.8</v>
          </cell>
          <cell r="H252">
            <v>2019.8</v>
          </cell>
        </row>
        <row r="253">
          <cell r="E253" t="str">
            <v>Tributos diferidos</v>
          </cell>
          <cell r="G253">
            <v>0</v>
          </cell>
          <cell r="H253">
            <v>0</v>
          </cell>
        </row>
        <row r="254">
          <cell r="F254" t="str">
            <v>1744901010 Trib Diferidos s/Mais Valia de Ativos Imob (Realiz</v>
          </cell>
          <cell r="G254">
            <v>0</v>
          </cell>
          <cell r="H254">
            <v>0</v>
          </cell>
        </row>
        <row r="255">
          <cell r="F255" t="str">
            <v>1744901020 Trib Diferidos s/Mais Valia CN Ativos Imob (Realiz</v>
          </cell>
          <cell r="G255">
            <v>0</v>
          </cell>
          <cell r="H255">
            <v>0</v>
          </cell>
        </row>
        <row r="256">
          <cell r="D256" t="str">
            <v>DEPRECIAÇÃO</v>
          </cell>
          <cell r="G256">
            <v>-591820.80000000005</v>
          </cell>
          <cell r="H256">
            <v>-601802.19999999995</v>
          </cell>
        </row>
        <row r="257">
          <cell r="E257" t="str">
            <v>Edificações e construções</v>
          </cell>
          <cell r="G257">
            <v>-45968.9</v>
          </cell>
          <cell r="H257">
            <v>-46939.4</v>
          </cell>
        </row>
        <row r="258">
          <cell r="F258" t="str">
            <v>1740502010 (-)Depreciaçao-Custo dos Edificios</v>
          </cell>
          <cell r="G258">
            <v>-39069</v>
          </cell>
          <cell r="H258">
            <v>-39856.699999999997</v>
          </cell>
        </row>
        <row r="259">
          <cell r="F259" t="str">
            <v>1740502011 (-)Depreciaçao-Mais Valia Edificios</v>
          </cell>
          <cell r="G259">
            <v>-148.1</v>
          </cell>
          <cell r="H259">
            <v>-172.8</v>
          </cell>
        </row>
        <row r="260">
          <cell r="F260" t="str">
            <v>1740502012 (-)Depreciaçao-Mais Valia Combin Neg Edificios</v>
          </cell>
          <cell r="G260">
            <v>-148.1</v>
          </cell>
          <cell r="H260">
            <v>-172.8</v>
          </cell>
        </row>
        <row r="261">
          <cell r="F261" t="str">
            <v>1740502014 (-)Depr-Contrapartida do AVP de Edificios</v>
          </cell>
          <cell r="G261">
            <v>-31.5</v>
          </cell>
          <cell r="H261">
            <v>-33.5</v>
          </cell>
        </row>
        <row r="262">
          <cell r="F262" t="str">
            <v>1740502020 (-)Depreciaçao-Custo das Benfeitorias</v>
          </cell>
          <cell r="G262">
            <v>-6139.4</v>
          </cell>
          <cell r="H262">
            <v>-6198.6</v>
          </cell>
        </row>
        <row r="263">
          <cell r="F263" t="str">
            <v>1740502021 (-)Depreciaçao-Mais Valia Benfeitorias</v>
          </cell>
          <cell r="G263">
            <v>-216.3</v>
          </cell>
          <cell r="H263">
            <v>-252.3</v>
          </cell>
        </row>
        <row r="264">
          <cell r="F264" t="str">
            <v>1740502022 (-)Depreciaçao-Mais Valia Combin Neg Benfeitorias</v>
          </cell>
          <cell r="G264">
            <v>-216.3</v>
          </cell>
          <cell r="H264">
            <v>-252.3</v>
          </cell>
        </row>
        <row r="265">
          <cell r="F265" t="str">
            <v>1740502024 (-)Depr-Contrapartida do AVP de Benfeitorias</v>
          </cell>
          <cell r="G265">
            <v>-0.3</v>
          </cell>
          <cell r="H265">
            <v>-0.4</v>
          </cell>
        </row>
        <row r="266">
          <cell r="E266" t="str">
            <v>Equipamentos e Instalações</v>
          </cell>
          <cell r="G266">
            <v>-529527.19999999995</v>
          </cell>
          <cell r="H266">
            <v>-538282.1</v>
          </cell>
        </row>
        <row r="267">
          <cell r="F267" t="str">
            <v>1740503010 (-)Depreciaçao-Custo de Equipamentos</v>
          </cell>
          <cell r="G267">
            <v>-498804.1</v>
          </cell>
          <cell r="H267">
            <v>-504202.4</v>
          </cell>
        </row>
        <row r="268">
          <cell r="F268" t="str">
            <v>1740503011 (-)Depreciaçao-Mais Valia Equipamentos</v>
          </cell>
          <cell r="G268">
            <v>-9099.9</v>
          </cell>
          <cell r="H268">
            <v>-10615.8</v>
          </cell>
        </row>
        <row r="269">
          <cell r="F269" t="str">
            <v>1740503012 (-)Depreciaçao-Mais Valia Combin Neg Equipamentos</v>
          </cell>
          <cell r="G269">
            <v>-9099.9</v>
          </cell>
          <cell r="H269">
            <v>-10615.8</v>
          </cell>
        </row>
        <row r="270">
          <cell r="F270" t="str">
            <v>1740503014 (-)Depr-Contrapartida do AVP de Equipamentos</v>
          </cell>
          <cell r="G270">
            <v>-2714.5</v>
          </cell>
          <cell r="H270">
            <v>-2828.1</v>
          </cell>
        </row>
        <row r="271">
          <cell r="F271" t="str">
            <v>1740503020 (-)Depreciaçao-Custo dos Sobressalentes</v>
          </cell>
          <cell r="G271">
            <v>-9368.2999999999993</v>
          </cell>
          <cell r="H271">
            <v>-9508.7000000000007</v>
          </cell>
        </row>
        <row r="272">
          <cell r="F272" t="str">
            <v>1740503021 (-)Depreciaçao-Mais Valia Sobressalentes</v>
          </cell>
          <cell r="G272">
            <v>-211.4</v>
          </cell>
          <cell r="H272">
            <v>-246.7</v>
          </cell>
        </row>
        <row r="273">
          <cell r="F273" t="str">
            <v>1740503022 (-)Depreciaçao-Mais Valia Combin Neg Sobressalente</v>
          </cell>
          <cell r="G273">
            <v>-211.4</v>
          </cell>
          <cell r="H273">
            <v>-246.7</v>
          </cell>
        </row>
        <row r="274">
          <cell r="F274" t="str">
            <v>1740505020 (-)Depreciaçao-Custo de Veiculos Fora da Estrada</v>
          </cell>
          <cell r="G274">
            <v>-17.600000000000001</v>
          </cell>
          <cell r="H274">
            <v>-18</v>
          </cell>
        </row>
        <row r="275">
          <cell r="E275" t="str">
            <v>Veículos</v>
          </cell>
          <cell r="G275">
            <v>-720.3</v>
          </cell>
          <cell r="H275">
            <v>-698.4</v>
          </cell>
        </row>
        <row r="276">
          <cell r="F276" t="str">
            <v>1740505010 (-)Depr-Custo de Veiculos de Passageiros e Carga</v>
          </cell>
          <cell r="G276">
            <v>-718.2</v>
          </cell>
          <cell r="H276">
            <v>-696.2</v>
          </cell>
        </row>
        <row r="277">
          <cell r="F277" t="str">
            <v>1740505011 (-)Depreciaçao-Mais Valia Veiculos</v>
          </cell>
          <cell r="G277">
            <v>-0.9</v>
          </cell>
          <cell r="H277">
            <v>-0.9</v>
          </cell>
        </row>
        <row r="278">
          <cell r="F278" t="str">
            <v>1740505012 (-)Depreciaçao-Mais Valia Combin Neg Veiculos</v>
          </cell>
          <cell r="G278">
            <v>-0.9</v>
          </cell>
          <cell r="H278">
            <v>-0.9</v>
          </cell>
        </row>
        <row r="279">
          <cell r="F279" t="str">
            <v>1740505014 (-)Depr-Contrapartida do AVP de Veículos</v>
          </cell>
          <cell r="G279">
            <v>-0.3</v>
          </cell>
          <cell r="H279">
            <v>-0.3</v>
          </cell>
        </row>
        <row r="280">
          <cell r="E280" t="str">
            <v>Móveis e utensílios</v>
          </cell>
          <cell r="G280">
            <v>-8540.7999999999993</v>
          </cell>
          <cell r="H280">
            <v>-8696.2000000000007</v>
          </cell>
        </row>
        <row r="281">
          <cell r="F281" t="str">
            <v>1740504010 (-)Depreciaçao-Custo dos Móveis, Utens e Inst Com</v>
          </cell>
          <cell r="G281">
            <v>-8527.2999999999993</v>
          </cell>
          <cell r="H281">
            <v>-8681.5</v>
          </cell>
        </row>
        <row r="282">
          <cell r="F282" t="str">
            <v>1740504014 (-)Depr-Contrapartida do AVP de Móveis, Utens</v>
          </cell>
          <cell r="G282">
            <v>-13.5</v>
          </cell>
          <cell r="H282">
            <v>-14.7</v>
          </cell>
        </row>
        <row r="283">
          <cell r="E283" t="str">
            <v>Demais bens</v>
          </cell>
          <cell r="G283">
            <v>-7063.5</v>
          </cell>
          <cell r="H283">
            <v>-7186.1</v>
          </cell>
        </row>
        <row r="284">
          <cell r="F284" t="str">
            <v>1740599070 (-)Depreciaçao-Custo de Computadores e Perifericos</v>
          </cell>
          <cell r="G284">
            <v>-7041.1</v>
          </cell>
          <cell r="H284">
            <v>-7161.5</v>
          </cell>
        </row>
        <row r="285">
          <cell r="F285" t="str">
            <v>1740599074 (-)Depr-Contrap do AVP dos Computad Perifericos</v>
          </cell>
          <cell r="G285">
            <v>-22.5</v>
          </cell>
          <cell r="H285">
            <v>-24.6</v>
          </cell>
        </row>
        <row r="286">
          <cell r="A286" t="str">
            <v>1.02.04.01</v>
          </cell>
          <cell r="C286" t="str">
            <v>INTANGÍVEL</v>
          </cell>
          <cell r="G286">
            <v>287781.3</v>
          </cell>
          <cell r="H286">
            <v>286766.90000000002</v>
          </cell>
        </row>
        <row r="287">
          <cell r="D287" t="str">
            <v>INTANGÍVEL EM OPERAÇÃO</v>
          </cell>
          <cell r="G287">
            <v>287781.3</v>
          </cell>
          <cell r="H287">
            <v>286766.90000000002</v>
          </cell>
        </row>
        <row r="288">
          <cell r="E288" t="str">
            <v>Ágio - combinação de negócio em estágios</v>
          </cell>
          <cell r="G288">
            <v>195808.8</v>
          </cell>
          <cell r="H288">
            <v>195808.8</v>
          </cell>
        </row>
        <row r="289">
          <cell r="F289" t="str">
            <v>1750190012 Intangivel Op-Mais Valia C N Ativ n Alocados</v>
          </cell>
          <cell r="G289">
            <v>195808.8</v>
          </cell>
          <cell r="H289">
            <v>195808.8</v>
          </cell>
        </row>
        <row r="290">
          <cell r="E290" t="str">
            <v>Carteira de clientes</v>
          </cell>
          <cell r="G290">
            <v>172.2</v>
          </cell>
          <cell r="H290">
            <v>0</v>
          </cell>
        </row>
        <row r="291">
          <cell r="F291" t="str">
            <v>1750103011 Intangivel Op-Mais Valia de Carteira de Clientes</v>
          </cell>
          <cell r="G291">
            <v>106</v>
          </cell>
          <cell r="H291">
            <v>106</v>
          </cell>
        </row>
        <row r="292">
          <cell r="F292" t="str">
            <v>1750103012 Intangivel Op-Mais Valia de Carteira Clientes C N</v>
          </cell>
          <cell r="G292">
            <v>106</v>
          </cell>
          <cell r="H292">
            <v>106</v>
          </cell>
        </row>
        <row r="293">
          <cell r="F293" t="str">
            <v>1750603011 (-)Amort-Mais Valia Carteira de Clientes</v>
          </cell>
          <cell r="G293">
            <v>-19.899999999999999</v>
          </cell>
          <cell r="H293">
            <v>-106</v>
          </cell>
        </row>
        <row r="294">
          <cell r="F294" t="str">
            <v>1750603012 (-)Amort-Mais Valia C N Carteira de Clientes</v>
          </cell>
          <cell r="G294">
            <v>-19.899999999999999</v>
          </cell>
          <cell r="H294">
            <v>-106</v>
          </cell>
        </row>
        <row r="295">
          <cell r="E295" t="str">
            <v>Direito de uso de software e pesquisa e desen</v>
          </cell>
          <cell r="G295">
            <v>14626.3</v>
          </cell>
          <cell r="H295">
            <v>13784.2</v>
          </cell>
        </row>
        <row r="296">
          <cell r="F296" t="str">
            <v>1750101010 Intangivel Op-Custo das Marcas e Patentes</v>
          </cell>
          <cell r="G296">
            <v>1.4</v>
          </cell>
          <cell r="H296">
            <v>1.4</v>
          </cell>
        </row>
        <row r="297">
          <cell r="F297" t="str">
            <v>1750102010 Intangivel Op-Cto das Software ou Prog de Comput</v>
          </cell>
          <cell r="G297">
            <v>19883.3</v>
          </cell>
          <cell r="H297">
            <v>19883.3</v>
          </cell>
        </row>
        <row r="298">
          <cell r="F298" t="str">
            <v>1750102014 Intangivel Op-AV de Software ou Prog de Comput</v>
          </cell>
          <cell r="G298">
            <v>61.9</v>
          </cell>
          <cell r="H298">
            <v>61.9</v>
          </cell>
        </row>
        <row r="299">
          <cell r="F299" t="str">
            <v>1750602010 (-)Amort-Cto dos Software ou Programas de Comput</v>
          </cell>
          <cell r="G299">
            <v>-5311.4</v>
          </cell>
          <cell r="H299">
            <v>-6150.4</v>
          </cell>
        </row>
        <row r="300">
          <cell r="F300" t="str">
            <v>1750602014 (-)Amort-Contrapartida do AVP de Softwares</v>
          </cell>
          <cell r="G300">
            <v>-8.8000000000000007</v>
          </cell>
          <cell r="H300">
            <v>-12</v>
          </cell>
        </row>
        <row r="301">
          <cell r="E301" t="str">
            <v>Ágio Goodwill</v>
          </cell>
          <cell r="G301">
            <v>116930.3</v>
          </cell>
          <cell r="H301">
            <v>116930.3</v>
          </cell>
        </row>
        <row r="302">
          <cell r="F302" t="str">
            <v>1750190011 Intangivel Op-Mais Valia Ativ n Alocados</v>
          </cell>
          <cell r="G302">
            <v>116930.3</v>
          </cell>
          <cell r="H302">
            <v>116930.3</v>
          </cell>
        </row>
        <row r="303">
          <cell r="E303" t="str">
            <v>Tributos diferidos s/ágio não alocado</v>
          </cell>
          <cell r="G303">
            <v>-39756.300000000003</v>
          </cell>
          <cell r="H303">
            <v>-39756.300000000003</v>
          </cell>
        </row>
        <row r="304">
          <cell r="F304" t="str">
            <v>1750190021 Intangivel Op-Tribs Dif S/Mais Valia de Ativos (R)</v>
          </cell>
          <cell r="G304">
            <v>-39756.300000000003</v>
          </cell>
          <cell r="H304">
            <v>-39756.300000000003</v>
          </cell>
        </row>
        <row r="305">
          <cell r="F305" t="str">
            <v>1754900020 Int const p/trib Dif s/Mais Valia Ativos CN (Real)</v>
          </cell>
          <cell r="G305">
            <v>0</v>
          </cell>
          <cell r="H305">
            <v>0</v>
          </cell>
        </row>
        <row r="306">
          <cell r="F306" t="str">
            <v>1754900010 Int const c/Trib Dif s/Mais Valia Ativos(Real)</v>
          </cell>
          <cell r="G306">
            <v>0</v>
          </cell>
          <cell r="H306">
            <v>0</v>
          </cell>
        </row>
        <row r="307">
          <cell r="F307" t="str">
            <v>1754901010 Trib Diferidos s/Mais Valia de Ativos Imob (Realiz</v>
          </cell>
          <cell r="G307">
            <v>0</v>
          </cell>
          <cell r="H307">
            <v>0</v>
          </cell>
        </row>
        <row r="308">
          <cell r="F308" t="str">
            <v>1754901020 Trib Diferidos s/Mais Valia CN Ativos Imob (Realiz</v>
          </cell>
          <cell r="G308">
            <v>-73961.8</v>
          </cell>
          <cell r="H308">
            <v>-73383.100000000006</v>
          </cell>
        </row>
        <row r="309">
          <cell r="F309" t="str">
            <v>1754901021 Trib Diferidos s/Mais Valia CN At Imob (Tr Passivo</v>
          </cell>
          <cell r="G309">
            <v>73961.8</v>
          </cell>
          <cell r="H309">
            <v>73383.100000000006</v>
          </cell>
        </row>
        <row r="310">
          <cell r="A310">
            <v>2</v>
          </cell>
          <cell r="B310" t="str">
            <v>PASSIVO E PATRIMÔNIO LÍQUIDO</v>
          </cell>
          <cell r="G310">
            <v>1738084.9</v>
          </cell>
          <cell r="H310">
            <v>1678126.4</v>
          </cell>
        </row>
        <row r="311">
          <cell r="A311" t="str">
            <v>2.01</v>
          </cell>
          <cell r="C311" t="str">
            <v>CIRCULANTE</v>
          </cell>
          <cell r="G311">
            <v>310734.7</v>
          </cell>
          <cell r="H311">
            <v>269118.09999999998</v>
          </cell>
        </row>
        <row r="312">
          <cell r="A312" t="str">
            <v>2.01.02</v>
          </cell>
          <cell r="D312" t="str">
            <v>FORNECEDORES</v>
          </cell>
          <cell r="G312">
            <v>24795.8</v>
          </cell>
          <cell r="H312">
            <v>22095.1</v>
          </cell>
        </row>
        <row r="313">
          <cell r="E313" t="str">
            <v>Serviços</v>
          </cell>
          <cell r="G313">
            <v>5568.2</v>
          </cell>
          <cell r="H313">
            <v>1765</v>
          </cell>
        </row>
        <row r="314">
          <cell r="F314" t="str">
            <v>2110101010 Fornecedores Nacionais de Serviços (Realizado)</v>
          </cell>
          <cell r="G314">
            <v>5568.2</v>
          </cell>
          <cell r="H314">
            <v>1765</v>
          </cell>
        </row>
        <row r="315">
          <cell r="E315" t="str">
            <v>Matérias Primas</v>
          </cell>
          <cell r="G315">
            <v>5471.4</v>
          </cell>
          <cell r="H315">
            <v>3833.3</v>
          </cell>
        </row>
        <row r="316">
          <cell r="F316" t="str">
            <v>2110101020 Fornecedores Nacionais de MP (Realizado)</v>
          </cell>
          <cell r="G316">
            <v>5471.4</v>
          </cell>
          <cell r="H316">
            <v>3828.9</v>
          </cell>
        </row>
        <row r="317">
          <cell r="F317" t="str">
            <v>2110102020 Fornecedores do Exterior de MP (Realizado)</v>
          </cell>
          <cell r="G317">
            <v>0</v>
          </cell>
          <cell r="H317">
            <v>4.4000000000000004</v>
          </cell>
        </row>
        <row r="318">
          <cell r="E318" t="str">
            <v>Fretes</v>
          </cell>
          <cell r="G318">
            <v>4956.7</v>
          </cell>
          <cell r="H318">
            <v>4820.8</v>
          </cell>
        </row>
        <row r="319">
          <cell r="F319" t="str">
            <v>2110101070 Fornecedores Nacionais de Fretes (Realizado)</v>
          </cell>
          <cell r="G319">
            <v>4956.7</v>
          </cell>
          <cell r="H319">
            <v>4820.8</v>
          </cell>
        </row>
        <row r="320">
          <cell r="E320" t="str">
            <v>Materiais de Consumo</v>
          </cell>
          <cell r="G320">
            <v>1575.6</v>
          </cell>
          <cell r="H320">
            <v>1263.5</v>
          </cell>
        </row>
        <row r="321">
          <cell r="F321" t="str">
            <v>2110101040 Fornecedores Nacionais de Mat de Cons(Realizado)</v>
          </cell>
          <cell r="G321">
            <v>1460.5</v>
          </cell>
          <cell r="H321">
            <v>1219.8</v>
          </cell>
        </row>
        <row r="322">
          <cell r="A322" t="str">
            <v>2.01.02.02</v>
          </cell>
          <cell r="F322" t="str">
            <v>2110102040 Fornecedores do Ext de Mat de Cons (Realizado)</v>
          </cell>
          <cell r="G322">
            <v>115.1</v>
          </cell>
          <cell r="H322">
            <v>43.7</v>
          </cell>
        </row>
        <row r="323">
          <cell r="E323" t="str">
            <v>Demais tipos de fornecedores</v>
          </cell>
          <cell r="G323">
            <v>7223.9</v>
          </cell>
          <cell r="H323">
            <v>10412.5</v>
          </cell>
        </row>
        <row r="324">
          <cell r="F324" t="str">
            <v>2110101030 Fornecedores Nacionais de Energia (Realizado)</v>
          </cell>
          <cell r="G324">
            <v>3700.8</v>
          </cell>
          <cell r="H324">
            <v>7616</v>
          </cell>
        </row>
        <row r="325">
          <cell r="F325" t="str">
            <v>2110101050 Fornecedores Nacionais Funcionarios (Realizado)</v>
          </cell>
          <cell r="G325">
            <v>24.6</v>
          </cell>
          <cell r="H325">
            <v>-19.600000000000001</v>
          </cell>
        </row>
        <row r="326">
          <cell r="F326" t="str">
            <v>2110101060 Fornecedores Nacionais Imps e Contrib (Realizado)</v>
          </cell>
          <cell r="G326">
            <v>1826.9</v>
          </cell>
          <cell r="H326">
            <v>1372.9</v>
          </cell>
        </row>
        <row r="327">
          <cell r="F327" t="str">
            <v>2110101990 Fornecedores Nacionais Outros (Realizado)</v>
          </cell>
          <cell r="G327">
            <v>0</v>
          </cell>
          <cell r="H327">
            <v>0</v>
          </cell>
        </row>
        <row r="328">
          <cell r="F328" t="str">
            <v>2110199010 Entrada de Mercadoria e de Fat (EM/EF) (Realizado)</v>
          </cell>
          <cell r="G328">
            <v>0</v>
          </cell>
          <cell r="H328">
            <v>0</v>
          </cell>
        </row>
        <row r="329">
          <cell r="F329" t="str">
            <v>2110199011 Provisao de Entrada de Mercad e de Fatura (EM/EF)</v>
          </cell>
          <cell r="G329">
            <v>1671.6</v>
          </cell>
          <cell r="H329">
            <v>1443.3</v>
          </cell>
        </row>
        <row r="330">
          <cell r="D330" t="str">
            <v>EMPRÉSTIMOS</v>
          </cell>
          <cell r="G330">
            <v>193635.9</v>
          </cell>
          <cell r="H330">
            <v>179625.2</v>
          </cell>
        </row>
        <row r="331">
          <cell r="A331" t="str">
            <v>2.01.04.01.01</v>
          </cell>
          <cell r="E331" t="str">
            <v>Moeda nacional</v>
          </cell>
          <cell r="G331">
            <v>191269</v>
          </cell>
          <cell r="H331">
            <v>177337.60000000001</v>
          </cell>
        </row>
        <row r="332">
          <cell r="F332" t="str">
            <v>2110502010 Emprest e Financs em Moeda Nacional CP (Realizado)</v>
          </cell>
          <cell r="G332">
            <v>153572.79999999999</v>
          </cell>
          <cell r="H332">
            <v>153572.79999999999</v>
          </cell>
        </row>
        <row r="333">
          <cell r="F333" t="str">
            <v>2110502020 Juros s/Empr Fin em Moeda Nacional CP (Realizado)</v>
          </cell>
          <cell r="G333">
            <v>32198.1</v>
          </cell>
          <cell r="H333">
            <v>18261.599999999999</v>
          </cell>
        </row>
        <row r="334">
          <cell r="F334" t="str">
            <v>2110502500 Custo de Emprest e Finan Amort em MN CP (Realiz)</v>
          </cell>
          <cell r="G334">
            <v>5498.1</v>
          </cell>
          <cell r="H334">
            <v>5503.2</v>
          </cell>
        </row>
        <row r="335">
          <cell r="A335" t="str">
            <v>2.01.04.01.02</v>
          </cell>
          <cell r="E335" t="str">
            <v>Moeda estrangeira</v>
          </cell>
          <cell r="G335">
            <v>2366.9</v>
          </cell>
          <cell r="H335">
            <v>2287.6</v>
          </cell>
        </row>
        <row r="336">
          <cell r="F336" t="str">
            <v>2110502600 Emprestimos e Finan em Moeda Estrang CP (Realiz)</v>
          </cell>
          <cell r="G336">
            <v>2343.6</v>
          </cell>
          <cell r="H336">
            <v>2266.6</v>
          </cell>
        </row>
        <row r="337">
          <cell r="F337" t="str">
            <v>2110502610 Jur s/Emprest e Finan Moeda Estrang CP (Realizado)</v>
          </cell>
          <cell r="G337">
            <v>23.2</v>
          </cell>
          <cell r="H337">
            <v>20.9</v>
          </cell>
        </row>
        <row r="338">
          <cell r="A338" t="str">
            <v>2.01.01.02</v>
          </cell>
          <cell r="D338" t="str">
            <v>SALÁRIOS E ENCARGOS SOCIAIS</v>
          </cell>
          <cell r="G338">
            <v>26140.6</v>
          </cell>
          <cell r="H338">
            <v>20545.900000000001</v>
          </cell>
        </row>
        <row r="339">
          <cell r="E339" t="str">
            <v>Salários, Férias e Gratificações</v>
          </cell>
          <cell r="G339">
            <v>21702.6</v>
          </cell>
          <cell r="H339">
            <v>16671.2</v>
          </cell>
        </row>
        <row r="340">
          <cell r="F340" t="str">
            <v>2111001010 Salarios a Pagar (Realizado)</v>
          </cell>
          <cell r="G340">
            <v>-0.4</v>
          </cell>
          <cell r="H340">
            <v>0</v>
          </cell>
        </row>
        <row r="341">
          <cell r="F341" t="str">
            <v>2111001050 Provisao de 13º Salario (Realizado)</v>
          </cell>
          <cell r="G341">
            <v>911.1</v>
          </cell>
          <cell r="H341">
            <v>1811</v>
          </cell>
        </row>
        <row r="342">
          <cell r="F342" t="str">
            <v>2111001060 Provisao de Ferias (Realizado)</v>
          </cell>
          <cell r="G342">
            <v>5149.7</v>
          </cell>
          <cell r="H342">
            <v>5347.3</v>
          </cell>
        </row>
        <row r="343">
          <cell r="F343" t="str">
            <v>2111001080 Provisao de Gratificaçoes Ferias (Realizado)</v>
          </cell>
          <cell r="G343">
            <v>3137.5</v>
          </cell>
          <cell r="H343">
            <v>3263.7</v>
          </cell>
        </row>
        <row r="344">
          <cell r="F344" t="str">
            <v>2111001090 Provisao de Gratificaçoes Diretores Estatutários</v>
          </cell>
          <cell r="G344">
            <v>4759.8999999999996</v>
          </cell>
          <cell r="H344">
            <v>2642.4</v>
          </cell>
        </row>
        <row r="345">
          <cell r="F345" t="str">
            <v>2111001100 Provisão de Gratificações  - CLT</v>
          </cell>
          <cell r="G345">
            <v>3447</v>
          </cell>
          <cell r="H345">
            <v>3606.8</v>
          </cell>
        </row>
        <row r="346">
          <cell r="F346" t="str">
            <v>2111001900 Provisoes Partic nos Lucros de Funcion (Realizado)</v>
          </cell>
          <cell r="G346">
            <v>4297.8999999999996</v>
          </cell>
          <cell r="H346">
            <v>0</v>
          </cell>
        </row>
        <row r="347">
          <cell r="E347" t="str">
            <v>INSS</v>
          </cell>
          <cell r="G347">
            <v>3646.8</v>
          </cell>
          <cell r="H347">
            <v>2999.3</v>
          </cell>
        </row>
        <row r="348">
          <cell r="F348" t="str">
            <v>2111005010 Contrib Prev a Recolher-INSS s/Folha (Realizado)</v>
          </cell>
          <cell r="G348">
            <v>1910.7</v>
          </cell>
          <cell r="H348">
            <v>1215.5</v>
          </cell>
        </row>
        <row r="349">
          <cell r="F349" t="str">
            <v>2111005020 Contrib Prev a Recolher-INSS s/Autonomos (Realiz)</v>
          </cell>
          <cell r="G349">
            <v>28.8</v>
          </cell>
          <cell r="H349">
            <v>13.1</v>
          </cell>
        </row>
        <row r="350">
          <cell r="F350" t="str">
            <v>2111005030 Contrib Prev a Recolher-INSS s/Cooperativas (Real)</v>
          </cell>
          <cell r="G350">
            <v>1.2</v>
          </cell>
          <cell r="H350">
            <v>0.3</v>
          </cell>
        </row>
        <row r="351">
          <cell r="F351" t="str">
            <v>2111005040 Contrib Prev a Recolher-INSS Termo Coop SENAI (R)</v>
          </cell>
          <cell r="G351">
            <v>4.5999999999999996</v>
          </cell>
          <cell r="H351">
            <v>11.3</v>
          </cell>
        </row>
        <row r="352">
          <cell r="F352" t="str">
            <v>2111005050 Prov de Contrib Prev-INSS sobre 13º Salario (R)</v>
          </cell>
          <cell r="G352">
            <v>255.8</v>
          </cell>
          <cell r="H352">
            <v>444.9</v>
          </cell>
        </row>
        <row r="353">
          <cell r="F353" t="str">
            <v>2111005060 Prov de Contrib Prev-INSS sobre Ferias (Realizado)</v>
          </cell>
          <cell r="G353">
            <v>1445.8</v>
          </cell>
          <cell r="H353">
            <v>1314.1</v>
          </cell>
        </row>
        <row r="354">
          <cell r="E354" t="str">
            <v>FGTS</v>
          </cell>
          <cell r="G354">
            <v>791.2</v>
          </cell>
          <cell r="H354">
            <v>875.3</v>
          </cell>
        </row>
        <row r="355">
          <cell r="F355" t="str">
            <v>2111006010 Contrib Prev a Recolher-FGTS s/Folha (Realizado)</v>
          </cell>
          <cell r="G355">
            <v>306.60000000000002</v>
          </cell>
          <cell r="H355">
            <v>303.5</v>
          </cell>
        </row>
        <row r="356">
          <cell r="F356" t="str">
            <v>2111006050 Prov Contrib Prev-FGTS s/ 13º Salario (Realizado)</v>
          </cell>
          <cell r="G356">
            <v>72.8</v>
          </cell>
          <cell r="H356">
            <v>144.5</v>
          </cell>
        </row>
        <row r="357">
          <cell r="F357" t="str">
            <v>2111006060 Prov Contrib Prev-FGTS sobre Ferias (Realizado)</v>
          </cell>
          <cell r="G357">
            <v>411.8</v>
          </cell>
          <cell r="H357">
            <v>427.3</v>
          </cell>
        </row>
        <row r="358">
          <cell r="A358" t="str">
            <v>2.01.03.01.01</v>
          </cell>
          <cell r="D358" t="str">
            <v>IMPOSTOS DE RENDA E CONTRIBUIÇÃO SOCIAL</v>
          </cell>
          <cell r="G358">
            <v>2797.3</v>
          </cell>
          <cell r="H358">
            <v>5602.1</v>
          </cell>
        </row>
        <row r="359">
          <cell r="E359" t="str">
            <v>IRPJ e CSLL</v>
          </cell>
          <cell r="G359">
            <v>2797.3</v>
          </cell>
          <cell r="H359">
            <v>5602.1</v>
          </cell>
        </row>
        <row r="360">
          <cell r="F360" t="str">
            <v>1111001010 Antecipaçoes de CSLL (Realizado)</v>
          </cell>
          <cell r="G360">
            <v>-1324.6</v>
          </cell>
          <cell r="H360">
            <v>-2841.9</v>
          </cell>
        </row>
        <row r="361">
          <cell r="F361" t="str">
            <v>1111001020 Antecipaçoes de IRPJ (Realizado)</v>
          </cell>
          <cell r="G361">
            <v>-3355.3</v>
          </cell>
          <cell r="H361">
            <v>-6663.7</v>
          </cell>
        </row>
        <row r="362">
          <cell r="F362" t="str">
            <v>1111506020 IRRF sobre Aplicaçoes Financeiras (Realizado)</v>
          </cell>
          <cell r="G362">
            <v>0</v>
          </cell>
          <cell r="H362">
            <v>0</v>
          </cell>
        </row>
        <row r="363">
          <cell r="F363" t="str">
            <v>1111506030 IRRF sobre Depositos Judiciais (Realizado)</v>
          </cell>
          <cell r="G363">
            <v>0</v>
          </cell>
          <cell r="H363">
            <v>0</v>
          </cell>
        </row>
        <row r="364">
          <cell r="F364" t="str">
            <v>2112001014 Prov p/ CSLL s/Alíquota Efetiva</v>
          </cell>
          <cell r="G364">
            <v>0</v>
          </cell>
          <cell r="H364">
            <v>0</v>
          </cell>
        </row>
        <row r="365">
          <cell r="F365" t="str">
            <v>2112001010 Prov p/ CSLL s/Resultado Operacional (Realizado)</v>
          </cell>
          <cell r="G365">
            <v>3797.1</v>
          </cell>
          <cell r="H365">
            <v>7918.2</v>
          </cell>
        </row>
        <row r="366">
          <cell r="F366" t="str">
            <v>2112001020 Provisao p/ CSLL Diferida (Realizado)</v>
          </cell>
          <cell r="G366">
            <v>187.7</v>
          </cell>
          <cell r="H366">
            <v>-52.5</v>
          </cell>
        </row>
        <row r="367">
          <cell r="F367" t="str">
            <v>2112001030 Provisao p/ CSLL Diferida s/Depreciaçao Fiscal (R)</v>
          </cell>
          <cell r="G367">
            <v>-1150.8</v>
          </cell>
          <cell r="H367">
            <v>-2331.1</v>
          </cell>
        </row>
        <row r="368">
          <cell r="F368" t="str">
            <v>2112001040 Contribuição Social s/Compensação Base Negativa (R</v>
          </cell>
          <cell r="G368">
            <v>-850.2</v>
          </cell>
          <cell r="H368">
            <v>-1660.4</v>
          </cell>
        </row>
        <row r="369">
          <cell r="F369" t="str">
            <v>2112002010 Prov p/  IR s/Resultando Operacional (Realizado)</v>
          </cell>
          <cell r="G369">
            <v>10797.3</v>
          </cell>
          <cell r="H369">
            <v>22447.9</v>
          </cell>
        </row>
        <row r="370">
          <cell r="F370" t="str">
            <v>2112002014 Prov p/  IR s/Alíquota Efetiva</v>
          </cell>
          <cell r="G370">
            <v>0</v>
          </cell>
          <cell r="H370">
            <v>0</v>
          </cell>
        </row>
        <row r="371">
          <cell r="F371" t="str">
            <v>2112002020 Provisao para IR Diferida (Realizado)</v>
          </cell>
          <cell r="G371">
            <v>276.39999999999998</v>
          </cell>
          <cell r="H371">
            <v>138.5</v>
          </cell>
        </row>
        <row r="372">
          <cell r="F372" t="str">
            <v>2112002030 Provisao p/ IR Diferida s/Depreciaçao Fiscal (R)</v>
          </cell>
          <cell r="G372">
            <v>-3196.6</v>
          </cell>
          <cell r="H372">
            <v>-6475.2</v>
          </cell>
        </row>
        <row r="373">
          <cell r="F373" t="str">
            <v>2112002040 Imposto de Renda s/ Compensação Prejuízo Fiscal (R</v>
          </cell>
          <cell r="G373">
            <v>-2383.9</v>
          </cell>
          <cell r="H373">
            <v>-4877.8</v>
          </cell>
        </row>
        <row r="374">
          <cell r="A374" t="str">
            <v>2.01.03.01.02</v>
          </cell>
          <cell r="D374" t="str">
            <v>OUTROS IMPOSTOS E CONTRIBUIÇÕES A PAGAR</v>
          </cell>
          <cell r="G374">
            <v>14831.3</v>
          </cell>
          <cell r="H374">
            <v>10574.2</v>
          </cell>
        </row>
        <row r="375">
          <cell r="E375" t="str">
            <v>ICMS a recolher</v>
          </cell>
          <cell r="G375">
            <v>9479.2999999999993</v>
          </cell>
          <cell r="H375">
            <v>6514</v>
          </cell>
        </row>
        <row r="376">
          <cell r="F376" t="str">
            <v>2113005300 ICMS a Recolher (Realizado)</v>
          </cell>
          <cell r="G376">
            <v>9479.2999999999993</v>
          </cell>
          <cell r="H376">
            <v>6514</v>
          </cell>
        </row>
        <row r="377">
          <cell r="F377" t="str">
            <v>2113005301 ICMS Transf de Estabelecimento (Transitoria)</v>
          </cell>
          <cell r="G377">
            <v>0</v>
          </cell>
          <cell r="H377">
            <v>0</v>
          </cell>
        </row>
        <row r="378">
          <cell r="E378" t="str">
            <v>PIS a recolher</v>
          </cell>
          <cell r="G378">
            <v>690.3</v>
          </cell>
          <cell r="H378">
            <v>534.79999999999995</v>
          </cell>
        </row>
        <row r="379">
          <cell r="F379" t="str">
            <v>2113005010 PIS a Recolher (Realizado)</v>
          </cell>
          <cell r="G379">
            <v>690.3</v>
          </cell>
          <cell r="H379">
            <v>534.79999999999995</v>
          </cell>
        </row>
        <row r="380">
          <cell r="E380" t="str">
            <v>Cofins a recolher</v>
          </cell>
          <cell r="G380">
            <v>3179.5</v>
          </cell>
          <cell r="H380">
            <v>2464.6999999999998</v>
          </cell>
        </row>
        <row r="381">
          <cell r="F381" t="str">
            <v>2113005020 COFINS a Recolher (Realizado)</v>
          </cell>
          <cell r="G381">
            <v>3179.5</v>
          </cell>
          <cell r="H381">
            <v>2464.6999999999998</v>
          </cell>
        </row>
        <row r="382">
          <cell r="E382" t="str">
            <v>ISS a recolher</v>
          </cell>
          <cell r="G382">
            <v>0</v>
          </cell>
          <cell r="H382">
            <v>0</v>
          </cell>
        </row>
        <row r="383">
          <cell r="F383" t="str">
            <v>2113005600 ISS a Recolher (Realizado)</v>
          </cell>
          <cell r="G383">
            <v>0</v>
          </cell>
          <cell r="H383">
            <v>0</v>
          </cell>
        </row>
        <row r="384">
          <cell r="E384" t="str">
            <v>Obrigações tributárias s/ servs.de terceiros</v>
          </cell>
          <cell r="G384">
            <v>1482.2</v>
          </cell>
          <cell r="H384">
            <v>1060.8</v>
          </cell>
        </row>
        <row r="385">
          <cell r="F385" t="str">
            <v>2113001010 IR de Funcionarios (Realizado)</v>
          </cell>
          <cell r="G385">
            <v>1059.5999999999999</v>
          </cell>
          <cell r="H385">
            <v>693.9</v>
          </cell>
        </row>
        <row r="386">
          <cell r="F386" t="str">
            <v>2113001020 INSS de Funcionarios (Realizado)</v>
          </cell>
          <cell r="G386">
            <v>0</v>
          </cell>
          <cell r="H386">
            <v>0</v>
          </cell>
        </row>
        <row r="387">
          <cell r="F387" t="str">
            <v>2113001200 Imposto Sindical de Funcionarios (Realizado)</v>
          </cell>
          <cell r="G387">
            <v>113.4</v>
          </cell>
          <cell r="H387">
            <v>2.1</v>
          </cell>
        </row>
        <row r="388">
          <cell r="F388" t="str">
            <v>2113001300 Imposto de Renda s/Servs de Terceiros (Realizado)</v>
          </cell>
          <cell r="G388">
            <v>35.299999999999997</v>
          </cell>
          <cell r="H388">
            <v>42.5</v>
          </cell>
        </row>
        <row r="389">
          <cell r="F389" t="str">
            <v>2113001310 INSS s/Serviços de Terceiros PF</v>
          </cell>
          <cell r="G389">
            <v>4.5999999999999996</v>
          </cell>
          <cell r="H389">
            <v>1.8</v>
          </cell>
        </row>
        <row r="390">
          <cell r="F390" t="str">
            <v>2113001320 INSS s/Serviços de Terceiros PJ</v>
          </cell>
          <cell r="G390">
            <v>118.4</v>
          </cell>
          <cell r="H390">
            <v>131.19999999999999</v>
          </cell>
        </row>
        <row r="391">
          <cell r="F391" t="str">
            <v>2113001350 CSLL s/Serviços de Terceiros (Realizado)</v>
          </cell>
          <cell r="G391">
            <v>11.5</v>
          </cell>
          <cell r="H391">
            <v>13.6</v>
          </cell>
        </row>
        <row r="392">
          <cell r="F392" t="str">
            <v>2113001360 PIS s/Serviços de Terceiros (Realizado)</v>
          </cell>
          <cell r="G392">
            <v>7.6</v>
          </cell>
          <cell r="H392">
            <v>9</v>
          </cell>
        </row>
        <row r="393">
          <cell r="F393" t="str">
            <v>2113001370 COFINS s/Serviços de Terceiros (Realizado)</v>
          </cell>
          <cell r="G393">
            <v>35.200000000000003</v>
          </cell>
          <cell r="H393">
            <v>41.5</v>
          </cell>
        </row>
        <row r="394">
          <cell r="F394" t="str">
            <v>2113001400 ISS s/Serviços de Terceiros (Realizado)</v>
          </cell>
          <cell r="G394">
            <v>96.6</v>
          </cell>
          <cell r="H394">
            <v>125.2</v>
          </cell>
        </row>
        <row r="395">
          <cell r="E395" t="str">
            <v>Outros</v>
          </cell>
          <cell r="G395">
            <v>0</v>
          </cell>
          <cell r="H395">
            <v>0</v>
          </cell>
        </row>
        <row r="396">
          <cell r="F396" t="str">
            <v>2113099010 CIDE s/Remessas ao Exterior a Recolher (Realizado)</v>
          </cell>
          <cell r="G396">
            <v>0</v>
          </cell>
          <cell r="H396">
            <v>0</v>
          </cell>
        </row>
        <row r="397">
          <cell r="F397" t="str">
            <v>2113099020 IOF s/Remessas ao Exterior a Recolher (Realizado)</v>
          </cell>
          <cell r="G397">
            <v>0</v>
          </cell>
          <cell r="H397">
            <v>0</v>
          </cell>
        </row>
        <row r="398">
          <cell r="A398" t="str">
            <v>2.01.05.02.01</v>
          </cell>
          <cell r="D398" t="str">
            <v>DIVIDENDOS E JUROS S/ CAPITAL PROPRIO A PAGAR</v>
          </cell>
          <cell r="G398">
            <v>20490.599999999999</v>
          </cell>
          <cell r="H398">
            <v>1710</v>
          </cell>
        </row>
        <row r="399">
          <cell r="E399" t="str">
            <v>Dividendos a pagar</v>
          </cell>
          <cell r="G399">
            <v>618.4</v>
          </cell>
          <cell r="H399">
            <v>1710</v>
          </cell>
        </row>
        <row r="400">
          <cell r="F400" t="str">
            <v>2114001010 Dividendos a Pagar (Realizado)</v>
          </cell>
          <cell r="G400">
            <v>618.4</v>
          </cell>
          <cell r="H400">
            <v>1710</v>
          </cell>
        </row>
        <row r="401">
          <cell r="E401" t="str">
            <v>Dividendos propostos</v>
          </cell>
          <cell r="G401">
            <v>19872.2</v>
          </cell>
          <cell r="H401">
            <v>0</v>
          </cell>
        </row>
        <row r="402">
          <cell r="F402" t="str">
            <v>2114001020 Dividendos Propostos (Realizado)</v>
          </cell>
          <cell r="G402">
            <v>19872.2</v>
          </cell>
          <cell r="H402">
            <v>0</v>
          </cell>
        </row>
        <row r="403">
          <cell r="D403" t="str">
            <v>DEMANDAS JUDICIAIS</v>
          </cell>
          <cell r="G403">
            <v>3257.7</v>
          </cell>
          <cell r="H403">
            <v>3291.9</v>
          </cell>
        </row>
        <row r="404">
          <cell r="A404" t="str">
            <v>2.01.06.01.01</v>
          </cell>
          <cell r="E404" t="str">
            <v>Fiscais</v>
          </cell>
          <cell r="G404">
            <v>3257.7</v>
          </cell>
          <cell r="H404">
            <v>3291.9</v>
          </cell>
        </row>
        <row r="405">
          <cell r="F405" t="str">
            <v>2119001010 Prov Nat Trib s/Dep Gar CP-Imp,Taxas Contr Fed (R)</v>
          </cell>
          <cell r="G405">
            <v>3257.7</v>
          </cell>
          <cell r="H405">
            <v>3291.9</v>
          </cell>
        </row>
        <row r="406">
          <cell r="A406" t="str">
            <v>2.01.05.02.04</v>
          </cell>
          <cell r="D406" t="str">
            <v>ENERGIA ELÉTRICA</v>
          </cell>
          <cell r="G406">
            <v>14800.4</v>
          </cell>
          <cell r="H406">
            <v>14716</v>
          </cell>
        </row>
        <row r="407">
          <cell r="E407" t="str">
            <v>Energia elétrica provisionada</v>
          </cell>
          <cell r="G407">
            <v>14800.4</v>
          </cell>
          <cell r="H407">
            <v>14716</v>
          </cell>
        </row>
        <row r="408">
          <cell r="F408" t="str">
            <v>2118005010 Fornec e nao Faturado-Energia Eletrica (Realizado)</v>
          </cell>
          <cell r="G408">
            <v>14800.4</v>
          </cell>
          <cell r="H408">
            <v>10969.2</v>
          </cell>
        </row>
        <row r="409">
          <cell r="F409" t="str">
            <v>2118005011 Fornec e nao Faturado-Energia Eletrica(Conting.)</v>
          </cell>
          <cell r="G409">
            <v>0</v>
          </cell>
          <cell r="H409">
            <v>3746.7</v>
          </cell>
        </row>
        <row r="410">
          <cell r="A410" t="str">
            <v>2.01.05.02.05</v>
          </cell>
          <cell r="D410" t="str">
            <v>OUTROS PASSIVOS CIRCULANTES</v>
          </cell>
          <cell r="G410">
            <v>9985</v>
          </cell>
          <cell r="H410">
            <v>10957.7</v>
          </cell>
        </row>
        <row r="411">
          <cell r="E411" t="str">
            <v>Serviços Técnicos profissionais</v>
          </cell>
          <cell r="G411">
            <v>135.4</v>
          </cell>
          <cell r="H411">
            <v>90.4</v>
          </cell>
        </row>
        <row r="412">
          <cell r="F412" t="str">
            <v>2119003020 Prov Nat Op Desp c/ Servs Tecn e Prof CP (Realiz)</v>
          </cell>
          <cell r="G412">
            <v>135.4</v>
          </cell>
          <cell r="H412">
            <v>90.4</v>
          </cell>
        </row>
        <row r="413">
          <cell r="E413" t="str">
            <v>Fretes sobre vendas</v>
          </cell>
          <cell r="G413">
            <v>3535.8</v>
          </cell>
          <cell r="H413">
            <v>3214.7</v>
          </cell>
        </row>
        <row r="414">
          <cell r="F414" t="str">
            <v>2119003010 Prov Nat Op Desp c/ Fretes s/Vendas CP (Realizado)</v>
          </cell>
          <cell r="G414">
            <v>3535.8</v>
          </cell>
          <cell r="H414">
            <v>3214.7</v>
          </cell>
        </row>
        <row r="415">
          <cell r="E415" t="str">
            <v>Desembaraço alfandegário</v>
          </cell>
          <cell r="G415">
            <v>2879.1</v>
          </cell>
          <cell r="H415">
            <v>3853.3</v>
          </cell>
        </row>
        <row r="416">
          <cell r="F416" t="str">
            <v>2118005030 Fornec e nao Fat-Desemb Alfandegario Sal (Realiz)</v>
          </cell>
          <cell r="G416">
            <v>0</v>
          </cell>
          <cell r="H416">
            <v>0</v>
          </cell>
        </row>
        <row r="417">
          <cell r="F417" t="str">
            <v>2118005040 Fornec e nao Faturado-Materiais de Cons (Realiz)</v>
          </cell>
          <cell r="G417">
            <v>2879.1</v>
          </cell>
          <cell r="H417">
            <v>3853.3</v>
          </cell>
        </row>
        <row r="418">
          <cell r="E418" t="str">
            <v>Obrigações de natureza fiscais</v>
          </cell>
          <cell r="G418">
            <v>1922.3</v>
          </cell>
          <cell r="H418">
            <v>1960.5</v>
          </cell>
        </row>
        <row r="419">
          <cell r="F419" t="str">
            <v>2119001030 Prov Nat Trib s/Dep Gar CP-Imp,Taxas Cont Mun (R)</v>
          </cell>
          <cell r="G419">
            <v>1922.3</v>
          </cell>
          <cell r="H419">
            <v>1960.5</v>
          </cell>
        </row>
        <row r="420">
          <cell r="E420" t="str">
            <v>Trabalhistas e previdênciárias</v>
          </cell>
          <cell r="G420">
            <v>0</v>
          </cell>
          <cell r="H420">
            <v>0</v>
          </cell>
        </row>
        <row r="421">
          <cell r="F421" t="str">
            <v>2119002020 Prov Ind Trab p/Desligamen Compulsório CP (Realiz)</v>
          </cell>
          <cell r="G421">
            <v>0</v>
          </cell>
          <cell r="H421">
            <v>0</v>
          </cell>
        </row>
        <row r="422">
          <cell r="F422" t="str">
            <v>2119002030 Prov Nat Trab s/Dep Gar CP-Previdenciaria (Realiz)</v>
          </cell>
          <cell r="G422">
            <v>0</v>
          </cell>
          <cell r="H422">
            <v>0</v>
          </cell>
        </row>
        <row r="423">
          <cell r="E423" t="str">
            <v>Outras obrigações e compromissos</v>
          </cell>
          <cell r="G423">
            <v>1512.5</v>
          </cell>
          <cell r="H423">
            <v>1838.9</v>
          </cell>
        </row>
        <row r="424">
          <cell r="F424" t="str">
            <v>2118005020 Fornec e nao Faturado-Agua (Realizado)</v>
          </cell>
          <cell r="G424">
            <v>41</v>
          </cell>
          <cell r="H424">
            <v>41</v>
          </cell>
        </row>
        <row r="425">
          <cell r="F425" t="str">
            <v>2118005090 Fornec e nao Faturado-Servs Prestados (Realizado)</v>
          </cell>
          <cell r="G425">
            <v>362.4</v>
          </cell>
          <cell r="H425">
            <v>185.2</v>
          </cell>
        </row>
        <row r="426">
          <cell r="F426" t="str">
            <v>2118010010 Retençoes s/Contratos de Compras (Realizado)</v>
          </cell>
          <cell r="G426">
            <v>16.399999999999999</v>
          </cell>
          <cell r="H426">
            <v>16.399999999999999</v>
          </cell>
        </row>
        <row r="427">
          <cell r="F427" t="str">
            <v>2118050010 Adiantamentos de Clientes (Realizado)</v>
          </cell>
          <cell r="G427">
            <v>781.9</v>
          </cell>
          <cell r="H427">
            <v>774.4</v>
          </cell>
        </row>
        <row r="428">
          <cell r="F428" t="str">
            <v>2119003030 Prov Nat Op Desp c/Servs de Auditoria CP (Realiz)</v>
          </cell>
          <cell r="G428">
            <v>250.7</v>
          </cell>
          <cell r="H428">
            <v>257.60000000000002</v>
          </cell>
        </row>
        <row r="429">
          <cell r="F429" t="str">
            <v>2119003040 Prov Nat Op Desp c/Seguros Gerais CP (Realizado)</v>
          </cell>
          <cell r="G429">
            <v>60</v>
          </cell>
          <cell r="H429">
            <v>60</v>
          </cell>
        </row>
        <row r="430">
          <cell r="F430" t="str">
            <v>2119003990 Prov Nat Op Outras Desp Provisionadas CP (Realiz)</v>
          </cell>
          <cell r="G430">
            <v>0</v>
          </cell>
          <cell r="H430">
            <v>504.2</v>
          </cell>
        </row>
        <row r="431">
          <cell r="A431" t="str">
            <v>2.02</v>
          </cell>
          <cell r="C431" t="str">
            <v>NÃO CIRCULANTE</v>
          </cell>
          <cell r="G431">
            <v>648913</v>
          </cell>
          <cell r="H431">
            <v>603037</v>
          </cell>
        </row>
        <row r="432">
          <cell r="D432" t="str">
            <v>EMPRÉSTIMOS</v>
          </cell>
          <cell r="G432">
            <v>547136.5</v>
          </cell>
          <cell r="H432">
            <v>495202.7</v>
          </cell>
        </row>
        <row r="433">
          <cell r="A433" t="str">
            <v>2.02.01.01.01</v>
          </cell>
          <cell r="E433" t="str">
            <v>Moeda nacional</v>
          </cell>
          <cell r="G433">
            <v>541082.1</v>
          </cell>
          <cell r="H433">
            <v>489913.9</v>
          </cell>
        </row>
        <row r="434">
          <cell r="F434" t="str">
            <v>2310502010 Emprest Finan Bancarios Moeda Nacional LP (R)</v>
          </cell>
          <cell r="G434">
            <v>541082.1</v>
          </cell>
          <cell r="H434">
            <v>489913.9</v>
          </cell>
        </row>
        <row r="435">
          <cell r="A435" t="str">
            <v>2.02.01.01.02</v>
          </cell>
          <cell r="E435" t="str">
            <v>Moeda estrangeira</v>
          </cell>
          <cell r="G435">
            <v>6054.4</v>
          </cell>
          <cell r="H435">
            <v>5288.8</v>
          </cell>
        </row>
        <row r="436">
          <cell r="F436" t="str">
            <v>2310502600 Empr Financiamentos Moeda Estrangeira LP (Realiz)</v>
          </cell>
          <cell r="G436">
            <v>6054.4</v>
          </cell>
          <cell r="H436">
            <v>5288.8</v>
          </cell>
        </row>
        <row r="437">
          <cell r="A437" t="str">
            <v>2.02.03.01</v>
          </cell>
          <cell r="D437" t="str">
            <v>IR E CONTRIBUIÇÃO SOCIAL DIFERIDOS</v>
          </cell>
          <cell r="G437">
            <v>46543.1</v>
          </cell>
          <cell r="H437">
            <v>54105.4</v>
          </cell>
        </row>
        <row r="438">
          <cell r="E438" t="str">
            <v>Ativo de imposto diferido</v>
          </cell>
          <cell r="G438">
            <v>-91309.9</v>
          </cell>
          <cell r="H438">
            <v>-87627.7</v>
          </cell>
        </row>
        <row r="439">
          <cell r="F439" t="str">
            <v>1111505014 Ajustes Temporarios Aliq Efetiva CSLL (Realiz)</v>
          </cell>
          <cell r="G439">
            <v>0</v>
          </cell>
          <cell r="H439">
            <v>0</v>
          </cell>
        </row>
        <row r="440">
          <cell r="F440" t="str">
            <v>1111506014 Ajustes Temps Aliq Efetiva IRPJ (Realiz)</v>
          </cell>
          <cell r="G440">
            <v>0</v>
          </cell>
          <cell r="H440">
            <v>0</v>
          </cell>
        </row>
        <row r="441">
          <cell r="F441" t="str">
            <v>1711505000 Cred Fisc CSLL-Bas de Cal Negativa LP (Real)</v>
          </cell>
          <cell r="G441">
            <v>-7286.9</v>
          </cell>
          <cell r="H441">
            <v>-6476.7</v>
          </cell>
        </row>
        <row r="442">
          <cell r="F442" t="str">
            <v>1711505010 Cred Fisc CSLL-Dif Temp (Real)</v>
          </cell>
          <cell r="G442">
            <v>-17367.3</v>
          </cell>
          <cell r="H442">
            <v>-17127.099999999999</v>
          </cell>
        </row>
        <row r="443">
          <cell r="F443" t="str">
            <v>1711506000 Cred Fisc IRPJL-Prejuizo Fiscal LP (Real)</v>
          </cell>
          <cell r="G443">
            <v>-19603.099999999999</v>
          </cell>
          <cell r="H443">
            <v>-17109.3</v>
          </cell>
        </row>
        <row r="444">
          <cell r="F444" t="str">
            <v>1711506010 Cred Fisc IRPJ-Dif Temp (Realizado)</v>
          </cell>
          <cell r="G444">
            <v>-47052.5</v>
          </cell>
          <cell r="H444">
            <v>-46914.7</v>
          </cell>
        </row>
        <row r="445">
          <cell r="E445" t="str">
            <v>Passivo de imposto diferido</v>
          </cell>
          <cell r="G445">
            <v>137852.9</v>
          </cell>
          <cell r="H445">
            <v>141733.1</v>
          </cell>
        </row>
        <row r="446">
          <cell r="F446" t="str">
            <v>2312001030 Prov p/CSLL Diferida s/Depr Fiscal LP (Realiz)</v>
          </cell>
          <cell r="G446">
            <v>36490.5</v>
          </cell>
          <cell r="H446">
            <v>37517.599999999999</v>
          </cell>
        </row>
        <row r="447">
          <cell r="F447" t="str">
            <v>2312001040 Prov p/CSLL Diferida s/Dif Temp (Realiz)</v>
          </cell>
          <cell r="G447">
            <v>0</v>
          </cell>
          <cell r="H447">
            <v>0</v>
          </cell>
        </row>
        <row r="448">
          <cell r="F448" t="str">
            <v>2312002030 Prov p/IR Diferida s/Depr Fiscal LP (Realiz)</v>
          </cell>
          <cell r="G448">
            <v>101362.5</v>
          </cell>
          <cell r="H448">
            <v>104215.6</v>
          </cell>
        </row>
        <row r="449">
          <cell r="F449" t="str">
            <v>2312002040 Prov p/IR Diferida s/Dif Temp (Realiz)</v>
          </cell>
          <cell r="G449">
            <v>0</v>
          </cell>
          <cell r="H449">
            <v>0</v>
          </cell>
        </row>
        <row r="450">
          <cell r="A450" t="str">
            <v>2.02.02.02.03</v>
          </cell>
          <cell r="D450" t="str">
            <v>OBRIGAÇÕES COM BENEFICIOS AOS EMPREGADOS</v>
          </cell>
          <cell r="G450">
            <v>21910.9</v>
          </cell>
          <cell r="H450">
            <v>20174.8</v>
          </cell>
        </row>
        <row r="451">
          <cell r="E451" t="str">
            <v>Provisão para previdência privada</v>
          </cell>
          <cell r="G451">
            <v>9.6</v>
          </cell>
          <cell r="H451">
            <v>60.9</v>
          </cell>
        </row>
        <row r="452">
          <cell r="F452" t="str">
            <v>2318001010 Previdencia Privada-CVM 371 LP (Realizado)</v>
          </cell>
          <cell r="G452">
            <v>9.6</v>
          </cell>
          <cell r="H452">
            <v>60.9</v>
          </cell>
        </row>
        <row r="453">
          <cell r="E453" t="str">
            <v>Provisão para assistência médica</v>
          </cell>
          <cell r="G453">
            <v>2291.8000000000002</v>
          </cell>
          <cell r="H453">
            <v>2235.8000000000002</v>
          </cell>
        </row>
        <row r="454">
          <cell r="F454" t="str">
            <v>2319002150 Prov Nat Trab Assist Medica Aposent LP (Realizado)</v>
          </cell>
          <cell r="G454">
            <v>2291.8000000000002</v>
          </cell>
          <cell r="H454">
            <v>2235.8000000000002</v>
          </cell>
        </row>
        <row r="455">
          <cell r="E455" t="str">
            <v>Provisão para aposentadoria compulsória</v>
          </cell>
          <cell r="G455">
            <v>17321</v>
          </cell>
          <cell r="H455">
            <v>15992.8</v>
          </cell>
        </row>
        <row r="456">
          <cell r="F456" t="str">
            <v>2319002100 Prov Nat Trab FGTS Aviso Prev s/Aposen Comp LP (R)</v>
          </cell>
          <cell r="G456">
            <v>17321</v>
          </cell>
          <cell r="H456">
            <v>15992.8</v>
          </cell>
        </row>
        <row r="457">
          <cell r="E457" t="str">
            <v>Provisão para gratificação tempo de casa</v>
          </cell>
          <cell r="G457">
            <v>2288.6</v>
          </cell>
          <cell r="H457">
            <v>1885.3</v>
          </cell>
        </row>
        <row r="458">
          <cell r="F458" t="str">
            <v>2319002200 Prov Nat Trab Gratif Tempo Serv LP-Quinq (Realiz)</v>
          </cell>
          <cell r="G458">
            <v>2288.6</v>
          </cell>
          <cell r="H458">
            <v>1885.3</v>
          </cell>
        </row>
        <row r="459">
          <cell r="D459" t="str">
            <v>DEMANDAS JUDICIAIS</v>
          </cell>
          <cell r="G459">
            <v>33322.5</v>
          </cell>
          <cell r="H459">
            <v>33554.1</v>
          </cell>
        </row>
        <row r="460">
          <cell r="E460" t="str">
            <v>Fiscais</v>
          </cell>
          <cell r="G460">
            <v>14503.2</v>
          </cell>
          <cell r="H460">
            <v>14489.3</v>
          </cell>
        </row>
        <row r="461">
          <cell r="A461" t="str">
            <v>2.02.04.01.01</v>
          </cell>
          <cell r="F461" t="str">
            <v>2319001010 Prov Nat Trib s/Dep Gar LP-Imp,Taxs Cont Fed (R)</v>
          </cell>
          <cell r="G461">
            <v>660.3</v>
          </cell>
          <cell r="H461">
            <v>509.5</v>
          </cell>
        </row>
        <row r="462">
          <cell r="A462" t="str">
            <v>2.02.04.01.01.0</v>
          </cell>
          <cell r="F462" t="str">
            <v>2319001020 Prov Nat Trib s/Dep Gar LP-Imp,Taxs Cont Est (R)</v>
          </cell>
          <cell r="G462">
            <v>698.5</v>
          </cell>
          <cell r="H462">
            <v>718.8</v>
          </cell>
        </row>
        <row r="463">
          <cell r="A463" t="str">
            <v>2.02.04.01.01.1</v>
          </cell>
          <cell r="F463" t="str">
            <v>2319101010 Prov Nat Trib c/Dep Gar LP-Imp,Taxas Cont Fed (R)</v>
          </cell>
          <cell r="G463">
            <v>11418.2</v>
          </cell>
          <cell r="H463">
            <v>11418.2</v>
          </cell>
        </row>
        <row r="464">
          <cell r="A464" t="str">
            <v>2.02.04.01.01.2</v>
          </cell>
          <cell r="F464" t="str">
            <v>2319101030 Prov Nat Trib c/Dep em Gar LP-Imps Taxs Ctrb M (R)</v>
          </cell>
          <cell r="G464">
            <v>1726.1</v>
          </cell>
          <cell r="H464">
            <v>1842.8</v>
          </cell>
        </row>
        <row r="465">
          <cell r="E465" t="str">
            <v>Trabalhistas</v>
          </cell>
          <cell r="G465">
            <v>9483.5</v>
          </cell>
          <cell r="H465">
            <v>9208.5</v>
          </cell>
        </row>
        <row r="466">
          <cell r="A466" t="str">
            <v>2.02.04.01.02.1</v>
          </cell>
          <cell r="F466" t="str">
            <v>2319002010 Prov Nat Trab s/Dep em Gar LP-Recl Trabalh (Real)</v>
          </cell>
          <cell r="G466">
            <v>8586.4</v>
          </cell>
          <cell r="H466">
            <v>8311.4</v>
          </cell>
        </row>
        <row r="467">
          <cell r="A467" t="str">
            <v>2.02.04.01.02.2</v>
          </cell>
          <cell r="F467" t="str">
            <v>2319102030 Prov Nat Trab c/Dep em Gar LP - Previd (Realizado)</v>
          </cell>
          <cell r="G467">
            <v>897.1</v>
          </cell>
          <cell r="H467">
            <v>897.1</v>
          </cell>
        </row>
        <row r="468">
          <cell r="A468" t="str">
            <v>2.02.04.01.04</v>
          </cell>
          <cell r="E468" t="str">
            <v>Cíveis</v>
          </cell>
          <cell r="G468">
            <v>23377.3</v>
          </cell>
          <cell r="H468">
            <v>24083.3</v>
          </cell>
        </row>
        <row r="469">
          <cell r="F469" t="str">
            <v>2319000010 Prov Nat Cível s/Dep Gar LP (R)</v>
          </cell>
          <cell r="G469">
            <v>23377.3</v>
          </cell>
          <cell r="H469">
            <v>24083.3</v>
          </cell>
        </row>
        <row r="470">
          <cell r="E470" t="str">
            <v>Ambientais</v>
          </cell>
          <cell r="G470">
            <v>0</v>
          </cell>
          <cell r="H470">
            <v>0</v>
          </cell>
        </row>
        <row r="471">
          <cell r="A471" t="str">
            <v>2.02.04.02.03</v>
          </cell>
          <cell r="F471" t="str">
            <v>2319003100 Prov Nat Op Desp Amb Trat Subsolo LP (Realiz)</v>
          </cell>
          <cell r="G471">
            <v>0</v>
          </cell>
          <cell r="H471">
            <v>0</v>
          </cell>
        </row>
        <row r="472">
          <cell r="E472" t="str">
            <v>Outras perdas possiveis</v>
          </cell>
          <cell r="G472">
            <v>0</v>
          </cell>
          <cell r="H472">
            <v>0</v>
          </cell>
        </row>
        <row r="473">
          <cell r="A473" t="str">
            <v>2.02.04.01.04</v>
          </cell>
          <cell r="F473" t="str">
            <v>2319003900 Prov Nat Op Outras Desps LP (Realiz)</v>
          </cell>
          <cell r="G473">
            <v>0</v>
          </cell>
          <cell r="H473">
            <v>0</v>
          </cell>
        </row>
        <row r="474">
          <cell r="E474" t="str">
            <v>Depósitos judiciais</v>
          </cell>
          <cell r="G474">
            <v>-14041.4</v>
          </cell>
          <cell r="H474">
            <v>-14226.9</v>
          </cell>
        </row>
        <row r="475">
          <cell r="A475" t="str">
            <v>2.02.04.01.04.1</v>
          </cell>
          <cell r="F475" t="str">
            <v>1719100010 Dep Jud c/ Reserv-Cíveis (Realiz)</v>
          </cell>
          <cell r="G475">
            <v>0</v>
          </cell>
          <cell r="H475">
            <v>-68.8</v>
          </cell>
        </row>
        <row r="476">
          <cell r="A476" t="str">
            <v>2.02.04.01.01.3</v>
          </cell>
          <cell r="F476" t="str">
            <v>1719101010 Dep Jud c/ Reserv-Imp,Taxas e Contrib Fed (Realiz)</v>
          </cell>
          <cell r="G476">
            <v>-11418.2</v>
          </cell>
          <cell r="H476">
            <v>-11418.2</v>
          </cell>
        </row>
        <row r="477">
          <cell r="A477" t="str">
            <v>2.02.04.01.01.4</v>
          </cell>
          <cell r="F477" t="str">
            <v>1719101030 Dep Jud c/Res-Imp, Taxas e Contrib Munic (Realiz)</v>
          </cell>
          <cell r="G477">
            <v>-1726.1</v>
          </cell>
          <cell r="H477">
            <v>-1842.8</v>
          </cell>
        </row>
        <row r="478">
          <cell r="A478" t="str">
            <v>2.02.04.01.02.3</v>
          </cell>
          <cell r="F478" t="str">
            <v>1719102030 Dep Judiciais c/Res -Previdenciarios (Realizado)</v>
          </cell>
          <cell r="G478">
            <v>-897.1</v>
          </cell>
          <cell r="H478">
            <v>-897.1</v>
          </cell>
        </row>
        <row r="479">
          <cell r="C479" t="str">
            <v>PATRIMÔNIO LÍQUIDO</v>
          </cell>
          <cell r="G479">
            <v>778437.1</v>
          </cell>
          <cell r="H479">
            <v>805971.3</v>
          </cell>
        </row>
        <row r="480">
          <cell r="A480" t="str">
            <v>2.03.01</v>
          </cell>
          <cell r="D480" t="str">
            <v>CAPITAL SOCIAL</v>
          </cell>
          <cell r="G480">
            <v>384331</v>
          </cell>
          <cell r="H480">
            <v>384331</v>
          </cell>
        </row>
        <row r="481">
          <cell r="E481" t="str">
            <v>Capital Subscrito</v>
          </cell>
          <cell r="G481">
            <v>384331</v>
          </cell>
          <cell r="H481">
            <v>384331</v>
          </cell>
        </row>
        <row r="482">
          <cell r="F482" t="str">
            <v>2710101010 Capital  Subs Domic e Resids no Pais (Realizado)</v>
          </cell>
          <cell r="G482">
            <v>384331</v>
          </cell>
          <cell r="H482">
            <v>384331</v>
          </cell>
        </row>
        <row r="483">
          <cell r="A483" t="str">
            <v>2.03.02.05</v>
          </cell>
          <cell r="D483" t="str">
            <v>AÇÕES EM TESOURARIA</v>
          </cell>
          <cell r="G483">
            <v>-14879.1</v>
          </cell>
          <cell r="H483">
            <v>-14879.1</v>
          </cell>
        </row>
        <row r="484">
          <cell r="E484" t="str">
            <v>Preferenciais</v>
          </cell>
          <cell r="G484">
            <v>-14397.5</v>
          </cell>
          <cell r="H484">
            <v>-14397.5</v>
          </cell>
        </row>
        <row r="485">
          <cell r="F485" t="str">
            <v>2760101010 Acoes Preferenciais em Tesouraria</v>
          </cell>
          <cell r="G485">
            <v>-14397.5</v>
          </cell>
          <cell r="H485">
            <v>-14397.5</v>
          </cell>
        </row>
        <row r="486">
          <cell r="E486" t="str">
            <v>Ordinárias</v>
          </cell>
          <cell r="G486">
            <v>-481.6</v>
          </cell>
          <cell r="H486">
            <v>-481.6</v>
          </cell>
        </row>
        <row r="487">
          <cell r="F487" t="str">
            <v>2760101020 Acoes Ordinarias em Tesouraria</v>
          </cell>
          <cell r="G487">
            <v>-481.6</v>
          </cell>
          <cell r="H487">
            <v>-481.6</v>
          </cell>
        </row>
        <row r="488">
          <cell r="D488" t="str">
            <v>RESERVA DE CAPITAL</v>
          </cell>
          <cell r="G488">
            <v>0.1</v>
          </cell>
          <cell r="H488">
            <v>0.1</v>
          </cell>
        </row>
        <row r="489">
          <cell r="E489" t="str">
            <v>Reserva de capital</v>
          </cell>
          <cell r="G489">
            <v>0.1</v>
          </cell>
          <cell r="H489">
            <v>0.1</v>
          </cell>
        </row>
        <row r="490">
          <cell r="A490" t="str">
            <v>2.03.02.04</v>
          </cell>
          <cell r="F490" t="str">
            <v>2740101010 Reservas de Capital (Realizado)</v>
          </cell>
          <cell r="G490">
            <v>0.1</v>
          </cell>
          <cell r="H490">
            <v>0.1</v>
          </cell>
        </row>
        <row r="491">
          <cell r="D491" t="str">
            <v>RESERVAS DE LUCROS</v>
          </cell>
          <cell r="G491">
            <v>418127</v>
          </cell>
          <cell r="H491">
            <v>418127</v>
          </cell>
        </row>
        <row r="492">
          <cell r="A492" t="str">
            <v>2.03.04.01</v>
          </cell>
          <cell r="E492" t="str">
            <v>Reserva legal</v>
          </cell>
          <cell r="G492">
            <v>23131.200000000001</v>
          </cell>
          <cell r="H492">
            <v>23131.200000000001</v>
          </cell>
        </row>
        <row r="493">
          <cell r="F493" t="str">
            <v>2740201010 Reserva Legal (Realizado)</v>
          </cell>
          <cell r="G493">
            <v>23131.200000000001</v>
          </cell>
          <cell r="H493">
            <v>23131.200000000001</v>
          </cell>
        </row>
        <row r="494">
          <cell r="A494" t="str">
            <v>2.03.04.06</v>
          </cell>
          <cell r="E494" t="str">
            <v>Reserva especial para dividendos</v>
          </cell>
          <cell r="G494">
            <v>23131.200000000001</v>
          </cell>
          <cell r="H494">
            <v>23131.200000000001</v>
          </cell>
        </row>
        <row r="495">
          <cell r="F495" t="str">
            <v>2740203010 Reserva Especial p/Dividendos (Realizado)</v>
          </cell>
          <cell r="G495">
            <v>23131.200000000001</v>
          </cell>
          <cell r="H495">
            <v>23131.200000000001</v>
          </cell>
        </row>
        <row r="496">
          <cell r="A496" t="str">
            <v>2.03.04.05</v>
          </cell>
          <cell r="E496" t="str">
            <v>Reserva de retenção de lucros</v>
          </cell>
          <cell r="G496">
            <v>108955.2</v>
          </cell>
          <cell r="H496">
            <v>108955.2</v>
          </cell>
        </row>
        <row r="497">
          <cell r="F497" t="str">
            <v>2740202000 Reserva Est-Ret de Lucros An Anteriores (Realiz)</v>
          </cell>
          <cell r="G497">
            <v>0</v>
          </cell>
          <cell r="H497">
            <v>0</v>
          </cell>
        </row>
        <row r="498">
          <cell r="F498" t="str">
            <v>2740202010 Reserva Est-Ret de Lucros Exer de 2.004 (Realiz)</v>
          </cell>
          <cell r="G498">
            <v>0</v>
          </cell>
          <cell r="H498">
            <v>0</v>
          </cell>
        </row>
        <row r="499">
          <cell r="F499" t="str">
            <v>2740202020 Reserva Est-Ret de Lucros Exer de 2.005 (Realiz)</v>
          </cell>
          <cell r="G499">
            <v>0</v>
          </cell>
          <cell r="H499">
            <v>0</v>
          </cell>
        </row>
        <row r="500">
          <cell r="F500" t="str">
            <v>2740202030 Reserva Est-Ret de Lucros Exer de 2.006 (Realiz)</v>
          </cell>
          <cell r="G500">
            <v>0</v>
          </cell>
          <cell r="H500">
            <v>0</v>
          </cell>
        </row>
        <row r="501">
          <cell r="F501" t="str">
            <v>2740202040 Reserva Est-Ret de Lucros Exer de 2.007 (Realiz)</v>
          </cell>
          <cell r="G501">
            <v>0</v>
          </cell>
          <cell r="H501">
            <v>0</v>
          </cell>
        </row>
        <row r="502">
          <cell r="F502" t="str">
            <v>2740202050 Reserva Est-Ret de Lucros Exer de 2.008 (Realiz)</v>
          </cell>
          <cell r="G502">
            <v>0</v>
          </cell>
          <cell r="H502">
            <v>0</v>
          </cell>
        </row>
        <row r="503">
          <cell r="F503" t="str">
            <v>2740202060 Reserva Est-Ret de Lucros Exer de 2.009 (Realiz)</v>
          </cell>
          <cell r="G503">
            <v>0</v>
          </cell>
          <cell r="H503">
            <v>0</v>
          </cell>
        </row>
        <row r="504">
          <cell r="F504" t="str">
            <v>2740202070 Reserva Est-Ret de Lucros Exer de 2.010 (Realiz)</v>
          </cell>
          <cell r="G504">
            <v>0</v>
          </cell>
          <cell r="H504">
            <v>0</v>
          </cell>
        </row>
        <row r="505">
          <cell r="F505" t="str">
            <v>2740202080 Reserva Est-Ret de Lucros Exer de 2.011 (Realiz)</v>
          </cell>
          <cell r="G505">
            <v>0</v>
          </cell>
          <cell r="H505">
            <v>0</v>
          </cell>
        </row>
        <row r="506">
          <cell r="F506" t="str">
            <v>2740202090 Reserva Est-Ret de Lucros Exer de  2.012 (Realiz)</v>
          </cell>
          <cell r="G506">
            <v>0</v>
          </cell>
          <cell r="H506">
            <v>0</v>
          </cell>
        </row>
        <row r="507">
          <cell r="F507" t="str">
            <v>2740202100 Reserva Est-Ret de Lucros Exer de 2.014 (Realiz)</v>
          </cell>
          <cell r="G507">
            <v>43454.1</v>
          </cell>
          <cell r="H507">
            <v>43454.1</v>
          </cell>
        </row>
        <row r="508">
          <cell r="F508" t="str">
            <v>2740202990 Reversão Reserva Estatutaria de Retenção de Lucros</v>
          </cell>
          <cell r="G508">
            <v>0</v>
          </cell>
          <cell r="H508">
            <v>0</v>
          </cell>
        </row>
        <row r="509">
          <cell r="F509" t="str">
            <v>2740205010 Reserva de Lucros para Investimentos</v>
          </cell>
          <cell r="G509">
            <v>65501.1</v>
          </cell>
          <cell r="H509">
            <v>65501.1</v>
          </cell>
        </row>
        <row r="510">
          <cell r="A510" t="str">
            <v>2.03.04.04</v>
          </cell>
          <cell r="E510" t="str">
            <v>Reserva de lucros a realizar</v>
          </cell>
          <cell r="G510">
            <v>262909.40000000002</v>
          </cell>
          <cell r="H510">
            <v>262909.40000000002</v>
          </cell>
        </row>
        <row r="511">
          <cell r="F511" t="str">
            <v>2740204010 Reserva de Lucros a Realizar (Realizado)</v>
          </cell>
          <cell r="G511">
            <v>262909.40000000002</v>
          </cell>
          <cell r="H511">
            <v>262909.40000000002</v>
          </cell>
        </row>
        <row r="512">
          <cell r="A512" t="str">
            <v>2.03.08</v>
          </cell>
          <cell r="D512" t="str">
            <v>OUTROS RESULTADOS ABRANGENTES DO PERIODO</v>
          </cell>
          <cell r="G512">
            <v>-25695.1</v>
          </cell>
          <cell r="H512">
            <v>-25890.7</v>
          </cell>
        </row>
        <row r="513">
          <cell r="E513" t="str">
            <v>Ajuste às normas internacionais de contab.</v>
          </cell>
          <cell r="G513">
            <v>-25695.1</v>
          </cell>
          <cell r="H513">
            <v>-25890.7</v>
          </cell>
        </row>
        <row r="514">
          <cell r="F514" t="str">
            <v>2750101010 Ajs as Normas Internac de Contab (Realizado)</v>
          </cell>
          <cell r="G514">
            <v>2025</v>
          </cell>
          <cell r="H514">
            <v>2125.8000000000002</v>
          </cell>
        </row>
        <row r="515">
          <cell r="F515" t="str">
            <v>2750102010 (-)Ajs as Normas Internac de Contab (Realizado)</v>
          </cell>
          <cell r="G515">
            <v>-27720.1</v>
          </cell>
          <cell r="H515">
            <v>-28016.5</v>
          </cell>
        </row>
        <row r="516">
          <cell r="A516" t="str">
            <v>2.03.05</v>
          </cell>
          <cell r="D516" t="str">
            <v>LUCROS ACUMULADOS</v>
          </cell>
          <cell r="G516">
            <v>16553.3</v>
          </cell>
          <cell r="H516">
            <v>44283</v>
          </cell>
        </row>
        <row r="517">
          <cell r="E517" t="str">
            <v>Resultado líquido do periodo</v>
          </cell>
          <cell r="G517">
            <v>16553.3</v>
          </cell>
          <cell r="H517">
            <v>44283</v>
          </cell>
        </row>
      </sheetData>
      <sheetData sheetId="28" refreshError="1">
        <row r="3">
          <cell r="B3" t="str">
            <v>Resultado líquido do periodo</v>
          </cell>
          <cell r="K3">
            <v>16553.3</v>
          </cell>
          <cell r="L3">
            <v>44283</v>
          </cell>
        </row>
        <row r="4">
          <cell r="A4" t="str">
            <v>3.07</v>
          </cell>
          <cell r="D4" t="str">
            <v>Resultado antes dos tributos sobre o lucro</v>
          </cell>
          <cell r="K4">
            <v>30102.5</v>
          </cell>
          <cell r="L4">
            <v>72534.399999999994</v>
          </cell>
        </row>
        <row r="5">
          <cell r="A5" t="str">
            <v>3.05</v>
          </cell>
          <cell r="E5" t="str">
            <v>Resultado antes do resultado financeiro</v>
          </cell>
          <cell r="K5">
            <v>43864.6</v>
          </cell>
          <cell r="L5">
            <v>100909.1</v>
          </cell>
        </row>
        <row r="6">
          <cell r="A6" t="str">
            <v>3.03</v>
          </cell>
          <cell r="F6" t="str">
            <v>Lucro bruto</v>
          </cell>
          <cell r="K6">
            <v>97698.1</v>
          </cell>
          <cell r="L6">
            <v>196151</v>
          </cell>
        </row>
        <row r="7">
          <cell r="A7" t="str">
            <v>3.01</v>
          </cell>
          <cell r="G7" t="str">
            <v>Receita líquida de vendas</v>
          </cell>
          <cell r="K7">
            <v>204969.60000000001</v>
          </cell>
          <cell r="L7">
            <v>407603.7</v>
          </cell>
        </row>
        <row r="8">
          <cell r="H8" t="str">
            <v>Receita bruta de vendas</v>
          </cell>
          <cell r="K8">
            <v>267510.2</v>
          </cell>
          <cell r="L8">
            <v>531172.9</v>
          </cell>
        </row>
        <row r="9">
          <cell r="I9" t="str">
            <v>Mercado interno</v>
          </cell>
          <cell r="K9">
            <v>267510.2</v>
          </cell>
          <cell r="L9">
            <v>531172.9</v>
          </cell>
        </row>
        <row r="10">
          <cell r="J10" t="str">
            <v>3110101030 Rec Brt-Vendas de Produtos no MI (Realizado)</v>
          </cell>
          <cell r="K10">
            <v>261435.9</v>
          </cell>
          <cell r="L10">
            <v>518908.9</v>
          </cell>
        </row>
        <row r="11">
          <cell r="J11" t="str">
            <v>3110105030 Rec Brt-Rev de Mercs Nacionais no MI (Realizado)</v>
          </cell>
          <cell r="K11">
            <v>6323.9</v>
          </cell>
          <cell r="L11">
            <v>11759</v>
          </cell>
        </row>
        <row r="12">
          <cell r="J12" t="str">
            <v>3110106030 Rec Brt-Rev de Mercs Importadas MI ( Realizado)</v>
          </cell>
          <cell r="K12">
            <v>0</v>
          </cell>
          <cell r="L12">
            <v>832.4</v>
          </cell>
        </row>
        <row r="13">
          <cell r="J13" t="str">
            <v>3110108030 Rec Brt-Rev de Mercs Diversas no MI (Realizado)</v>
          </cell>
          <cell r="K13">
            <v>27.7</v>
          </cell>
          <cell r="L13">
            <v>62.6</v>
          </cell>
        </row>
        <row r="14">
          <cell r="J14" t="str">
            <v>3110130030 Rec Brt-Venda de Serviços no MI (Realizado)</v>
          </cell>
        </row>
        <row r="15">
          <cell r="J15" t="str">
            <v>3110301030 (-)Vendas Canc e Dev de Prod no MI (Realizado)</v>
          </cell>
          <cell r="K15">
            <v>-277.39999999999998</v>
          </cell>
          <cell r="L15">
            <v>-597.20000000000005</v>
          </cell>
        </row>
        <row r="16">
          <cell r="J16" t="str">
            <v>3110305030 (-)Rev Canc e Dev de Merc Nac no MI (Realizado)</v>
          </cell>
          <cell r="K16">
            <v>0</v>
          </cell>
          <cell r="L16">
            <v>-16.3</v>
          </cell>
        </row>
        <row r="17">
          <cell r="I17" t="str">
            <v>Mercado externo</v>
          </cell>
          <cell r="K17">
            <v>0</v>
          </cell>
          <cell r="L17">
            <v>0</v>
          </cell>
        </row>
        <row r="18">
          <cell r="J18" t="str">
            <v>3110101010 Rec Brt-Export Direta de Produtos FP (Realizado)</v>
          </cell>
          <cell r="K18">
            <v>0</v>
          </cell>
          <cell r="L18">
            <v>0</v>
          </cell>
        </row>
        <row r="19">
          <cell r="J19" t="str">
            <v>3110305010 (-)Rev Canc e Dev de Merc Nac no ME (Realizado)</v>
          </cell>
          <cell r="K19">
            <v>0</v>
          </cell>
          <cell r="L19">
            <v>0</v>
          </cell>
        </row>
        <row r="20">
          <cell r="H20" t="str">
            <v>Impostos incidentes s/ vendas e abatimentos</v>
          </cell>
          <cell r="K20">
            <v>-62540.6</v>
          </cell>
          <cell r="L20">
            <v>-123569.2</v>
          </cell>
        </row>
        <row r="21">
          <cell r="I21" t="str">
            <v>3110401010 (-)Desc Incond s/Vendas de Prod FP no ME (Realiz)</v>
          </cell>
          <cell r="K21">
            <v>0</v>
          </cell>
          <cell r="L21">
            <v>0</v>
          </cell>
        </row>
        <row r="22">
          <cell r="I22" t="str">
            <v>3110401030 (-)Desc Incond s/Vend de Prod FP no MI (Realizado)</v>
          </cell>
          <cell r="K22">
            <v>-218.7</v>
          </cell>
          <cell r="L22">
            <v>-281.60000000000002</v>
          </cell>
        </row>
        <row r="23">
          <cell r="I23" t="str">
            <v>3110405030 (-)Desc Incond s/Rev Merc Nacional no MI (Realiz)</v>
          </cell>
          <cell r="K23">
            <v>0</v>
          </cell>
          <cell r="L23">
            <v>-2.2999999999999998</v>
          </cell>
        </row>
        <row r="24">
          <cell r="I24" t="str">
            <v>3110408030 (-)Desc Incond s/Rev Merc Diversas no MI (Realiz)</v>
          </cell>
          <cell r="K24">
            <v>-0.1</v>
          </cell>
          <cell r="L24">
            <v>-0.1</v>
          </cell>
        </row>
        <row r="25">
          <cell r="I25" t="str">
            <v>3110501030 (-)ICMS s/Vendas de Produtos FP no MI (Realiz)</v>
          </cell>
          <cell r="K25">
            <v>-38778.400000000001</v>
          </cell>
          <cell r="L25">
            <v>-76834.399999999994</v>
          </cell>
        </row>
        <row r="26">
          <cell r="I26" t="str">
            <v>3110505030 (-)ICMS s/Rev de Mercs Nacionais no MI (Realiz)</v>
          </cell>
          <cell r="K26">
            <v>-1048.7</v>
          </cell>
          <cell r="L26">
            <v>-1910.7</v>
          </cell>
        </row>
        <row r="27">
          <cell r="I27" t="str">
            <v>3110506030 (-)ICMS s/Rev de Merc Imports no MI (Realiz)</v>
          </cell>
          <cell r="K27">
            <v>0</v>
          </cell>
          <cell r="L27">
            <v>-146.30000000000001</v>
          </cell>
        </row>
        <row r="28">
          <cell r="I28" t="str">
            <v>3110508030 (-)ICMS s/Rev Mercadorias Divs no MI (Realizado)</v>
          </cell>
          <cell r="K28">
            <v>-4.9000000000000004</v>
          </cell>
          <cell r="L28">
            <v>-11.2</v>
          </cell>
        </row>
        <row r="29">
          <cell r="I29" t="str">
            <v>3110590900 (-)ICMS s/Remessas Mercadorias Div no MI (Realiz)</v>
          </cell>
          <cell r="K29">
            <v>-1.4</v>
          </cell>
          <cell r="L29">
            <v>-2.8</v>
          </cell>
        </row>
        <row r="30">
          <cell r="I30" t="str">
            <v>3110601030 (-)Cofins s/Venda Produtos FP no MI (R)</v>
          </cell>
          <cell r="K30">
            <v>-18017.3</v>
          </cell>
          <cell r="L30">
            <v>-35501.699999999997</v>
          </cell>
        </row>
        <row r="31">
          <cell r="I31" t="str">
            <v>3110605030 (-)Cofins s/Revenda Merc Nacionais no MI (Realiz)</v>
          </cell>
          <cell r="K31">
            <v>-457.7</v>
          </cell>
          <cell r="L31">
            <v>-867.6</v>
          </cell>
        </row>
        <row r="32">
          <cell r="I32" t="str">
            <v>3110606030 (-)Cofins s/Revenda Merc Importadas no MI (Realiz)</v>
          </cell>
          <cell r="K32">
            <v>0</v>
          </cell>
          <cell r="L32">
            <v>-63.3</v>
          </cell>
        </row>
        <row r="33">
          <cell r="I33" t="str">
            <v>3110608030 (-)Cofins s/Revenda Mercad Divs no MI (Realiz)</v>
          </cell>
          <cell r="K33">
            <v>-2.1</v>
          </cell>
          <cell r="L33">
            <v>-4.8</v>
          </cell>
        </row>
        <row r="34">
          <cell r="I34" t="str">
            <v>3110630030 (-)Cofins s/Venda de Serviços no MI (Realiz)</v>
          </cell>
        </row>
        <row r="35">
          <cell r="I35" t="str">
            <v>3110701030 (-)PIS/Pasep s/Vendas Produtos FP no MI (Realiz)</v>
          </cell>
          <cell r="K35">
            <v>-3911.7</v>
          </cell>
          <cell r="L35">
            <v>-7707.6</v>
          </cell>
        </row>
        <row r="36">
          <cell r="I36" t="str">
            <v>3110705030 (-)PIS/Pasep s/Rev Merc Nacionais no MI (Realiz)</v>
          </cell>
          <cell r="K36">
            <v>-99.4</v>
          </cell>
          <cell r="L36">
            <v>-188.4</v>
          </cell>
        </row>
        <row r="37">
          <cell r="I37" t="str">
            <v>3110706030 (-)PIS/Pasep s/Rev Merc Importadas no MI (Realiz)</v>
          </cell>
          <cell r="K37">
            <v>0</v>
          </cell>
          <cell r="L37">
            <v>-13.7</v>
          </cell>
        </row>
        <row r="38">
          <cell r="I38" t="str">
            <v>3110708030 (-)PIS/Pasep s/Revenda Merc Divs no MI (Realiz)</v>
          </cell>
          <cell r="K38">
            <v>-0.5</v>
          </cell>
          <cell r="L38">
            <v>-1</v>
          </cell>
        </row>
        <row r="39">
          <cell r="I39" t="str">
            <v>3110730030 (-)PIS/Pasep s/Venda Serviços no MI (Realiz)</v>
          </cell>
        </row>
        <row r="40">
          <cell r="I40" t="str">
            <v>3110830030 (-)ISS s/Venda de Serviços no MI (Realiz)</v>
          </cell>
        </row>
        <row r="41">
          <cell r="A41" t="str">
            <v>3.02</v>
          </cell>
          <cell r="G41" t="str">
            <v>Custo dos bens e serviços vendidos</v>
          </cell>
          <cell r="K41">
            <v>-107271.4</v>
          </cell>
          <cell r="L41">
            <v>-211452.7</v>
          </cell>
        </row>
        <row r="42">
          <cell r="H42" t="str">
            <v>Variações nos estoques de Materiais</v>
          </cell>
          <cell r="K42">
            <v>-38084</v>
          </cell>
          <cell r="L42">
            <v>-74479.8</v>
          </cell>
        </row>
        <row r="43">
          <cell r="I43" t="str">
            <v>3130101010 Custo de Exportaçao Direta de Produtos (Realiz)</v>
          </cell>
          <cell r="K43">
            <v>0</v>
          </cell>
          <cell r="L43">
            <v>0</v>
          </cell>
        </row>
        <row r="44">
          <cell r="I44" t="str">
            <v>3130101012 Rev Prov p/ Desv de Exportaçao Direta de Produtos</v>
          </cell>
          <cell r="K44">
            <v>4550.3999999999996</v>
          </cell>
          <cell r="L44">
            <v>9930</v>
          </cell>
        </row>
        <row r="45">
          <cell r="I45" t="str">
            <v>3130101015 Prov p/Desv de Exportaçao Direta de Produtos</v>
          </cell>
          <cell r="K45">
            <v>-5653.2</v>
          </cell>
          <cell r="L45">
            <v>-10633</v>
          </cell>
        </row>
        <row r="46">
          <cell r="I46" t="str">
            <v>3130101030 Custo das Vendas de Produtos MI (Realizado)</v>
          </cell>
          <cell r="K46">
            <v>-104008.8</v>
          </cell>
          <cell r="L46">
            <v>-206540</v>
          </cell>
        </row>
        <row r="47">
          <cell r="I47" t="str">
            <v>3130101031 Custo Vendas de Produtos MI - AJ</v>
          </cell>
          <cell r="K47">
            <v>0</v>
          </cell>
          <cell r="L47">
            <v>0.1</v>
          </cell>
        </row>
        <row r="48">
          <cell r="I48" t="str">
            <v>3130101039 Custo das Vendas de Produtos MI Serv (Realizado)</v>
          </cell>
          <cell r="K48">
            <v>-2.2999999999999998</v>
          </cell>
          <cell r="L48">
            <v>-11.3</v>
          </cell>
        </row>
        <row r="49">
          <cell r="I49" t="str">
            <v>3130105030 Custo das Revendas de Mercadorias no MI (Realiz)</v>
          </cell>
          <cell r="K49">
            <v>-2157.8000000000002</v>
          </cell>
          <cell r="L49">
            <v>-3553.6</v>
          </cell>
        </row>
        <row r="50">
          <cell r="I50" t="str">
            <v>3130105031 Custo Revendas de Produtos MI - AJ</v>
          </cell>
          <cell r="K50">
            <v>14</v>
          </cell>
          <cell r="L50">
            <v>14</v>
          </cell>
        </row>
        <row r="51">
          <cell r="I51" t="str">
            <v>3130106030 Custo da Revenda de Merc Importadas no MI (Realiz)</v>
          </cell>
          <cell r="K51">
            <v>0</v>
          </cell>
          <cell r="L51">
            <v>-624.9</v>
          </cell>
        </row>
        <row r="52">
          <cell r="I52" t="str">
            <v>3130130030 Custo das Vendas de Serviços no MI (Realizado)</v>
          </cell>
          <cell r="K52">
            <v>-13.7</v>
          </cell>
          <cell r="L52">
            <v>-34</v>
          </cell>
        </row>
        <row r="53">
          <cell r="I53" t="str">
            <v>5110101010 Estoq Consumido Prod-Materia Prima SAL (Realizado)</v>
          </cell>
          <cell r="K53">
            <v>-13965.1</v>
          </cell>
          <cell r="L53">
            <v>-35010.699999999997</v>
          </cell>
        </row>
        <row r="54">
          <cell r="I54" t="str">
            <v>5110101011 Estoq Consumido Prod-Materia Prima SAL (Aj Real)</v>
          </cell>
          <cell r="K54">
            <v>-1264.2</v>
          </cell>
          <cell r="L54">
            <v>-2652</v>
          </cell>
        </row>
        <row r="55">
          <cell r="I55" t="str">
            <v>5110101020 Estoq Consumido Prod-MP-Etileno (Realizado)</v>
          </cell>
          <cell r="K55">
            <v>-6162.6</v>
          </cell>
          <cell r="L55">
            <v>-15262.2</v>
          </cell>
        </row>
        <row r="56">
          <cell r="I56" t="str">
            <v>5110101021 Estoq Consumido Prod-MP-Etileno (Aj Real)</v>
          </cell>
          <cell r="K56">
            <v>1091.5</v>
          </cell>
          <cell r="L56">
            <v>2023</v>
          </cell>
        </row>
        <row r="57">
          <cell r="I57" t="str">
            <v>5110101300 Estoq Consumido Prod-Mat Aux Gas Natural (Realiz)</v>
          </cell>
          <cell r="K57">
            <v>-8238.9</v>
          </cell>
          <cell r="L57">
            <v>-13954.4</v>
          </cell>
        </row>
        <row r="58">
          <cell r="I58" t="str">
            <v>5110101301 Estoq Consumido Prod-Mat Aux Gas Natural (Aj Real)</v>
          </cell>
          <cell r="K58">
            <v>923.2</v>
          </cell>
          <cell r="L58">
            <v>1479.2</v>
          </cell>
        </row>
        <row r="59">
          <cell r="I59" t="str">
            <v>5110101310 Estoq Consumido Prod-M Aux Vapor Petroc (Realiz)</v>
          </cell>
          <cell r="K59">
            <v>-3120.3</v>
          </cell>
          <cell r="L59">
            <v>-6449.6</v>
          </cell>
        </row>
        <row r="60">
          <cell r="I60" t="str">
            <v>5110101311 Estoq Consumido Prod-M Aux Vapor Petroc (Aj Real)</v>
          </cell>
          <cell r="K60">
            <v>228.8</v>
          </cell>
          <cell r="L60">
            <v>141.6</v>
          </cell>
        </row>
        <row r="61">
          <cell r="I61" t="str">
            <v>5110101490 Estoq Consumido Prod-M Aux Demais (Realizado)</v>
          </cell>
          <cell r="K61">
            <v>-2446.1</v>
          </cell>
          <cell r="L61">
            <v>-4428.2</v>
          </cell>
        </row>
        <row r="62">
          <cell r="I62" t="str">
            <v>5110101491 Estoq Consumido Prod-M Aux Demais (Aj Real)</v>
          </cell>
          <cell r="K62">
            <v>33.200000000000003</v>
          </cell>
          <cell r="L62">
            <v>-243.9</v>
          </cell>
        </row>
        <row r="63">
          <cell r="I63" t="str">
            <v>5110101500 Estoq Consumido Prod-Embalagens (Realizado)</v>
          </cell>
          <cell r="K63">
            <v>-935.1</v>
          </cell>
          <cell r="L63">
            <v>-1669.1</v>
          </cell>
        </row>
        <row r="64">
          <cell r="I64" t="str">
            <v>5110101501 Estoq Consumido Prod-Embalagens (Aj Real)</v>
          </cell>
          <cell r="K64">
            <v>44</v>
          </cell>
          <cell r="L64">
            <v>66.599999999999994</v>
          </cell>
        </row>
        <row r="65">
          <cell r="I65" t="str">
            <v>5110102010 Cons.Insumo-Revestimentos de Anodos (Realizado)</v>
          </cell>
          <cell r="K65">
            <v>-279.60000000000002</v>
          </cell>
          <cell r="L65">
            <v>-549.29999999999995</v>
          </cell>
        </row>
        <row r="66">
          <cell r="I66" t="str">
            <v>5120101010 Cst P.Fab Próp Transf p/S.Acabado(F.Fab)-(Aj.Real)</v>
          </cell>
          <cell r="K66">
            <v>321782.90000000002</v>
          </cell>
          <cell r="L66">
            <v>648985.69999999995</v>
          </cell>
        </row>
        <row r="67">
          <cell r="I67" t="str">
            <v>5120101011 Cst P.Fab Próp Transf p/S.Acab(AjOrdProd)-(Planej)</v>
          </cell>
          <cell r="K67">
            <v>9964.5</v>
          </cell>
          <cell r="L67">
            <v>17216.5</v>
          </cell>
        </row>
        <row r="68">
          <cell r="I68" t="str">
            <v>5120101012 Cst P.Fab Próp Transf p/S.Acab(Zerar Centro Cst)</v>
          </cell>
          <cell r="K68">
            <v>-5621.5</v>
          </cell>
          <cell r="L68">
            <v>-9564</v>
          </cell>
        </row>
        <row r="69">
          <cell r="I69" t="str">
            <v>5120101013 Cst P.Fab Próp Consumo S.Acab (Realizado)</v>
          </cell>
          <cell r="K69">
            <v>-324049.8</v>
          </cell>
          <cell r="L69">
            <v>-646058.4</v>
          </cell>
        </row>
        <row r="70">
          <cell r="I70" t="str">
            <v>5120101020 Cst P.Fab Próp Transf p/P.Acabado(F.Fab)-(Aj.Real)</v>
          </cell>
          <cell r="K70">
            <v>99505.1</v>
          </cell>
          <cell r="L70">
            <v>198805.5</v>
          </cell>
        </row>
        <row r="71">
          <cell r="I71" t="str">
            <v>5120101021 Cst P.Fab Próp Transf p/P.Acabado(F.Fab)-(Planej)</v>
          </cell>
          <cell r="K71">
            <v>352.4</v>
          </cell>
          <cell r="L71">
            <v>978.5</v>
          </cell>
        </row>
        <row r="72">
          <cell r="I72" t="str">
            <v>5120101022 Cst P.Fab Próp Transf p/P.Acabado(Zerar CentroCst)</v>
          </cell>
          <cell r="K72">
            <v>2401.6</v>
          </cell>
          <cell r="L72">
            <v>3932.5</v>
          </cell>
        </row>
        <row r="73">
          <cell r="I73" t="str">
            <v>5120101030 Cst P.Fab Próp Transf p/P.Acabado(Aj Cons Real)</v>
          </cell>
          <cell r="K73">
            <v>-1056.5</v>
          </cell>
          <cell r="L73">
            <v>-814.5</v>
          </cell>
        </row>
        <row r="74">
          <cell r="H74" t="str">
            <v>Energia Elétrica</v>
          </cell>
          <cell r="K74">
            <v>-30643.599999999999</v>
          </cell>
          <cell r="L74">
            <v>-62731.3</v>
          </cell>
        </row>
        <row r="75">
          <cell r="I75" t="str">
            <v>5110105010 Cons Insumo E Eletrica Cons Energia Eletrica (R)</v>
          </cell>
          <cell r="K75">
            <v>-30643.599999999999</v>
          </cell>
          <cell r="L75">
            <v>-58984.6</v>
          </cell>
        </row>
        <row r="76">
          <cell r="I76" t="str">
            <v>5110105011 Cons Insumo-E Eletrica-Prov Cons. Energia Eletrica</v>
          </cell>
          <cell r="K76">
            <v>0</v>
          </cell>
          <cell r="L76">
            <v>-3746.7</v>
          </cell>
        </row>
        <row r="77">
          <cell r="H77" t="str">
            <v>Despesas com salários e benefícios a empregad</v>
          </cell>
          <cell r="K77">
            <v>-17820.400000000001</v>
          </cell>
          <cell r="L77">
            <v>-33577</v>
          </cell>
        </row>
        <row r="78">
          <cell r="I78" t="str">
            <v>5111001030 FLPG-Ordena.Sal.Outras Remune Empreg(R)</v>
          </cell>
          <cell r="K78">
            <v>-8350.6</v>
          </cell>
          <cell r="L78">
            <v>-16291.9</v>
          </cell>
        </row>
        <row r="79">
          <cell r="I79" t="str">
            <v>5111001040 FLPG-13º Salario (Realizado)</v>
          </cell>
          <cell r="K79">
            <v>-44.8</v>
          </cell>
          <cell r="L79">
            <v>-117.2</v>
          </cell>
        </row>
        <row r="80">
          <cell r="I80" t="str">
            <v>5111001041 FLPG-Provisao de 13º Salario</v>
          </cell>
          <cell r="K80">
            <v>-631.9</v>
          </cell>
          <cell r="L80">
            <v>-1342.5</v>
          </cell>
        </row>
        <row r="81">
          <cell r="I81" t="str">
            <v>5111001042 FLPG-Reversao da Provisao de 13º Salario</v>
          </cell>
          <cell r="K81">
            <v>19.5</v>
          </cell>
          <cell r="L81">
            <v>64.8</v>
          </cell>
        </row>
        <row r="82">
          <cell r="I82" t="str">
            <v>5111001050 FLPG-Ferias (Realizado)</v>
          </cell>
          <cell r="K82">
            <v>-1639.3</v>
          </cell>
          <cell r="L82">
            <v>-3494.6</v>
          </cell>
        </row>
        <row r="83">
          <cell r="I83" t="str">
            <v>5111001051 FLPG-Provisao de Ferias</v>
          </cell>
          <cell r="K83">
            <v>-784.5</v>
          </cell>
          <cell r="L83">
            <v>-1645.8</v>
          </cell>
        </row>
        <row r="84">
          <cell r="I84" t="str">
            <v>5111001052 FLPG-Reversao da Provisao de Ferias</v>
          </cell>
          <cell r="K84">
            <v>1005.2</v>
          </cell>
          <cell r="L84">
            <v>1665.2</v>
          </cell>
        </row>
        <row r="85">
          <cell r="I85" t="str">
            <v>5111001080 FLPG-Gratificaçoes de Ferias(Realizado)</v>
          </cell>
          <cell r="K85">
            <v>-647.9</v>
          </cell>
          <cell r="L85">
            <v>-1082.9000000000001</v>
          </cell>
        </row>
        <row r="86">
          <cell r="I86" t="str">
            <v>5111001081 FLPG-Provisao de Gratificaçoes de Ferias</v>
          </cell>
          <cell r="K86">
            <v>-500.7</v>
          </cell>
          <cell r="L86">
            <v>-1069.9000000000001</v>
          </cell>
        </row>
        <row r="87">
          <cell r="I87" t="str">
            <v>5111001082 FLPG-Rever Provi Gratificaçoes de Ferias</v>
          </cell>
          <cell r="K87">
            <v>647.9</v>
          </cell>
          <cell r="L87">
            <v>1082.9000000000001</v>
          </cell>
        </row>
        <row r="88">
          <cell r="I88" t="str">
            <v>5111001090 FLPG-Gratificaçoes (Realizado)</v>
          </cell>
          <cell r="K88">
            <v>-177.3</v>
          </cell>
          <cell r="L88">
            <v>-363.2</v>
          </cell>
        </row>
        <row r="89">
          <cell r="I89" t="str">
            <v>5111001091 FLPG-Provisao de Gratificaçoes</v>
          </cell>
          <cell r="K89">
            <v>-1290.5999999999999</v>
          </cell>
          <cell r="L89">
            <v>-2176.9</v>
          </cell>
        </row>
        <row r="90">
          <cell r="I90" t="str">
            <v>5111001092 FLPG-Rever da Provisao de Gratificaçoes</v>
          </cell>
          <cell r="K90">
            <v>0</v>
          </cell>
          <cell r="L90">
            <v>185.9</v>
          </cell>
        </row>
        <row r="91">
          <cell r="I91" t="str">
            <v>5111001100 FLPG-Gratificaçoes Quinquenios (Realizado)</v>
          </cell>
          <cell r="K91">
            <v>-1302.2</v>
          </cell>
          <cell r="L91">
            <v>-670.3</v>
          </cell>
        </row>
        <row r="92">
          <cell r="I92" t="str">
            <v>5111001101 FLPG-Prov Gratificaçoes Quinquenios</v>
          </cell>
          <cell r="K92">
            <v>-537</v>
          </cell>
          <cell r="L92">
            <v>152.6</v>
          </cell>
        </row>
        <row r="93">
          <cell r="I93" t="str">
            <v>5111001102 FLPG-Rever Prov Gratificaçoes Quinquenios</v>
          </cell>
          <cell r="K93">
            <v>1302.2</v>
          </cell>
          <cell r="L93">
            <v>670.3</v>
          </cell>
        </row>
        <row r="94">
          <cell r="I94" t="str">
            <v>5111001120 FLPG-Aviso Previo (Realizado)</v>
          </cell>
          <cell r="K94">
            <v>-408.5</v>
          </cell>
          <cell r="L94">
            <v>-755.5</v>
          </cell>
        </row>
        <row r="95">
          <cell r="I95" t="str">
            <v>5111001122 FLPG-Reversao da Provisao de Aviso Previo</v>
          </cell>
          <cell r="K95">
            <v>408.5</v>
          </cell>
          <cell r="L95">
            <v>755.5</v>
          </cell>
        </row>
        <row r="96">
          <cell r="I96" t="str">
            <v>5111001130 FLPG-Indenizaçoes (Realizado)</v>
          </cell>
          <cell r="K96">
            <v>0</v>
          </cell>
          <cell r="L96">
            <v>0</v>
          </cell>
        </row>
        <row r="97">
          <cell r="I97" t="str">
            <v>5111001210 FLPG-Auxilio Paternidade (Realizado)</v>
          </cell>
          <cell r="K97">
            <v>0</v>
          </cell>
          <cell r="L97">
            <v>0</v>
          </cell>
        </row>
        <row r="98">
          <cell r="I98" t="str">
            <v>5111001230 FLPG-Auxilio Enfermidade (Realizado)</v>
          </cell>
          <cell r="K98">
            <v>0</v>
          </cell>
          <cell r="L98">
            <v>0</v>
          </cell>
        </row>
        <row r="99">
          <cell r="I99" t="str">
            <v>5111001240 FLPG-Auxilio Doença (Realizado)</v>
          </cell>
          <cell r="K99">
            <v>-33.4</v>
          </cell>
          <cell r="L99">
            <v>-62.6</v>
          </cell>
        </row>
        <row r="100">
          <cell r="I100" t="str">
            <v>5111001250 FLPG-Auxilio Ensino (Realizado)</v>
          </cell>
          <cell r="K100">
            <v>-121.8</v>
          </cell>
          <cell r="L100">
            <v>-212.6</v>
          </cell>
        </row>
        <row r="101">
          <cell r="I101" t="str">
            <v>5111001300 FLPG-Bolsa Estudos de Estagiarios (Realizado)</v>
          </cell>
          <cell r="K101">
            <v>-64.3</v>
          </cell>
          <cell r="L101">
            <v>-133.9</v>
          </cell>
        </row>
        <row r="102">
          <cell r="I102" t="str">
            <v>5111001990 Rateio da Mão de Obra da Manutenção</v>
          </cell>
          <cell r="K102">
            <v>4.4000000000000004</v>
          </cell>
          <cell r="L102">
            <v>6.6</v>
          </cell>
        </row>
        <row r="103">
          <cell r="I103" t="str">
            <v>5111002010 FGTS-Folha de Pagamento (Realizado)</v>
          </cell>
          <cell r="K103">
            <v>-704.8</v>
          </cell>
          <cell r="L103">
            <v>-1353.7</v>
          </cell>
        </row>
        <row r="104">
          <cell r="I104" t="str">
            <v>5111002020 FGTS-Ferias (Realizado)</v>
          </cell>
          <cell r="K104">
            <v>-59.4</v>
          </cell>
          <cell r="L104">
            <v>-97.3</v>
          </cell>
        </row>
        <row r="105">
          <cell r="I105" t="str">
            <v>5111002021 FGTS-Provisao de FGTS s/Ferias</v>
          </cell>
          <cell r="K105">
            <v>-56.5</v>
          </cell>
          <cell r="L105">
            <v>-124.8</v>
          </cell>
        </row>
        <row r="106">
          <cell r="I106" t="str">
            <v>5111002022 FGTS-Reversao da Provisao de FGTS s/Ferias</v>
          </cell>
          <cell r="K106">
            <v>73.599999999999994</v>
          </cell>
          <cell r="L106">
            <v>126.1</v>
          </cell>
        </row>
        <row r="107">
          <cell r="I107" t="str">
            <v>5111002030 FGTS-13º Salario (Realizado)</v>
          </cell>
          <cell r="K107">
            <v>-17.600000000000001</v>
          </cell>
          <cell r="L107">
            <v>-36.200000000000003</v>
          </cell>
        </row>
        <row r="108">
          <cell r="I108" t="str">
            <v>5111002031 FGTS-Provisao de FGTS S/13º Salario</v>
          </cell>
          <cell r="K108">
            <v>-68</v>
          </cell>
          <cell r="L108">
            <v>-143</v>
          </cell>
        </row>
        <row r="109">
          <cell r="I109" t="str">
            <v>5111002032 FGTS-Reversao da Provisao FGTS S/13º Salario</v>
          </cell>
          <cell r="K109">
            <v>19.100000000000001</v>
          </cell>
          <cell r="L109">
            <v>41.1</v>
          </cell>
        </row>
        <row r="110">
          <cell r="I110" t="str">
            <v>5111002040 FGTS-Desligamento de Funcionarios (Realizado)</v>
          </cell>
          <cell r="K110">
            <v>-1344.3</v>
          </cell>
          <cell r="L110">
            <v>-2366.1999999999998</v>
          </cell>
        </row>
        <row r="111">
          <cell r="I111" t="str">
            <v>5111002041 FGTS-Provisao FGTS s/Desligamento Funcionario</v>
          </cell>
          <cell r="K111">
            <v>-503.9</v>
          </cell>
          <cell r="L111">
            <v>-1007.8</v>
          </cell>
        </row>
        <row r="112">
          <cell r="I112" t="str">
            <v>5111002042 FGTS-Rever Prov FGTS s/Desligamento Funcionario</v>
          </cell>
          <cell r="K112">
            <v>1344.3</v>
          </cell>
          <cell r="L112">
            <v>2366.1999999999998</v>
          </cell>
        </row>
        <row r="113">
          <cell r="I113" t="str">
            <v>5111002051 FGTS-Provisao FGTS s/Gratificações</v>
          </cell>
          <cell r="K113">
            <v>0</v>
          </cell>
          <cell r="L113">
            <v>0</v>
          </cell>
        </row>
        <row r="114">
          <cell r="I114" t="str">
            <v>5111003010 INSS-Folha de Pagamento (Realizado)</v>
          </cell>
          <cell r="K114">
            <v>-2924.6</v>
          </cell>
          <cell r="L114">
            <v>-5313.3</v>
          </cell>
        </row>
        <row r="115">
          <cell r="I115" t="str">
            <v>5111003021 INSS-Provisao de INSS s/Ferias</v>
          </cell>
          <cell r="K115">
            <v>-48.8</v>
          </cell>
          <cell r="L115">
            <v>-105.6</v>
          </cell>
        </row>
        <row r="116">
          <cell r="I116" t="str">
            <v>5111003022 INSS-Reversao da Provisao de INSS s/Ferias</v>
          </cell>
          <cell r="K116">
            <v>110.8</v>
          </cell>
          <cell r="L116">
            <v>243.8</v>
          </cell>
        </row>
        <row r="117">
          <cell r="I117" t="str">
            <v>5111003031 INSS-Provisao de INSS s/13º Salario</v>
          </cell>
          <cell r="K117">
            <v>-177.3</v>
          </cell>
          <cell r="L117">
            <v>-328.5</v>
          </cell>
        </row>
        <row r="118">
          <cell r="I118" t="str">
            <v>5111003032 INSS-Reversao Provisao de INSS s/13º Salario</v>
          </cell>
          <cell r="K118">
            <v>5.3</v>
          </cell>
          <cell r="L118">
            <v>16.399999999999999</v>
          </cell>
        </row>
        <row r="119">
          <cell r="I119" t="str">
            <v>5111003051 Provisao de INSS s/Gratificações</v>
          </cell>
          <cell r="K119">
            <v>0</v>
          </cell>
          <cell r="L119">
            <v>0</v>
          </cell>
        </row>
        <row r="120">
          <cell r="I120" t="str">
            <v>5111503040 Desp Medicas Hospitalares (Realizado)</v>
          </cell>
          <cell r="K120">
            <v>-68.400000000000006</v>
          </cell>
          <cell r="L120">
            <v>-166.8</v>
          </cell>
        </row>
        <row r="121">
          <cell r="I121" t="str">
            <v>5111504010 Desenv Prof-Cursos (Realizado)</v>
          </cell>
          <cell r="K121">
            <v>0</v>
          </cell>
          <cell r="L121">
            <v>0</v>
          </cell>
        </row>
        <row r="122">
          <cell r="I122" t="str">
            <v>5111504020 Desenv Prof-Material de Consumo em Cursos (Realiz)</v>
          </cell>
          <cell r="K122">
            <v>0</v>
          </cell>
          <cell r="L122">
            <v>0</v>
          </cell>
        </row>
        <row r="123">
          <cell r="I123" t="str">
            <v>5111504050 Desenv Prof-Transportes em Cursos (Realizado)</v>
          </cell>
          <cell r="K123">
            <v>0</v>
          </cell>
          <cell r="L123">
            <v>-0.2</v>
          </cell>
        </row>
        <row r="124">
          <cell r="I124" t="str">
            <v>5111504060 Desenv Prof-Refeiçoes em Cursos (Realizado)</v>
          </cell>
          <cell r="K124">
            <v>0</v>
          </cell>
          <cell r="L124">
            <v>-0.1</v>
          </cell>
        </row>
        <row r="125">
          <cell r="I125" t="str">
            <v>5111504070 Desenv Prof-Aprendiz de Menores em Cursos (Realiz)</v>
          </cell>
          <cell r="K125">
            <v>-37.1</v>
          </cell>
          <cell r="L125">
            <v>-75</v>
          </cell>
        </row>
        <row r="126">
          <cell r="I126" t="str">
            <v>5111505010 Desp Soc-Contrib Associaçao Desportiva (Realizado)</v>
          </cell>
          <cell r="K126">
            <v>-105.2</v>
          </cell>
          <cell r="L126">
            <v>-210.5</v>
          </cell>
        </row>
        <row r="127">
          <cell r="I127" t="str">
            <v>5111505020 Desp Soc-Comemoraçoes e Eventos (Realizado)</v>
          </cell>
          <cell r="K127">
            <v>-9.6999999999999993</v>
          </cell>
          <cell r="L127">
            <v>-10</v>
          </cell>
        </row>
        <row r="128">
          <cell r="I128" t="str">
            <v>5111505030 Desp Soc-Assistencia Social Funcionarios (Realiz)</v>
          </cell>
          <cell r="K128">
            <v>0</v>
          </cell>
          <cell r="L128">
            <v>0</v>
          </cell>
        </row>
        <row r="129">
          <cell r="I129" t="str">
            <v>5111505040 Desp Soc-Vestuario (Realizado)</v>
          </cell>
          <cell r="K129">
            <v>0</v>
          </cell>
          <cell r="L129">
            <v>-1</v>
          </cell>
        </row>
        <row r="130">
          <cell r="I130" t="str">
            <v>5111505050 Desp Soc-Comunicaçao Interna (Realizado)</v>
          </cell>
          <cell r="K130">
            <v>0</v>
          </cell>
          <cell r="L130">
            <v>0</v>
          </cell>
        </row>
        <row r="131">
          <cell r="I131" t="str">
            <v>5111506020 Despesa Vale Transporte (Realizado)</v>
          </cell>
          <cell r="K131">
            <v>0</v>
          </cell>
          <cell r="L131">
            <v>0</v>
          </cell>
        </row>
        <row r="132">
          <cell r="I132" t="str">
            <v>5111506030 Despesa Taxi e Conduçoes (Realizado)</v>
          </cell>
          <cell r="K132">
            <v>-79.099999999999994</v>
          </cell>
          <cell r="L132">
            <v>-155.30000000000001</v>
          </cell>
        </row>
        <row r="133">
          <cell r="I133" t="str">
            <v>5111506040 Despesa Aluguel de Veiculos (Realizado)</v>
          </cell>
          <cell r="K133">
            <v>-0.3</v>
          </cell>
          <cell r="L133">
            <v>-0.3</v>
          </cell>
        </row>
        <row r="134">
          <cell r="I134" t="str">
            <v>5111507010 Despesa Refeiçoes Prontas (Realizado)</v>
          </cell>
          <cell r="K134">
            <v>-0.7</v>
          </cell>
          <cell r="L134">
            <v>-1.6</v>
          </cell>
        </row>
        <row r="135">
          <cell r="I135" t="str">
            <v>5111507030 Despesa Refeiçoes-Visita e Outras (Realizado)</v>
          </cell>
          <cell r="K135">
            <v>-14.6</v>
          </cell>
          <cell r="L135">
            <v>-28.6</v>
          </cell>
        </row>
        <row r="136">
          <cell r="I136" t="str">
            <v>5111507040 Despesa Refeiçoes-Lanches Externos (Realizado)</v>
          </cell>
          <cell r="K136">
            <v>-6.1</v>
          </cell>
          <cell r="L136">
            <v>-8.8000000000000007</v>
          </cell>
        </row>
        <row r="137">
          <cell r="H137" t="str">
            <v>Encargos de depreciação e amortização</v>
          </cell>
          <cell r="K137">
            <v>-9835.7000000000007</v>
          </cell>
          <cell r="L137">
            <v>-19754.400000000001</v>
          </cell>
        </row>
        <row r="138">
          <cell r="I138" t="str">
            <v>5119001010 Encarg de Deprec e Amort-Depreciaçao (Realizado)</v>
          </cell>
          <cell r="K138">
            <v>-6488.8</v>
          </cell>
          <cell r="L138">
            <v>-13060.6</v>
          </cell>
        </row>
        <row r="139">
          <cell r="I139" t="str">
            <v>5119001011 Encarg de Depreciaçao Mais Valia (Realizado)</v>
          </cell>
          <cell r="K139">
            <v>-1610.3</v>
          </cell>
          <cell r="L139">
            <v>-3220.4</v>
          </cell>
        </row>
        <row r="140">
          <cell r="I140" t="str">
            <v>5119001012 Encarg de Depreciaçao Mais Valia CN (Realizado)</v>
          </cell>
          <cell r="K140">
            <v>-1610.3</v>
          </cell>
          <cell r="L140">
            <v>-3220.4</v>
          </cell>
        </row>
        <row r="141">
          <cell r="I141" t="str">
            <v>5119001014 Encarg de Depreciaçao AVP (Realizado)</v>
          </cell>
          <cell r="K141">
            <v>-116.6</v>
          </cell>
          <cell r="L141">
            <v>-233.3</v>
          </cell>
        </row>
        <row r="142">
          <cell r="I142" t="str">
            <v>5119001050 Encarg de Deprec e Amort-Amortizaçao (Realizado)</v>
          </cell>
          <cell r="K142">
            <v>-9.6999999999999993</v>
          </cell>
          <cell r="L142">
            <v>-19.5</v>
          </cell>
        </row>
        <row r="143">
          <cell r="I143" t="str">
            <v>5119001054 Amortizaçao AVP (Realizado)</v>
          </cell>
          <cell r="K143">
            <v>-0.1</v>
          </cell>
          <cell r="L143">
            <v>-0.1</v>
          </cell>
        </row>
        <row r="144">
          <cell r="H144" t="str">
            <v>Serviços de terceiros</v>
          </cell>
          <cell r="K144">
            <v>-6410.2</v>
          </cell>
          <cell r="L144">
            <v>-12135.2</v>
          </cell>
        </row>
        <row r="145">
          <cell r="I145" t="str">
            <v>5112002010 Serviços Prestados Auditoria  p/PJ (Realizado)</v>
          </cell>
          <cell r="K145">
            <v>-40.1</v>
          </cell>
          <cell r="L145">
            <v>-40.1</v>
          </cell>
        </row>
        <row r="146">
          <cell r="I146" t="str">
            <v>5112003010 Serviços Prestados Consultoria p/PJ (Realizado)</v>
          </cell>
          <cell r="K146">
            <v>-359.4</v>
          </cell>
          <cell r="L146">
            <v>-335.8</v>
          </cell>
        </row>
        <row r="147">
          <cell r="I147" t="str">
            <v>5112003040 Serv Prest Consultoria p/PF s/Vinc Empr (Realiz)</v>
          </cell>
          <cell r="K147">
            <v>-15.7</v>
          </cell>
          <cell r="L147">
            <v>-25.8</v>
          </cell>
        </row>
        <row r="148">
          <cell r="I148" t="str">
            <v>5112007010 Serv Prest Informaçoes Cadastrais p/PJ (Realiz)</v>
          </cell>
          <cell r="K148">
            <v>0</v>
          </cell>
          <cell r="L148">
            <v>0</v>
          </cell>
        </row>
        <row r="149">
          <cell r="I149" t="str">
            <v>5112008010 Serv Prest Propaganda e Publicidade p/PJ (Realiz)</v>
          </cell>
          <cell r="K149">
            <v>0</v>
          </cell>
          <cell r="L149">
            <v>-2.5</v>
          </cell>
        </row>
        <row r="150">
          <cell r="I150" t="str">
            <v>5112009010 Serv Prest Atualiz/Suporte Tecnico p/PJ (Realiz)</v>
          </cell>
          <cell r="K150">
            <v>0</v>
          </cell>
          <cell r="L150">
            <v>-13.8</v>
          </cell>
        </row>
        <row r="151">
          <cell r="I151" t="str">
            <v>5112009020 Serv Prest Atual/Suporte Tec p/Coop Trab (Realiz)</v>
          </cell>
          <cell r="K151">
            <v>0</v>
          </cell>
          <cell r="L151">
            <v>0</v>
          </cell>
        </row>
        <row r="152">
          <cell r="I152" t="str">
            <v>5112010010 Serviços Prestados Temporario p/PJ (Realizado)</v>
          </cell>
          <cell r="K152">
            <v>-7.6</v>
          </cell>
          <cell r="L152">
            <v>-16.2</v>
          </cell>
        </row>
        <row r="153">
          <cell r="I153" t="str">
            <v>5112011010 Serviços Prestados Limpeza p/ PJ (Realizado)</v>
          </cell>
          <cell r="K153">
            <v>-246</v>
          </cell>
          <cell r="L153">
            <v>-501.1</v>
          </cell>
        </row>
        <row r="154">
          <cell r="I154" t="str">
            <v>5112012010 Serviços Prestados Vigilancia PJ (Realiz)</v>
          </cell>
          <cell r="K154">
            <v>-412.6</v>
          </cell>
          <cell r="L154">
            <v>-842.4</v>
          </cell>
        </row>
        <row r="155">
          <cell r="I155" t="str">
            <v>5112013010 Serviços Prestados Jardinagem p/PJ (Realizado)</v>
          </cell>
          <cell r="K155">
            <v>-112</v>
          </cell>
          <cell r="L155">
            <v>-195.8</v>
          </cell>
        </row>
        <row r="156">
          <cell r="I156" t="str">
            <v>5112014010 Serv Prest Estacionamento de Caminhoes PJ (Realiz)</v>
          </cell>
          <cell r="K156">
            <v>-245</v>
          </cell>
          <cell r="L156">
            <v>-490.1</v>
          </cell>
        </row>
        <row r="157">
          <cell r="I157" t="str">
            <v>5112015010 Serv Prest Fretes Carretos s/Compras p/PJ (Realiz)</v>
          </cell>
          <cell r="K157">
            <v>-2019.3</v>
          </cell>
          <cell r="L157">
            <v>-4913.3</v>
          </cell>
        </row>
        <row r="158">
          <cell r="I158" t="str">
            <v>5112016010 Serviços Prestados Construçao Civil p/PJ (Realiz)</v>
          </cell>
          <cell r="K158">
            <v>0</v>
          </cell>
          <cell r="L158">
            <v>0</v>
          </cell>
        </row>
        <row r="159">
          <cell r="I159" t="str">
            <v>5112017010 Serviços Prestados Engenharia p/PJ (Realiz)</v>
          </cell>
          <cell r="K159">
            <v>0</v>
          </cell>
          <cell r="L159">
            <v>-5.8</v>
          </cell>
        </row>
        <row r="160">
          <cell r="I160" t="str">
            <v>5112018010 Serv Prest Reparos Assist Tecnica p/PJ (Realiz)</v>
          </cell>
          <cell r="K160">
            <v>-379.4</v>
          </cell>
          <cell r="L160">
            <v>-741.3</v>
          </cell>
        </row>
        <row r="161">
          <cell r="I161" t="str">
            <v>5112019010 Serv Prest Tratamento de Residuos p/PJ (Realiz)</v>
          </cell>
          <cell r="K161">
            <v>-37.1</v>
          </cell>
          <cell r="L161">
            <v>-115.4</v>
          </cell>
        </row>
        <row r="162">
          <cell r="I162" t="str">
            <v>5112099010 Prest Serv Tecnicos Profissionais p/PJ (Realiz)</v>
          </cell>
          <cell r="K162">
            <v>-219.4</v>
          </cell>
          <cell r="L162">
            <v>-391.6</v>
          </cell>
        </row>
        <row r="163">
          <cell r="I163" t="str">
            <v>5112099040 Serv Prest Tec Profissionais p/PF s/Vin Empr (R)</v>
          </cell>
          <cell r="K163">
            <v>-4.5999999999999996</v>
          </cell>
          <cell r="L163">
            <v>-10.6</v>
          </cell>
        </row>
        <row r="164">
          <cell r="I164" t="str">
            <v>5112150010 Serv Prest Manutençao Civil p/PJ (Realizado)</v>
          </cell>
          <cell r="K164">
            <v>-605</v>
          </cell>
          <cell r="L164">
            <v>-1499.5</v>
          </cell>
        </row>
        <row r="165">
          <cell r="I165" t="str">
            <v>5112150015 Serv Prest Manutençao Civil p/PJ (Recuperado)</v>
          </cell>
        </row>
        <row r="166">
          <cell r="I166" t="str">
            <v>5112151010 Serv Prest Manutençao Eletricos p/PJ (Realiz)</v>
          </cell>
          <cell r="K166">
            <v>-219.6</v>
          </cell>
          <cell r="L166">
            <v>-382.5</v>
          </cell>
        </row>
        <row r="167">
          <cell r="I167" t="str">
            <v>5112151015 Serv Prest Manutençao Eletricos p/PJ (Recuperado)</v>
          </cell>
        </row>
        <row r="168">
          <cell r="I168" t="str">
            <v>5112152010 Serv Prest Manutençao Mecânicos p/PJ (Realizado)</v>
          </cell>
          <cell r="K168">
            <v>-146.6</v>
          </cell>
          <cell r="L168">
            <v>-375</v>
          </cell>
        </row>
        <row r="169">
          <cell r="I169" t="str">
            <v>5112153010 Serv Prest Manutençao Inspeçao PJ (Realizado)</v>
          </cell>
          <cell r="K169">
            <v>-202.9</v>
          </cell>
          <cell r="L169">
            <v>-421.5</v>
          </cell>
        </row>
        <row r="170">
          <cell r="I170" t="str">
            <v>5112154010 Serv Prest Manutençao Cald/Tubul PJ (Realzado)</v>
          </cell>
          <cell r="K170">
            <v>-361.3</v>
          </cell>
          <cell r="L170">
            <v>-746.6</v>
          </cell>
        </row>
        <row r="171">
          <cell r="I171" t="str">
            <v>5112155010 Serv Prest Manut Instrumentaçao PJ (Realizado)</v>
          </cell>
          <cell r="K171">
            <v>-209.2</v>
          </cell>
          <cell r="L171">
            <v>-354.4</v>
          </cell>
        </row>
        <row r="172">
          <cell r="I172" t="str">
            <v>5112170010 Serv Prest Manutenaçao Cel HG-PJ (Realizado)</v>
          </cell>
          <cell r="K172">
            <v>-156.30000000000001</v>
          </cell>
          <cell r="L172">
            <v>-394.6</v>
          </cell>
        </row>
        <row r="173">
          <cell r="I173" t="str">
            <v>5112175010 Serv Prest Manutençao Cel Diafrag p/PJ (Realiz)</v>
          </cell>
          <cell r="K173">
            <v>-68</v>
          </cell>
          <cell r="L173">
            <v>-100.8</v>
          </cell>
        </row>
        <row r="174">
          <cell r="I174" t="str">
            <v>5112180010 Serv Prest Manutençao Cel Memb PJ (Realizado)</v>
          </cell>
          <cell r="K174">
            <v>0</v>
          </cell>
          <cell r="L174">
            <v>-0.4</v>
          </cell>
        </row>
        <row r="175">
          <cell r="I175" t="str">
            <v>5112199010 Serv Prest Manutençao Apoio-PJ (Realizado)</v>
          </cell>
          <cell r="K175">
            <v>-106.8</v>
          </cell>
          <cell r="L175">
            <v>-170.1</v>
          </cell>
        </row>
        <row r="176">
          <cell r="I176" t="str">
            <v>5112199015 Serv Prest Manutençao Apoio-PJ (Recuperado)</v>
          </cell>
        </row>
        <row r="177">
          <cell r="I177" t="str">
            <v>5112199020 Serv Prest Manutencão Apoio p/Coop Trab (Realiz)</v>
          </cell>
          <cell r="K177">
            <v>0</v>
          </cell>
          <cell r="L177">
            <v>0</v>
          </cell>
        </row>
        <row r="178">
          <cell r="I178" t="str">
            <v>5112199310 Serv Prest Manutençao Fretes Carret-PJ (Realizado)</v>
          </cell>
          <cell r="K178">
            <v>0</v>
          </cell>
          <cell r="L178">
            <v>0</v>
          </cell>
        </row>
        <row r="179">
          <cell r="I179" t="str">
            <v>5112199410 Serv Prest Manutençao Pintura-PJ (Realizado)</v>
          </cell>
          <cell r="K179">
            <v>-93.5</v>
          </cell>
          <cell r="L179">
            <v>-535.4</v>
          </cell>
        </row>
        <row r="180">
          <cell r="I180" t="str">
            <v>5112199510 Serv Prest Manutençao Revestimentos-PJ (Realizado)</v>
          </cell>
          <cell r="K180">
            <v>-81.8</v>
          </cell>
          <cell r="L180">
            <v>-135.30000000000001</v>
          </cell>
        </row>
        <row r="181">
          <cell r="I181" t="str">
            <v>5112199610 Serv Prest Manutençao Isolamentos-PJ (Realizado)</v>
          </cell>
          <cell r="K181">
            <v>-60.9</v>
          </cell>
          <cell r="L181">
            <v>-200</v>
          </cell>
        </row>
        <row r="182">
          <cell r="H182" t="str">
            <v>Outras</v>
          </cell>
          <cell r="K182">
            <v>-4477.6000000000004</v>
          </cell>
          <cell r="L182">
            <v>-8775</v>
          </cell>
        </row>
        <row r="183">
          <cell r="I183" t="str">
            <v>5110801010 Mat Cons Oper-Combustiveis e Lubrificantes(Realiz)</v>
          </cell>
          <cell r="K183">
            <v>0</v>
          </cell>
          <cell r="L183">
            <v>0</v>
          </cell>
        </row>
        <row r="184">
          <cell r="I184" t="str">
            <v>5110801020 Mat Cons-Oper-Mat Processo Produtivo (Realiz)</v>
          </cell>
          <cell r="K184">
            <v>-30.3</v>
          </cell>
          <cell r="L184">
            <v>-54.7</v>
          </cell>
        </row>
        <row r="185">
          <cell r="I185" t="str">
            <v>5110801030 Mat Cons-Oper-Mat Tratamento Residuos (Realiz)</v>
          </cell>
          <cell r="K185">
            <v>-14.1</v>
          </cell>
          <cell r="L185">
            <v>-28.2</v>
          </cell>
        </row>
        <row r="186">
          <cell r="I186" t="str">
            <v>5110801040 Mat Cons-Oper-Mat Análises Quimicas (Realizado)</v>
          </cell>
          <cell r="K186">
            <v>-82.1</v>
          </cell>
          <cell r="L186">
            <v>-142.6</v>
          </cell>
        </row>
        <row r="187">
          <cell r="I187" t="str">
            <v>5110801060 Mat Cons-Oper-Ferramentas (Realizado)</v>
          </cell>
          <cell r="K187">
            <v>-101</v>
          </cell>
          <cell r="L187">
            <v>-142.5</v>
          </cell>
        </row>
        <row r="188">
          <cell r="I188" t="str">
            <v>5110801070 Mat Cons-Oper-Mat Reparo e Manutençao (Realizado)</v>
          </cell>
          <cell r="K188">
            <v>-2.2999999999999998</v>
          </cell>
          <cell r="L188">
            <v>-2.4</v>
          </cell>
        </row>
        <row r="189">
          <cell r="I189" t="str">
            <v>5110801080 Mat Cons-Oper-Mat Conserv Ecológica (Realizado)</v>
          </cell>
          <cell r="K189">
            <v>-3.4</v>
          </cell>
          <cell r="L189">
            <v>-3.6</v>
          </cell>
        </row>
        <row r="190">
          <cell r="I190" t="str">
            <v>5110801090 Mat Cons-Oper-Mat Limpeza (Realizado)</v>
          </cell>
          <cell r="K190">
            <v>-4.5999999999999996</v>
          </cell>
          <cell r="L190">
            <v>-9.1999999999999993</v>
          </cell>
        </row>
        <row r="191">
          <cell r="I191" t="str">
            <v>5110801100 Mat Cons-Oper-Mat Segurança (Realizado)</v>
          </cell>
          <cell r="K191">
            <v>-240.3</v>
          </cell>
          <cell r="L191">
            <v>-516</v>
          </cell>
        </row>
        <row r="192">
          <cell r="I192" t="str">
            <v>5110801110 Mat Cons-Oper-Consumo de Água (Realizado)</v>
          </cell>
          <cell r="K192">
            <v>-185</v>
          </cell>
          <cell r="L192">
            <v>-346.1</v>
          </cell>
        </row>
        <row r="193">
          <cell r="I193" t="str">
            <v>5110801130 Mat Cons-Oper-Mat Escritório (Realizado)</v>
          </cell>
          <cell r="K193">
            <v>-10.4</v>
          </cell>
          <cell r="L193">
            <v>-21.8</v>
          </cell>
        </row>
        <row r="194">
          <cell r="I194" t="str">
            <v>5110801140 Mat Cons-Oper-Mat Imobilizado (Realizado)</v>
          </cell>
          <cell r="K194">
            <v>-2.2999999999999998</v>
          </cell>
          <cell r="L194">
            <v>-2.2999999999999998</v>
          </cell>
        </row>
        <row r="195">
          <cell r="I195" t="str">
            <v>5110802010 Mat Cons-Manutençao-Manut Civil (Realizado)</v>
          </cell>
          <cell r="K195">
            <v>0</v>
          </cell>
          <cell r="L195">
            <v>0</v>
          </cell>
        </row>
        <row r="196">
          <cell r="I196" t="str">
            <v>5110802020 Mat Cons-Manutençao-Eletrica (Realizado)</v>
          </cell>
          <cell r="K196">
            <v>-164</v>
          </cell>
          <cell r="L196">
            <v>-289.10000000000002</v>
          </cell>
        </row>
        <row r="197">
          <cell r="I197" t="str">
            <v>5110802025 Consumo de Materiais de Manutenção Eletrica (Recup</v>
          </cell>
        </row>
        <row r="198">
          <cell r="I198" t="str">
            <v>5110802030 Mat Cons-Manutençao-Mecânica (Realizado)</v>
          </cell>
          <cell r="K198">
            <v>-852.3</v>
          </cell>
          <cell r="L198">
            <v>-1693.5</v>
          </cell>
        </row>
        <row r="199">
          <cell r="I199" t="str">
            <v>5110802040 Mat Cons-Manutençao-Manut Inspeçao (Realizado)</v>
          </cell>
          <cell r="K199">
            <v>0</v>
          </cell>
          <cell r="L199">
            <v>-12.3</v>
          </cell>
        </row>
        <row r="200">
          <cell r="I200" t="str">
            <v>5110802050 Mat Cons-Manutençao-Calderaria/Tubul (Realizado)</v>
          </cell>
          <cell r="K200">
            <v>-1079</v>
          </cell>
          <cell r="L200">
            <v>-1808</v>
          </cell>
        </row>
        <row r="201">
          <cell r="I201" t="str">
            <v>5110802055 Mat Cons-Manutençao-Calderaria/Tubul (Recuperado)</v>
          </cell>
        </row>
        <row r="202">
          <cell r="I202" t="str">
            <v>5110802060 Mat Cons-Manutençao-Instrumentaçao (Realizado)</v>
          </cell>
          <cell r="K202">
            <v>-607.29999999999995</v>
          </cell>
          <cell r="L202">
            <v>-1309.5999999999999</v>
          </cell>
        </row>
        <row r="203">
          <cell r="I203" t="str">
            <v>5110802065 Mat Cons-Manutençao-Instrumentaçao (Recuperado)</v>
          </cell>
        </row>
        <row r="204">
          <cell r="I204" t="str">
            <v>5110802070 Mat Cons-Manutençao-Celula HG (Realizado)</v>
          </cell>
          <cell r="K204">
            <v>-233.1</v>
          </cell>
          <cell r="L204">
            <v>-453.3</v>
          </cell>
        </row>
        <row r="205">
          <cell r="I205" t="str">
            <v>5110802080 Mat Cons-Manutençao-Celula Diafragma (Realizado)</v>
          </cell>
          <cell r="K205">
            <v>-167.7</v>
          </cell>
          <cell r="L205">
            <v>-261.10000000000002</v>
          </cell>
        </row>
        <row r="206">
          <cell r="I206" t="str">
            <v>5110802090 Mat Cons-Manutençao-Celula Membrana (Realizado)</v>
          </cell>
          <cell r="K206">
            <v>-0.2</v>
          </cell>
          <cell r="L206">
            <v>-259.10000000000002</v>
          </cell>
        </row>
        <row r="207">
          <cell r="I207" t="str">
            <v>5110802990 Mat Cons-Manutençao-Geral (Realizado)</v>
          </cell>
          <cell r="K207">
            <v>-387.9</v>
          </cell>
          <cell r="L207">
            <v>-464.4</v>
          </cell>
        </row>
        <row r="208">
          <cell r="I208" t="str">
            <v>5110802995 Mat Cons-Manutençao-Geral (Recuperado)</v>
          </cell>
        </row>
        <row r="209">
          <cell r="I209" t="str">
            <v>5110803220 Mat Cons-Proc Produtivo-Perda Estoq Almox (Realiz)</v>
          </cell>
          <cell r="K209">
            <v>0</v>
          </cell>
          <cell r="L209">
            <v>0</v>
          </cell>
        </row>
        <row r="210">
          <cell r="I210" t="str">
            <v>5111902010 Despesa Viagens Nacionais (Realizado)</v>
          </cell>
          <cell r="K210">
            <v>-8.1999999999999993</v>
          </cell>
          <cell r="L210">
            <v>-8.1999999999999993</v>
          </cell>
        </row>
        <row r="211">
          <cell r="I211" t="str">
            <v>5111902020 Despesas Viagens Internacionais (Realizado)</v>
          </cell>
          <cell r="K211">
            <v>-3.7</v>
          </cell>
          <cell r="L211">
            <v>-7.6</v>
          </cell>
        </row>
        <row r="212">
          <cell r="I212" t="str">
            <v>5113501020 Desp Correspondencia-Postais (Realizado)</v>
          </cell>
          <cell r="K212">
            <v>0</v>
          </cell>
          <cell r="L212">
            <v>-0.4</v>
          </cell>
        </row>
        <row r="213">
          <cell r="I213" t="str">
            <v>5114001030 DLF-Desp Autenticidade Reconhecde Firmas (Realiz)</v>
          </cell>
          <cell r="K213">
            <v>0</v>
          </cell>
          <cell r="L213">
            <v>-0.2</v>
          </cell>
        </row>
        <row r="214">
          <cell r="I214" t="str">
            <v>5114002030 DITC-Licença e Funcionamento (Realizado)</v>
          </cell>
          <cell r="K214">
            <v>0</v>
          </cell>
          <cell r="L214">
            <v>-2.2999999999999998</v>
          </cell>
        </row>
        <row r="215">
          <cell r="I215" t="str">
            <v>5114002060 DITC-Txs Municipais,Estaduais,Federais (Realizado)</v>
          </cell>
          <cell r="K215">
            <v>-3.2</v>
          </cell>
          <cell r="L215">
            <v>-9.5</v>
          </cell>
        </row>
        <row r="216">
          <cell r="I216" t="str">
            <v>5114002105 Créditos de impostos recuperados - Reintegra</v>
          </cell>
          <cell r="K216">
            <v>403.2</v>
          </cell>
          <cell r="L216">
            <v>403.1</v>
          </cell>
        </row>
        <row r="217">
          <cell r="I217" t="str">
            <v>5114003030 Multas Contratuais (Realizado)</v>
          </cell>
          <cell r="K217">
            <v>0</v>
          </cell>
          <cell r="L217">
            <v>0</v>
          </cell>
        </row>
        <row r="218">
          <cell r="I218" t="str">
            <v>5116001010 Desp Real Even-Semi Fora da Cia Gestao (Realizado)</v>
          </cell>
          <cell r="K218">
            <v>-3.1</v>
          </cell>
          <cell r="L218">
            <v>-6.2</v>
          </cell>
        </row>
        <row r="219">
          <cell r="I219" t="str">
            <v>5116001020 Desp Reali Eventos-Eventos Gestao (Realizado)</v>
          </cell>
          <cell r="K219">
            <v>0</v>
          </cell>
          <cell r="L219">
            <v>-0.5</v>
          </cell>
        </row>
        <row r="220">
          <cell r="I220" t="str">
            <v>5116002020 Desp c/Marketing-Relaçoes Publicas (Realizado)</v>
          </cell>
          <cell r="K220">
            <v>-0.4</v>
          </cell>
          <cell r="L220">
            <v>-0.4</v>
          </cell>
        </row>
        <row r="221">
          <cell r="I221" t="str">
            <v>5116002030 Desp c/Marketing-Patrocinios (Realizado)</v>
          </cell>
          <cell r="K221">
            <v>0</v>
          </cell>
          <cell r="L221">
            <v>0</v>
          </cell>
        </row>
        <row r="222">
          <cell r="I222" t="str">
            <v>5116002040 Desp c/Marketing-Programa Fabrica Aberta (Realiz)</v>
          </cell>
          <cell r="K222">
            <v>0</v>
          </cell>
          <cell r="L222">
            <v>0</v>
          </cell>
        </row>
        <row r="223">
          <cell r="I223" t="str">
            <v>5118002050 DPC Ded-Contrib a Entidades de Classes (Realizado)</v>
          </cell>
          <cell r="K223">
            <v>-5.5</v>
          </cell>
          <cell r="L223">
            <v>-5.7</v>
          </cell>
        </row>
        <row r="224">
          <cell r="I224" t="str">
            <v>5119905010 Desp Alug/Loc.Oper-Locaçao Equip Operaçao (Realiz)</v>
          </cell>
          <cell r="K224">
            <v>-427.9</v>
          </cell>
          <cell r="L224">
            <v>-826.6</v>
          </cell>
        </row>
        <row r="225">
          <cell r="I225" t="str">
            <v>5119905030 Desp Alug/Loc.Oper-Loc Equiptos Escritorio(Realiz)</v>
          </cell>
          <cell r="K225">
            <v>0</v>
          </cell>
          <cell r="L225">
            <v>0</v>
          </cell>
        </row>
        <row r="226">
          <cell r="I226" t="str">
            <v>5119905050 Desp Alug/Loc.Oper-Loc de Equip Telefonia(Realiz)</v>
          </cell>
          <cell r="K226">
            <v>-1.5</v>
          </cell>
          <cell r="L226">
            <v>-3</v>
          </cell>
        </row>
        <row r="227">
          <cell r="I227" t="str">
            <v>5119906010 Desp Alug/Loc. Op-Equipamentos de Manut (Realiz)</v>
          </cell>
          <cell r="K227">
            <v>-251.9</v>
          </cell>
          <cell r="L227">
            <v>-474.7</v>
          </cell>
        </row>
        <row r="228">
          <cell r="I228" t="str">
            <v>5119906015 Desp Alug/Loc. Op-Equipamentos de Manut (Recup)</v>
          </cell>
        </row>
        <row r="229">
          <cell r="I229" t="str">
            <v>5119910010 Assin L.IT.J.R-Ass de Jornais e Revistas (Realiz)</v>
          </cell>
          <cell r="K229">
            <v>0</v>
          </cell>
          <cell r="L229">
            <v>-2.2999999999999998</v>
          </cell>
        </row>
        <row r="230">
          <cell r="I230" t="str">
            <v>5119910030 Assin L.IT.J.R-Ass Livros/Inform Tecnicos (Realiz)</v>
          </cell>
          <cell r="K230">
            <v>0</v>
          </cell>
          <cell r="L230">
            <v>0</v>
          </cell>
        </row>
        <row r="231">
          <cell r="I231" t="str">
            <v>5119915010 Desp c/Impressao e Copias fora da Cia (Realizado)</v>
          </cell>
          <cell r="K231">
            <v>0</v>
          </cell>
          <cell r="L231">
            <v>0</v>
          </cell>
        </row>
        <row r="232">
          <cell r="I232" t="str">
            <v>5119920010 Desp c/Veiculos-Abastecimento (Realizado)</v>
          </cell>
          <cell r="K232">
            <v>-1.1000000000000001</v>
          </cell>
          <cell r="L232">
            <v>-1.7</v>
          </cell>
        </row>
        <row r="233">
          <cell r="I233" t="str">
            <v>5119920020 Desp c/Veiculos-Reparos e Manutençoes (Realizado)</v>
          </cell>
          <cell r="K233">
            <v>0</v>
          </cell>
          <cell r="L233">
            <v>-11.1</v>
          </cell>
        </row>
        <row r="234">
          <cell r="I234" t="str">
            <v>5119920030 Desp c/Veiculos-Peças e Acessorios (Realizado)</v>
          </cell>
          <cell r="K234">
            <v>0</v>
          </cell>
          <cell r="L234">
            <v>-0.4</v>
          </cell>
        </row>
        <row r="235">
          <cell r="I235" t="str">
            <v>5119920040 Desp c/Veiculos-Lavagem e Lubrificaçao (Realizado)</v>
          </cell>
          <cell r="K235">
            <v>0</v>
          </cell>
          <cell r="L235">
            <v>0</v>
          </cell>
        </row>
        <row r="236">
          <cell r="I236" t="str">
            <v>5119920050 Desp c/Veiculos-Pedagio e Estacionam (Realizado)</v>
          </cell>
          <cell r="K236">
            <v>-2.5</v>
          </cell>
          <cell r="L236">
            <v>-5</v>
          </cell>
        </row>
        <row r="237">
          <cell r="I237" t="str">
            <v>5119920060 Desp c/Veiculos-Licenciamento (Realizado)</v>
          </cell>
          <cell r="K237">
            <v>-4.5999999999999996</v>
          </cell>
          <cell r="L237">
            <v>-4.5999999999999996</v>
          </cell>
        </row>
        <row r="238">
          <cell r="A238" t="str">
            <v>3.04</v>
          </cell>
          <cell r="F238" t="str">
            <v>Despesas / Receitas Operacionais</v>
          </cell>
          <cell r="K238">
            <v>-53833.5</v>
          </cell>
          <cell r="L238">
            <v>-95241.9</v>
          </cell>
        </row>
        <row r="239">
          <cell r="A239" t="str">
            <v>3.04.01</v>
          </cell>
          <cell r="G239" t="str">
            <v>Despesas com vendas</v>
          </cell>
          <cell r="K239">
            <v>-19839.2</v>
          </cell>
          <cell r="L239">
            <v>-38543.800000000003</v>
          </cell>
        </row>
        <row r="240">
          <cell r="H240" t="str">
            <v>Despesas com fretes sobre vendas</v>
          </cell>
          <cell r="K240">
            <v>-19839.2</v>
          </cell>
          <cell r="L240">
            <v>-38539.699999999997</v>
          </cell>
        </row>
        <row r="241">
          <cell r="I241" t="str">
            <v>3140101010 Fretes s/Exportaçao Direta de Produtos (Realizado)</v>
          </cell>
          <cell r="K241">
            <v>0</v>
          </cell>
          <cell r="L241">
            <v>0</v>
          </cell>
        </row>
        <row r="242">
          <cell r="I242" t="str">
            <v>3140101020 Frete s/Venda Com Export c/Fim Esp Export (Realiz)</v>
          </cell>
          <cell r="K242">
            <v>0</v>
          </cell>
          <cell r="L242">
            <v>0</v>
          </cell>
        </row>
        <row r="243">
          <cell r="I243" t="str">
            <v>3140101030 Fretes s/Vendas de Produtos no MI (Realizado)</v>
          </cell>
          <cell r="K243">
            <v>-19275.8</v>
          </cell>
          <cell r="L243">
            <v>-37364</v>
          </cell>
        </row>
        <row r="244">
          <cell r="I244" t="str">
            <v>3140105010 Fretes s/Revendas de Mercs Nacinais no ME (Realiz)</v>
          </cell>
          <cell r="K244">
            <v>0</v>
          </cell>
          <cell r="L244">
            <v>0</v>
          </cell>
        </row>
        <row r="245">
          <cell r="I245" t="str">
            <v>3140105030 Fretes s/Revendas de Mercadorias no MI (Realiz)</v>
          </cell>
          <cell r="K245">
            <v>-563.29999999999995</v>
          </cell>
          <cell r="L245">
            <v>-1175.8</v>
          </cell>
        </row>
        <row r="246">
          <cell r="H246" t="str">
            <v>Outras despesas com vendas</v>
          </cell>
          <cell r="K246">
            <v>0</v>
          </cell>
          <cell r="L246">
            <v>-4.0999999999999996</v>
          </cell>
        </row>
        <row r="247">
          <cell r="I247" t="str">
            <v>3140301010 Desp c/Desemb/Movim Export Prod FP ME (Realiz)</v>
          </cell>
          <cell r="K247">
            <v>0</v>
          </cell>
          <cell r="L247">
            <v>0</v>
          </cell>
        </row>
        <row r="248">
          <cell r="I248" t="str">
            <v>3140401030 Desp c/Armazenagem Produtos FP (Realizado)</v>
          </cell>
          <cell r="K248">
            <v>0</v>
          </cell>
          <cell r="L248">
            <v>0</v>
          </cell>
        </row>
        <row r="249">
          <cell r="I249" t="str">
            <v>3140406030 Desp c/Armazen Merc Imports p/Rev no MI (Realiz)</v>
          </cell>
          <cell r="K249">
            <v>0</v>
          </cell>
          <cell r="L249">
            <v>0</v>
          </cell>
        </row>
        <row r="250">
          <cell r="I250" t="str">
            <v>3140501030 Desp c/Fretes de Remessas p/Armaz Prod FP (Realiz)</v>
          </cell>
          <cell r="K250">
            <v>0</v>
          </cell>
          <cell r="L250">
            <v>-4.0999999999999996</v>
          </cell>
        </row>
        <row r="251">
          <cell r="I251" t="str">
            <v>3140601030 Desp Remessas p/Testes Ensaios e Prod FP (Realiz)</v>
          </cell>
          <cell r="K251">
            <v>0</v>
          </cell>
          <cell r="L251">
            <v>0</v>
          </cell>
        </row>
        <row r="252">
          <cell r="A252" t="str">
            <v>3.04.02</v>
          </cell>
          <cell r="G252" t="str">
            <v>Despesas Gerais e Administrativas</v>
          </cell>
          <cell r="K252">
            <v>-21920.9</v>
          </cell>
          <cell r="L252">
            <v>-44343</v>
          </cell>
        </row>
        <row r="253">
          <cell r="H253" t="str">
            <v>Energia Elétrica consumo administrativo</v>
          </cell>
          <cell r="K253">
            <v>-17.399999999999999</v>
          </cell>
          <cell r="L253">
            <v>-52.8</v>
          </cell>
        </row>
        <row r="254">
          <cell r="I254" t="str">
            <v>3170801120 Mat Cons Oper-Luz (Realizado)</v>
          </cell>
          <cell r="K254">
            <v>-17.399999999999999</v>
          </cell>
          <cell r="L254">
            <v>-52.8</v>
          </cell>
        </row>
        <row r="255">
          <cell r="H255" t="str">
            <v>Despesas com salários e benefícios a empreg</v>
          </cell>
          <cell r="K255">
            <v>-12860.4</v>
          </cell>
          <cell r="L255">
            <v>-25707.200000000001</v>
          </cell>
        </row>
        <row r="256">
          <cell r="I256" t="str">
            <v>3171001010 FLPG-Remuneraçao a Dirigentes Conselho Adm (Pgto)</v>
          </cell>
          <cell r="K256">
            <v>-1605.8</v>
          </cell>
          <cell r="L256">
            <v>-2981.4</v>
          </cell>
        </row>
        <row r="257">
          <cell r="I257" t="str">
            <v>3171001020 FLPG-Gratifiçao a Dirigentes Conselho Adm (Pgto)</v>
          </cell>
          <cell r="K257">
            <v>0</v>
          </cell>
          <cell r="L257">
            <v>-3179.7</v>
          </cell>
        </row>
        <row r="258">
          <cell r="I258" t="str">
            <v>3171001021 FLPG-Prov Gratificaçao a Dirigentes Conselho Adm</v>
          </cell>
          <cell r="K258">
            <v>-816.4</v>
          </cell>
          <cell r="L258">
            <v>-2231.4</v>
          </cell>
        </row>
        <row r="259">
          <cell r="I259" t="str">
            <v>3171001022 FLPG-Rev Prov Gratif a Dirigentes Conselho Adm</v>
          </cell>
          <cell r="K259">
            <v>0</v>
          </cell>
          <cell r="L259">
            <v>3179.7</v>
          </cell>
        </row>
        <row r="260">
          <cell r="I260" t="str">
            <v>3171001030 FLPG-Ordenados, Salars e Outras Remun a Empreg (R)</v>
          </cell>
          <cell r="K260">
            <v>-2963.5</v>
          </cell>
          <cell r="L260">
            <v>-5669.8</v>
          </cell>
        </row>
        <row r="261">
          <cell r="I261" t="str">
            <v>3171001040 FLPG-13º Salario (Realizado)</v>
          </cell>
          <cell r="K261">
            <v>-26.6</v>
          </cell>
          <cell r="L261">
            <v>-71.099999999999994</v>
          </cell>
        </row>
        <row r="262">
          <cell r="I262" t="str">
            <v>3171001041 FLPG-Provisao de 13º Salario</v>
          </cell>
          <cell r="K262">
            <v>-237.6</v>
          </cell>
          <cell r="L262">
            <v>-502.6</v>
          </cell>
        </row>
        <row r="263">
          <cell r="I263" t="str">
            <v>3171001042 FLPG-Reversao Provisao de 13º Salario</v>
          </cell>
          <cell r="K263">
            <v>12.6</v>
          </cell>
          <cell r="L263">
            <v>43.1</v>
          </cell>
        </row>
        <row r="264">
          <cell r="I264" t="str">
            <v>3171001050 FLPG-Ferias (Realizado)</v>
          </cell>
          <cell r="K264">
            <v>-480.4</v>
          </cell>
          <cell r="L264">
            <v>-1004.7</v>
          </cell>
        </row>
        <row r="265">
          <cell r="I265" t="str">
            <v>3171001051 FLPG-Provisao de Ferias</v>
          </cell>
          <cell r="K265">
            <v>-227.2</v>
          </cell>
          <cell r="L265">
            <v>-527.1</v>
          </cell>
        </row>
        <row r="266">
          <cell r="I266" t="str">
            <v>3171001052 FLPG-Reversap da Provisao de Ferias</v>
          </cell>
          <cell r="K266">
            <v>282.89999999999998</v>
          </cell>
          <cell r="L266">
            <v>586.5</v>
          </cell>
        </row>
        <row r="267">
          <cell r="I267" t="str">
            <v>3171001080 FLPG-Gratificaçao de Ferias (Realiz)</v>
          </cell>
          <cell r="K267">
            <v>-162.9</v>
          </cell>
          <cell r="L267">
            <v>-341.6</v>
          </cell>
        </row>
        <row r="268">
          <cell r="I268" t="str">
            <v>3171001081 FLPG-Provisao de Gratificaçao de Ferias</v>
          </cell>
          <cell r="K268">
            <v>-126.6</v>
          </cell>
          <cell r="L268">
            <v>-297.39999999999998</v>
          </cell>
        </row>
        <row r="269">
          <cell r="I269" t="str">
            <v>3171001082 FLPG-Reversao da Prov de Gratificaçao de Ferias</v>
          </cell>
          <cell r="K269">
            <v>162.9</v>
          </cell>
          <cell r="L269">
            <v>341.6</v>
          </cell>
        </row>
        <row r="270">
          <cell r="I270" t="str">
            <v>3171001090 FLPG-Gratificaçoes (Realizado)</v>
          </cell>
          <cell r="K270">
            <v>-1</v>
          </cell>
          <cell r="L270">
            <v>-1099.4000000000001</v>
          </cell>
        </row>
        <row r="271">
          <cell r="I271" t="str">
            <v>3171001091 FLPG-Provisao de Gratificaçoes</v>
          </cell>
          <cell r="K271">
            <v>-681.8</v>
          </cell>
          <cell r="L271">
            <v>-1182.5999999999999</v>
          </cell>
        </row>
        <row r="272">
          <cell r="I272" t="str">
            <v>3171001092 FLPG-Reversao da Provisao de Gratificacoes</v>
          </cell>
          <cell r="K272">
            <v>0</v>
          </cell>
          <cell r="L272">
            <v>924.6</v>
          </cell>
        </row>
        <row r="273">
          <cell r="I273" t="str">
            <v>3171001100 FLPG-Gratificoes Quinquenios (Realizado)</v>
          </cell>
          <cell r="K273">
            <v>-36.4</v>
          </cell>
          <cell r="L273">
            <v>-44.7</v>
          </cell>
        </row>
        <row r="274">
          <cell r="I274" t="str">
            <v>3171001101 FLPG-Provisao de Gratificaçoes Quinquenios</v>
          </cell>
          <cell r="K274">
            <v>-181.5</v>
          </cell>
          <cell r="L274">
            <v>155.69999999999999</v>
          </cell>
        </row>
        <row r="275">
          <cell r="I275" t="str">
            <v>3171001102 FLPG-Reversao Provisao Gratificacoes Quinquenios</v>
          </cell>
          <cell r="K275">
            <v>36.4</v>
          </cell>
          <cell r="L275">
            <v>44.7</v>
          </cell>
        </row>
        <row r="276">
          <cell r="I276" t="str">
            <v>3171001120 FLPG-Aviso Previo (Realizado)</v>
          </cell>
          <cell r="K276">
            <v>-189.2</v>
          </cell>
          <cell r="L276">
            <v>-386.7</v>
          </cell>
        </row>
        <row r="277">
          <cell r="I277" t="str">
            <v>3171001122 FLPG-Reversao da Provisao de Aviso Previo</v>
          </cell>
          <cell r="K277">
            <v>189.2</v>
          </cell>
          <cell r="L277">
            <v>386.7</v>
          </cell>
        </row>
        <row r="278">
          <cell r="I278" t="str">
            <v>3171001130 FLPG-Indenizacoes (Realizado)</v>
          </cell>
          <cell r="K278">
            <v>-41.8</v>
          </cell>
          <cell r="L278">
            <v>-55.1</v>
          </cell>
        </row>
        <row r="279">
          <cell r="I279" t="str">
            <v>3171001230 FLPG-Auxilio Enfermidade (Realizado)</v>
          </cell>
          <cell r="K279">
            <v>0</v>
          </cell>
          <cell r="L279">
            <v>0</v>
          </cell>
        </row>
        <row r="280">
          <cell r="I280" t="str">
            <v>3171001240 FLPG-Auxilio Doença (Realizado)</v>
          </cell>
          <cell r="K280">
            <v>-20.9</v>
          </cell>
          <cell r="L280">
            <v>-16.2</v>
          </cell>
        </row>
        <row r="281">
          <cell r="I281" t="str">
            <v>3171001250 FLPG-Auxilio Ensino (Realizado)</v>
          </cell>
          <cell r="K281">
            <v>-61.8</v>
          </cell>
          <cell r="L281">
            <v>-115.3</v>
          </cell>
        </row>
        <row r="282">
          <cell r="I282" t="str">
            <v>3171001300 FLPG-Bolsa Estudos de Estagiarios (Realizado)</v>
          </cell>
          <cell r="K282">
            <v>-28.1</v>
          </cell>
          <cell r="L282">
            <v>-55.1</v>
          </cell>
        </row>
        <row r="283">
          <cell r="I283" t="str">
            <v>3171001990 Rateio da Mão de Obra da Manutenção</v>
          </cell>
          <cell r="K283">
            <v>-4.4000000000000004</v>
          </cell>
          <cell r="L283">
            <v>-6.6</v>
          </cell>
        </row>
        <row r="284">
          <cell r="I284" t="str">
            <v>3171002010 FGTS s/Folha de Pagamento (Realizado)</v>
          </cell>
          <cell r="K284">
            <v>-236.9</v>
          </cell>
          <cell r="L284">
            <v>-448</v>
          </cell>
        </row>
        <row r="285">
          <cell r="I285" t="str">
            <v>3171002020 FGTS s/Ferias (Realizado)</v>
          </cell>
          <cell r="K285">
            <v>-16.100000000000001</v>
          </cell>
          <cell r="L285">
            <v>-34.5</v>
          </cell>
        </row>
        <row r="286">
          <cell r="I286" t="str">
            <v>3171002021 Provisao de FGTS s/Ferias</v>
          </cell>
          <cell r="K286">
            <v>-20</v>
          </cell>
          <cell r="L286">
            <v>-48.1</v>
          </cell>
        </row>
        <row r="287">
          <cell r="I287" t="str">
            <v>3171002022 Reversao da Provisao de FGTS s/Ferias</v>
          </cell>
          <cell r="K287">
            <v>24.4</v>
          </cell>
          <cell r="L287">
            <v>52.8</v>
          </cell>
        </row>
        <row r="288">
          <cell r="I288" t="str">
            <v>3171002030 FGTS s/13º Salario (Realizado)</v>
          </cell>
          <cell r="K288">
            <v>-6.3</v>
          </cell>
          <cell r="L288">
            <v>-14</v>
          </cell>
        </row>
        <row r="289">
          <cell r="I289" t="str">
            <v>3171002031 Provisao de FGTS s/13º Salario</v>
          </cell>
          <cell r="K289">
            <v>-25.2</v>
          </cell>
          <cell r="L289">
            <v>-53.9</v>
          </cell>
        </row>
        <row r="290">
          <cell r="I290" t="str">
            <v>3171002032 Reversao da Provisao de FGTS s/13º Salario</v>
          </cell>
          <cell r="K290">
            <v>7.2</v>
          </cell>
          <cell r="L290">
            <v>17.100000000000001</v>
          </cell>
        </row>
        <row r="291">
          <cell r="I291" t="str">
            <v>3171002040 FGTS s/Desligamento de Funcionario (Realizado)</v>
          </cell>
          <cell r="K291">
            <v>-541.6</v>
          </cell>
          <cell r="L291">
            <v>-1081.5999999999999</v>
          </cell>
        </row>
        <row r="292">
          <cell r="I292" t="str">
            <v>3171002041 Provisao de FGTS s/Desligamento de Funcionario</v>
          </cell>
          <cell r="K292">
            <v>-274.3</v>
          </cell>
          <cell r="L292">
            <v>-548.6</v>
          </cell>
        </row>
        <row r="293">
          <cell r="I293" t="str">
            <v>3171002042 Reversao Provisao de FGTS s/Desl Funcionario</v>
          </cell>
          <cell r="K293">
            <v>541.6</v>
          </cell>
          <cell r="L293">
            <v>1081.5999999999999</v>
          </cell>
        </row>
        <row r="294">
          <cell r="I294" t="str">
            <v>3171002051 Provisao de FGTS s/Gratificações</v>
          </cell>
          <cell r="K294">
            <v>0</v>
          </cell>
          <cell r="L294">
            <v>0</v>
          </cell>
        </row>
        <row r="295">
          <cell r="I295" t="str">
            <v>3171003010 INSS s/Folha de Pagamento (Realizado)</v>
          </cell>
          <cell r="K295">
            <v>-1224.8</v>
          </cell>
          <cell r="L295">
            <v>-2321.6999999999998</v>
          </cell>
        </row>
        <row r="296">
          <cell r="I296" t="str">
            <v>3171003015 Recuperação de Desps c/INSS s/Folha</v>
          </cell>
          <cell r="K296">
            <v>0</v>
          </cell>
          <cell r="L296">
            <v>0</v>
          </cell>
        </row>
        <row r="297">
          <cell r="I297" t="str">
            <v>3171003020 INSS s/Ferias (Realizado)</v>
          </cell>
          <cell r="K297">
            <v>0</v>
          </cell>
          <cell r="L297">
            <v>0</v>
          </cell>
        </row>
        <row r="298">
          <cell r="I298" t="str">
            <v>3171003021 Provisao de INSS s/Ferias</v>
          </cell>
          <cell r="K298">
            <v>-48.3</v>
          </cell>
          <cell r="L298">
            <v>-80.3</v>
          </cell>
        </row>
        <row r="299">
          <cell r="I299" t="str">
            <v>3171003022 Reversao da Provisao de INSS s/Ferias</v>
          </cell>
          <cell r="K299">
            <v>64</v>
          </cell>
          <cell r="L299">
            <v>151.4</v>
          </cell>
        </row>
        <row r="300">
          <cell r="I300" t="str">
            <v>3171003025 Recuperação de Desps c/INSS s/Ferias</v>
          </cell>
          <cell r="K300">
            <v>0</v>
          </cell>
          <cell r="L300">
            <v>0</v>
          </cell>
        </row>
        <row r="301">
          <cell r="I301" t="str">
            <v>3171003031 Provisao de INSS s/13º Salario</v>
          </cell>
          <cell r="K301">
            <v>-66.400000000000006</v>
          </cell>
          <cell r="L301">
            <v>-122.9</v>
          </cell>
        </row>
        <row r="302">
          <cell r="I302" t="str">
            <v>3171003032 Reversao da Provisao de INSS s/13º Salario</v>
          </cell>
          <cell r="K302">
            <v>3.3</v>
          </cell>
          <cell r="L302">
            <v>10.8</v>
          </cell>
        </row>
        <row r="303">
          <cell r="I303" t="str">
            <v>3171003040 INSS s/PLR (Realizado)</v>
          </cell>
          <cell r="K303">
            <v>0</v>
          </cell>
          <cell r="L303">
            <v>0</v>
          </cell>
        </row>
        <row r="304">
          <cell r="I304" t="str">
            <v>3171003051 Provisao de INSS s/Gratificações</v>
          </cell>
          <cell r="K304">
            <v>-163.30000000000001</v>
          </cell>
          <cell r="L304">
            <v>-329.5</v>
          </cell>
        </row>
        <row r="305">
          <cell r="I305" t="str">
            <v>3171501010 Prev Priv CD-Contribuicoes da Empresa (Realizado)</v>
          </cell>
          <cell r="K305">
            <v>-1457.1</v>
          </cell>
          <cell r="L305">
            <v>-2840.8</v>
          </cell>
        </row>
        <row r="306">
          <cell r="I306" t="str">
            <v>3171501015 Prev Priv CD-Participaçao dos Empregados</v>
          </cell>
          <cell r="K306">
            <v>472.7</v>
          </cell>
          <cell r="L306">
            <v>904.9</v>
          </cell>
        </row>
        <row r="307">
          <cell r="I307" t="str">
            <v>3171502010 Seguro de Vida em Grupo (Realizado)</v>
          </cell>
          <cell r="K307">
            <v>0</v>
          </cell>
          <cell r="L307">
            <v>0</v>
          </cell>
        </row>
        <row r="308">
          <cell r="I308" t="str">
            <v>3171502011 Provisao Seguro de Vida em Grupo</v>
          </cell>
          <cell r="K308">
            <v>-181.9</v>
          </cell>
          <cell r="L308">
            <v>-354.7</v>
          </cell>
        </row>
        <row r="309">
          <cell r="I309" t="str">
            <v>3171503010 Assistencia Medica e Hospitalar (Realizado)</v>
          </cell>
          <cell r="K309">
            <v>-1050.5999999999999</v>
          </cell>
          <cell r="L309">
            <v>-2581.5</v>
          </cell>
        </row>
        <row r="310">
          <cell r="I310" t="str">
            <v>3171503015 Partic dos Empregados Assistenc Medica e Hospit</v>
          </cell>
          <cell r="K310">
            <v>73.400000000000006</v>
          </cell>
          <cell r="L310">
            <v>143.6</v>
          </cell>
        </row>
        <row r="311">
          <cell r="I311" t="str">
            <v>3171503020 Assistencia Medica e Hospitalar Aposent (Realiz)</v>
          </cell>
          <cell r="K311">
            <v>-98.9</v>
          </cell>
          <cell r="L311">
            <v>-237.2</v>
          </cell>
        </row>
        <row r="312">
          <cell r="I312" t="str">
            <v>3171503021 Provisao Assistencia Medica Hospitalar Aposentados</v>
          </cell>
          <cell r="K312">
            <v>-82.3</v>
          </cell>
          <cell r="L312">
            <v>-164.6</v>
          </cell>
        </row>
        <row r="313">
          <cell r="I313" t="str">
            <v>3171503022 Reversao Prov Assist Medica Hospitalar Aposentados</v>
          </cell>
          <cell r="K313">
            <v>98.9</v>
          </cell>
          <cell r="L313">
            <v>237.2</v>
          </cell>
        </row>
        <row r="314">
          <cell r="I314" t="str">
            <v>3171503030 Assistencia Odontologica (Realizado)</v>
          </cell>
          <cell r="K314">
            <v>-65.3</v>
          </cell>
          <cell r="L314">
            <v>-100.3</v>
          </cell>
        </row>
        <row r="315">
          <cell r="I315" t="str">
            <v>3171503035 Participacao dos Empregados Assist Odontologica</v>
          </cell>
          <cell r="K315">
            <v>5.2</v>
          </cell>
          <cell r="L315">
            <v>10.7</v>
          </cell>
        </row>
        <row r="316">
          <cell r="I316" t="str">
            <v>3171503040 Despesas Medicas e Hospitalares (Realizado)</v>
          </cell>
          <cell r="K316">
            <v>-42.3</v>
          </cell>
          <cell r="L316">
            <v>-71.400000000000006</v>
          </cell>
        </row>
        <row r="317">
          <cell r="I317" t="str">
            <v>3171504010 Desenv Prof-Cursos (Realizado)</v>
          </cell>
          <cell r="K317">
            <v>-55.2</v>
          </cell>
          <cell r="L317">
            <v>-120.2</v>
          </cell>
        </row>
        <row r="318">
          <cell r="I318" t="str">
            <v>3171504020 Desenv Prof-Material de Consumo em Cursos (Realiz)</v>
          </cell>
          <cell r="K318">
            <v>-1.6</v>
          </cell>
          <cell r="L318">
            <v>-1.6</v>
          </cell>
        </row>
        <row r="319">
          <cell r="I319" t="str">
            <v>3171504030 Desenv Prof-Serviços de Tercrs em Cursos (Realiz)</v>
          </cell>
          <cell r="K319">
            <v>-1.4</v>
          </cell>
          <cell r="L319">
            <v>-1.8</v>
          </cell>
        </row>
        <row r="320">
          <cell r="I320" t="str">
            <v>3171504040 Desenv Prof-Diarias em Cursos (Realizado)</v>
          </cell>
          <cell r="K320">
            <v>-0.5</v>
          </cell>
          <cell r="L320">
            <v>-1.5</v>
          </cell>
        </row>
        <row r="321">
          <cell r="I321" t="str">
            <v>3171504050 Desenv Prof-Transportes em Cursos (Realizado)</v>
          </cell>
          <cell r="K321">
            <v>-9.6999999999999993</v>
          </cell>
          <cell r="L321">
            <v>-20.100000000000001</v>
          </cell>
        </row>
        <row r="322">
          <cell r="I322" t="str">
            <v>3171504060 Desenv Prof-Refeiçoes em Cursos (Realizado)</v>
          </cell>
          <cell r="K322">
            <v>-10.4</v>
          </cell>
          <cell r="L322">
            <v>-19.5</v>
          </cell>
        </row>
        <row r="323">
          <cell r="I323" t="str">
            <v>3171504070 Desenv Prof-Aprendiz de Menores em Cursos (Realiz)</v>
          </cell>
          <cell r="K323">
            <v>-3.7</v>
          </cell>
          <cell r="L323">
            <v>-7.4</v>
          </cell>
        </row>
        <row r="324">
          <cell r="I324" t="str">
            <v>3171505010 Desp Soc-Contrib Associaçao Desportiva (Realizado)</v>
          </cell>
          <cell r="K324">
            <v>0</v>
          </cell>
          <cell r="L324">
            <v>-7</v>
          </cell>
        </row>
        <row r="325">
          <cell r="I325" t="str">
            <v>3171505020 Desp Soc-Comemoraçoes e Eventos (Realizado)</v>
          </cell>
          <cell r="K325">
            <v>-2.6</v>
          </cell>
          <cell r="L325">
            <v>-26</v>
          </cell>
        </row>
        <row r="326">
          <cell r="I326" t="str">
            <v>3171505030 Desp Soc-Assistencia Social Funcionarios (Realiz)</v>
          </cell>
          <cell r="K326">
            <v>-18.3</v>
          </cell>
          <cell r="L326">
            <v>-27.6</v>
          </cell>
        </row>
        <row r="327">
          <cell r="I327" t="str">
            <v>3171505040 Desp Soc-Vestuario (Realizado)</v>
          </cell>
          <cell r="K327">
            <v>0</v>
          </cell>
          <cell r="L327">
            <v>0</v>
          </cell>
        </row>
        <row r="328">
          <cell r="I328" t="str">
            <v>3171505050 Desp Soc-Comunicaçao Interna (Realizado)</v>
          </cell>
          <cell r="K328">
            <v>-3.3</v>
          </cell>
          <cell r="L328">
            <v>-3.3</v>
          </cell>
        </row>
        <row r="329">
          <cell r="I329" t="str">
            <v>3171506010 Desp Transp-Conduçao Contratada (Realizado)</v>
          </cell>
          <cell r="K329">
            <v>-697</v>
          </cell>
          <cell r="L329">
            <v>-1411.4</v>
          </cell>
        </row>
        <row r="330">
          <cell r="I330" t="str">
            <v>3171506015 Participaçao dos Empregados-Conduçao Contratada</v>
          </cell>
          <cell r="K330">
            <v>9.6</v>
          </cell>
          <cell r="L330">
            <v>18.7</v>
          </cell>
        </row>
        <row r="331">
          <cell r="I331" t="str">
            <v>3171506020 Despesa Vale Transporte (Realizado)</v>
          </cell>
          <cell r="K331">
            <v>-19.8</v>
          </cell>
          <cell r="L331">
            <v>-28.4</v>
          </cell>
        </row>
        <row r="332">
          <cell r="I332" t="str">
            <v>3171506025 Participaçao dos Empregados-Vale Transporte</v>
          </cell>
          <cell r="K332">
            <v>0.8</v>
          </cell>
          <cell r="L332">
            <v>1.4</v>
          </cell>
        </row>
        <row r="333">
          <cell r="I333" t="str">
            <v>3171506030 Despesa Taxi e Conduçoes (Realizado)</v>
          </cell>
          <cell r="K333">
            <v>-75.599999999999994</v>
          </cell>
          <cell r="L333">
            <v>-148.4</v>
          </cell>
        </row>
        <row r="334">
          <cell r="I334" t="str">
            <v>3171506040 Despesa Aluguel de Veiculos (Realizado)</v>
          </cell>
          <cell r="K334">
            <v>-12</v>
          </cell>
          <cell r="L334">
            <v>-13.8</v>
          </cell>
        </row>
        <row r="335">
          <cell r="I335" t="str">
            <v>3171506050 Despesas com Aluguel de Outros Veiculos(Realizado)</v>
          </cell>
          <cell r="K335">
            <v>0</v>
          </cell>
          <cell r="L335">
            <v>0</v>
          </cell>
        </row>
        <row r="336">
          <cell r="I336" t="str">
            <v>3171507010 Despesa Refeiçoes Prontas (Realizado)</v>
          </cell>
          <cell r="K336">
            <v>-344.7</v>
          </cell>
          <cell r="L336">
            <v>-748.4</v>
          </cell>
        </row>
        <row r="337">
          <cell r="I337" t="str">
            <v>3171507015 Participaçao dos Empregados-Refeiçoes Prontas</v>
          </cell>
          <cell r="K337">
            <v>38.1</v>
          </cell>
          <cell r="L337">
            <v>75.3</v>
          </cell>
        </row>
        <row r="338">
          <cell r="I338" t="str">
            <v>3171507020 Despesa Material de Consumo Refeitorio (Realiz)</v>
          </cell>
          <cell r="K338">
            <v>-39.700000000000003</v>
          </cell>
          <cell r="L338">
            <v>-83.8</v>
          </cell>
        </row>
        <row r="339">
          <cell r="I339" t="str">
            <v>3171507025 Desp Material Consumo Refeitorio Descont Func-R</v>
          </cell>
          <cell r="K339">
            <v>-6.6</v>
          </cell>
          <cell r="L339">
            <v>-10.199999999999999</v>
          </cell>
        </row>
        <row r="340">
          <cell r="I340" t="str">
            <v>3171507030 Despesa Refeiçoes-Visita e Outras (Realizado)</v>
          </cell>
          <cell r="K340">
            <v>-49.9</v>
          </cell>
          <cell r="L340">
            <v>-112.7</v>
          </cell>
        </row>
        <row r="341">
          <cell r="I341" t="str">
            <v>3171507040 Despesa Refeiçoes-Lanches Externos (Realizado)</v>
          </cell>
          <cell r="K341">
            <v>-36.1</v>
          </cell>
          <cell r="L341">
            <v>-80.2</v>
          </cell>
        </row>
        <row r="342">
          <cell r="I342" t="str">
            <v>3710101010 (-)PL-Participaçoes de Empregados (Realizado)</v>
          </cell>
          <cell r="K342">
            <v>0</v>
          </cell>
          <cell r="L342">
            <v>0</v>
          </cell>
        </row>
        <row r="343">
          <cell r="H343" t="str">
            <v>Encargos de depreciação e amortização na DGA</v>
          </cell>
          <cell r="K343">
            <v>-2908.3</v>
          </cell>
          <cell r="L343">
            <v>-5966.7</v>
          </cell>
        </row>
        <row r="344">
          <cell r="I344" t="str">
            <v>3179001010 Encarg de Deprec e Amort-Depreciaçao (Realizado)</v>
          </cell>
          <cell r="K344">
            <v>-330.6</v>
          </cell>
          <cell r="L344">
            <v>-637.79999999999995</v>
          </cell>
        </row>
        <row r="345">
          <cell r="I345" t="str">
            <v>3179001011 Encarg de Depreciaçao Mais Valia (Realizado)</v>
          </cell>
          <cell r="K345">
            <v>-5.4</v>
          </cell>
          <cell r="L345">
            <v>-93.7</v>
          </cell>
        </row>
        <row r="346">
          <cell r="I346" t="str">
            <v>3179001012 Encs de Depreciaçao Mais Valia Comb Neg(Realizado)</v>
          </cell>
          <cell r="K346">
            <v>-5.4</v>
          </cell>
          <cell r="L346">
            <v>-93.7</v>
          </cell>
        </row>
        <row r="347">
          <cell r="I347" t="str">
            <v>3179001014 Encarg de Depreciaçao do AVP (Realizado)</v>
          </cell>
          <cell r="K347">
            <v>-2.5</v>
          </cell>
          <cell r="L347">
            <v>-4.8</v>
          </cell>
        </row>
        <row r="348">
          <cell r="I348" t="str">
            <v>3179001050 Encarg de Deprec e Amort-Amortizaçao (Realizado)</v>
          </cell>
          <cell r="K348">
            <v>-821.2</v>
          </cell>
          <cell r="L348">
            <v>-1650.4</v>
          </cell>
        </row>
        <row r="349">
          <cell r="I349" t="str">
            <v>3179001051 Encargs de Amortizaçao Mais Valia (Realizado)</v>
          </cell>
          <cell r="K349">
            <v>0</v>
          </cell>
          <cell r="L349">
            <v>0</v>
          </cell>
        </row>
        <row r="350">
          <cell r="I350" t="str">
            <v>3179001052 Encargs de Amortizaçao Mais Valia CN (Realizado)</v>
          </cell>
          <cell r="K350">
            <v>0</v>
          </cell>
          <cell r="L350">
            <v>0</v>
          </cell>
        </row>
        <row r="351">
          <cell r="I351" t="str">
            <v>3179001054 Encargs de Amortizaçao AVP (Realizado)</v>
          </cell>
          <cell r="K351">
            <v>-3.1</v>
          </cell>
          <cell r="L351">
            <v>-6.1</v>
          </cell>
        </row>
        <row r="352">
          <cell r="I352" t="str">
            <v>3179001104 Encargs de Amortizaçao Investimentos (Realizado)</v>
          </cell>
          <cell r="K352">
            <v>-1740.1</v>
          </cell>
          <cell r="L352">
            <v>-3480.2</v>
          </cell>
        </row>
        <row r="353">
          <cell r="H353" t="str">
            <v>Serviços de terceiros nas DGAs</v>
          </cell>
          <cell r="K353">
            <v>-3422.5</v>
          </cell>
          <cell r="L353">
            <v>-7462.9</v>
          </cell>
        </row>
        <row r="354">
          <cell r="I354" t="str">
            <v>3172001010 Serviços Prestados Advocacia p/PJ (Realizado)</v>
          </cell>
          <cell r="K354">
            <v>-1128.7</v>
          </cell>
          <cell r="L354">
            <v>-3159.4</v>
          </cell>
        </row>
        <row r="355">
          <cell r="I355" t="str">
            <v>3172001015 Rec Desps c/Honorarios Advocaticios (Realizado)</v>
          </cell>
          <cell r="K355">
            <v>73.2</v>
          </cell>
          <cell r="L355">
            <v>73.2</v>
          </cell>
        </row>
        <row r="356">
          <cell r="I356" t="str">
            <v>3172001040 Serv Prest Advocacia p/PF s/ Vinculo Empr (Realiz)</v>
          </cell>
          <cell r="K356">
            <v>0</v>
          </cell>
          <cell r="L356">
            <v>0</v>
          </cell>
        </row>
        <row r="357">
          <cell r="I357" t="str">
            <v>3172002010 Serviços Prestados Auditoria  p/PJ (Realizado)</v>
          </cell>
          <cell r="K357">
            <v>-80.3</v>
          </cell>
          <cell r="L357">
            <v>-160.5</v>
          </cell>
        </row>
        <row r="358">
          <cell r="I358" t="str">
            <v>3172003010 Serviços Prestados Consultoria p/PJ (Realizado)</v>
          </cell>
          <cell r="K358">
            <v>-1116.8</v>
          </cell>
          <cell r="L358">
            <v>-1998.1</v>
          </cell>
        </row>
        <row r="359">
          <cell r="I359" t="str">
            <v>3172003040 Serv Prest Consultoria p/PF s/Vinc Empr (Realiz)</v>
          </cell>
          <cell r="K359">
            <v>-61.1</v>
          </cell>
          <cell r="L359">
            <v>-118.8</v>
          </cell>
        </row>
        <row r="360">
          <cell r="I360" t="str">
            <v>3172007010 Serv Prest Informaçoes Cadastrais p/PJ (Realiz)</v>
          </cell>
          <cell r="K360">
            <v>-50</v>
          </cell>
          <cell r="L360">
            <v>-93.4</v>
          </cell>
        </row>
        <row r="361">
          <cell r="I361" t="str">
            <v>3172008010 Serv Prest Propaganda e Publicidade p/PJ (Realiz)</v>
          </cell>
          <cell r="K361">
            <v>-27</v>
          </cell>
          <cell r="L361">
            <v>-35.1</v>
          </cell>
        </row>
        <row r="362">
          <cell r="I362" t="str">
            <v>3172009010 Serv Prest Atualiz/Suporte Tecnico p/PJ (Realiz)</v>
          </cell>
          <cell r="K362">
            <v>-221.8</v>
          </cell>
          <cell r="L362">
            <v>-641.4</v>
          </cell>
        </row>
        <row r="363">
          <cell r="I363" t="str">
            <v>3172010010 Serviços Prestados Temporario p/PJ (Realizado)</v>
          </cell>
          <cell r="K363">
            <v>-96.9</v>
          </cell>
          <cell r="L363">
            <v>-239.8</v>
          </cell>
        </row>
        <row r="364">
          <cell r="I364" t="str">
            <v>3172011010 Serviços Prestados Limpeza p/ PJ (Realizado)</v>
          </cell>
          <cell r="K364">
            <v>-47</v>
          </cell>
          <cell r="L364">
            <v>-90.6</v>
          </cell>
        </row>
        <row r="365">
          <cell r="I365" t="str">
            <v>3172012010 Serviços Prestados Vigilancia PJ (Realiz)</v>
          </cell>
          <cell r="K365">
            <v>-422.1</v>
          </cell>
          <cell r="L365">
            <v>-568.5</v>
          </cell>
        </row>
        <row r="366">
          <cell r="I366" t="str">
            <v>3172015010 Serv Prest Fretes Carretos s/Compras p/PJ (Realiz)</v>
          </cell>
          <cell r="K366">
            <v>0</v>
          </cell>
          <cell r="L366">
            <v>0</v>
          </cell>
        </row>
        <row r="367">
          <cell r="I367" t="str">
            <v>3172018010 Serv Prest Reparos Assist Tecnica p/PJ (Realiz)</v>
          </cell>
          <cell r="K367">
            <v>-45.5</v>
          </cell>
          <cell r="L367">
            <v>-64.2</v>
          </cell>
        </row>
        <row r="368">
          <cell r="I368" t="str">
            <v>3172099010 Prest Serv Tecnicos Profissionais p/PJ (Realiz)</v>
          </cell>
          <cell r="K368">
            <v>-189.7</v>
          </cell>
          <cell r="L368">
            <v>-326.2</v>
          </cell>
        </row>
        <row r="369">
          <cell r="I369" t="str">
            <v>3172099020 Prest Serv Tec Profissionais p/Coop Trab (Realiz)</v>
          </cell>
          <cell r="K369">
            <v>0</v>
          </cell>
          <cell r="L369">
            <v>0</v>
          </cell>
        </row>
        <row r="370">
          <cell r="I370" t="str">
            <v>3172099040 Serv Prest Tec Profissionais p/PF s/Vin Empr (R)</v>
          </cell>
          <cell r="K370">
            <v>-1</v>
          </cell>
          <cell r="L370">
            <v>-14.3</v>
          </cell>
        </row>
        <row r="371">
          <cell r="I371" t="str">
            <v>3172150010 Serv Prest Manutençao Civil p/PJ (Realizado)</v>
          </cell>
          <cell r="K371">
            <v>-3.4</v>
          </cell>
          <cell r="L371">
            <v>-10</v>
          </cell>
        </row>
        <row r="372">
          <cell r="I372" t="str">
            <v>3172151010 Serv Prest Manutençao Eletricos p/PJ (Realiz)</v>
          </cell>
        </row>
        <row r="373">
          <cell r="I373" t="str">
            <v>3172199010 Serv Prest Manutençao Geral p/PJ (Realizado)</v>
          </cell>
          <cell r="K373">
            <v>-4.4000000000000004</v>
          </cell>
          <cell r="L373">
            <v>-9.9</v>
          </cell>
        </row>
        <row r="374">
          <cell r="H374" t="str">
            <v>Outras despesas gerais administrativas</v>
          </cell>
          <cell r="K374">
            <v>-2712.2</v>
          </cell>
          <cell r="L374">
            <v>-5153.3999999999996</v>
          </cell>
        </row>
        <row r="375">
          <cell r="I375" t="str">
            <v>3170801070 Mat Cons Oper-Reparo e Manutençao (Realiz)</v>
          </cell>
          <cell r="K375">
            <v>-0.3</v>
          </cell>
          <cell r="L375">
            <v>-0.6</v>
          </cell>
        </row>
        <row r="376">
          <cell r="I376" t="str">
            <v>3170801090 Mat Cons Oper-Limpeza (Realizado)</v>
          </cell>
          <cell r="K376">
            <v>0</v>
          </cell>
          <cell r="L376">
            <v>-0.1</v>
          </cell>
        </row>
        <row r="377">
          <cell r="I377" t="str">
            <v>3170801100 Mat Cons Oper-Segurança (Realizado)</v>
          </cell>
          <cell r="K377">
            <v>-1</v>
          </cell>
          <cell r="L377">
            <v>-1.8</v>
          </cell>
        </row>
        <row r="378">
          <cell r="I378" t="str">
            <v>3170801130 Mat Cons Oper-Escritorio (Realizado)</v>
          </cell>
          <cell r="K378">
            <v>-15.5</v>
          </cell>
          <cell r="L378">
            <v>-29.6</v>
          </cell>
        </row>
        <row r="379">
          <cell r="I379" t="str">
            <v>3170801140 Mat Cons Oper-Imobilizado (Realizado)</v>
          </cell>
          <cell r="K379">
            <v>-0.9</v>
          </cell>
          <cell r="L379">
            <v>-0.9</v>
          </cell>
        </row>
        <row r="380">
          <cell r="I380" t="str">
            <v>3170802990 Materias Consumo-Manutencao em Geral (Realiz)</v>
          </cell>
          <cell r="K380">
            <v>-6.8</v>
          </cell>
          <cell r="L380">
            <v>-12.7</v>
          </cell>
        </row>
        <row r="381">
          <cell r="I381" t="str">
            <v>3171901010 Sel Recrut-Servs de Tercrs p/Seleçao e Recrut (R)</v>
          </cell>
          <cell r="K381">
            <v>-0.5</v>
          </cell>
          <cell r="L381">
            <v>-1.9</v>
          </cell>
        </row>
        <row r="382">
          <cell r="I382" t="str">
            <v>3171902010 Despesa Viagens Nacionais (Realizado)</v>
          </cell>
          <cell r="K382">
            <v>-108.6</v>
          </cell>
          <cell r="L382">
            <v>-177</v>
          </cell>
        </row>
        <row r="383">
          <cell r="I383" t="str">
            <v>3171902020 Despesas Viagens Internacionais (Realizado)</v>
          </cell>
          <cell r="K383">
            <v>10.5</v>
          </cell>
          <cell r="L383">
            <v>12.4</v>
          </cell>
        </row>
        <row r="384">
          <cell r="I384" t="str">
            <v>3173501010 Desp Correspondencia-Malote (Realizado)</v>
          </cell>
          <cell r="K384">
            <v>-9.8000000000000007</v>
          </cell>
          <cell r="L384">
            <v>-80.099999999999994</v>
          </cell>
        </row>
        <row r="385">
          <cell r="I385" t="str">
            <v>3173501020 Desp Correspondencia-Postais (Realizado)</v>
          </cell>
          <cell r="K385">
            <v>-6.2</v>
          </cell>
          <cell r="L385">
            <v>-10.6</v>
          </cell>
        </row>
        <row r="386">
          <cell r="I386" t="str">
            <v>3173505010 Desp Telec-Desp c/Telefonia Fixa (Realizado)</v>
          </cell>
          <cell r="K386">
            <v>0.2</v>
          </cell>
          <cell r="L386">
            <v>12.4</v>
          </cell>
        </row>
        <row r="387">
          <cell r="I387" t="str">
            <v>3173505020 Desp Telec-Desp c/Telefonia Movel (Realizado)</v>
          </cell>
          <cell r="K387">
            <v>-44.2</v>
          </cell>
          <cell r="L387">
            <v>-72.2</v>
          </cell>
        </row>
        <row r="388">
          <cell r="I388" t="str">
            <v>3173505030 Desp Telec-Desp Comun Dados EC/FC Internet(Realiz)</v>
          </cell>
          <cell r="K388">
            <v>-43</v>
          </cell>
          <cell r="L388">
            <v>-85.7</v>
          </cell>
        </row>
        <row r="389">
          <cell r="I389" t="str">
            <v>3173505040 Desp Telec-Desp Comum Dados Internet (Realizado)</v>
          </cell>
          <cell r="K389">
            <v>-18.100000000000001</v>
          </cell>
          <cell r="L389">
            <v>-42.3</v>
          </cell>
        </row>
        <row r="390">
          <cell r="I390" t="str">
            <v>3173505050 Desp Telec-Desp Comum Dados Subestaçao (Realizado)</v>
          </cell>
          <cell r="K390">
            <v>0</v>
          </cell>
          <cell r="L390">
            <v>0</v>
          </cell>
        </row>
        <row r="391">
          <cell r="I391" t="str">
            <v>3173505060 Desp Telec-Desp Comum Dados Banda Larga(Realizado)</v>
          </cell>
          <cell r="K391">
            <v>-1.4</v>
          </cell>
          <cell r="L391">
            <v>-2.9</v>
          </cell>
        </row>
        <row r="392">
          <cell r="I392" t="str">
            <v>3173505070 Desp Telec-Desp Comum Dados Video Conferen(Realiz)</v>
          </cell>
          <cell r="K392">
            <v>-2</v>
          </cell>
          <cell r="L392">
            <v>-3.6</v>
          </cell>
        </row>
        <row r="393">
          <cell r="I393" t="str">
            <v>3174001010 DLF-Desp c/Publicidade Atas e Balanços (Realizado)</v>
          </cell>
          <cell r="K393">
            <v>-26.9</v>
          </cell>
          <cell r="L393">
            <v>-27</v>
          </cell>
        </row>
        <row r="394">
          <cell r="I394" t="str">
            <v>3174001020 DLF-Desp Escritur Procuraçoes e Contratos (Realiz)</v>
          </cell>
          <cell r="K394">
            <v>-99.7</v>
          </cell>
          <cell r="L394">
            <v>-0.2</v>
          </cell>
        </row>
        <row r="395">
          <cell r="I395" t="str">
            <v>3174001030 DLF-Desp Autenticidade Reconhecde Firmas (Realiz)</v>
          </cell>
          <cell r="K395">
            <v>-8</v>
          </cell>
          <cell r="L395">
            <v>-13.2</v>
          </cell>
        </row>
        <row r="396">
          <cell r="I396" t="str">
            <v>3174001040 DLF-Desp c/ Custas Judiciais (Realizado)</v>
          </cell>
          <cell r="K396">
            <v>-25.2</v>
          </cell>
          <cell r="L396">
            <v>-25.2</v>
          </cell>
        </row>
        <row r="397">
          <cell r="I397" t="str">
            <v>3174001990 DLF-Outras Despesas Legais (Realizado)</v>
          </cell>
          <cell r="K397">
            <v>-54.1</v>
          </cell>
          <cell r="L397">
            <v>-57.4</v>
          </cell>
        </row>
        <row r="398">
          <cell r="I398" t="str">
            <v>3174002010 DITC-Contribuiçao Sindical Patronal (Realizado)</v>
          </cell>
          <cell r="K398">
            <v>-3.3</v>
          </cell>
          <cell r="L398">
            <v>-3.3</v>
          </cell>
        </row>
        <row r="399">
          <cell r="I399" t="str">
            <v>3174002020 DITC-Predial e Territorial (Realizado)</v>
          </cell>
          <cell r="K399">
            <v>-563</v>
          </cell>
          <cell r="L399">
            <v>-1126</v>
          </cell>
        </row>
        <row r="400">
          <cell r="I400" t="str">
            <v>3174002021 DITC-Provisao Imposto Predial Territorial (Realiz)</v>
          </cell>
          <cell r="K400">
            <v>-38.200000000000003</v>
          </cell>
          <cell r="L400">
            <v>-76.400000000000006</v>
          </cell>
        </row>
        <row r="401">
          <cell r="I401" t="str">
            <v>3174002030 DITC-Licença e Funcionamento (Realizado)</v>
          </cell>
          <cell r="K401">
            <v>-2.7</v>
          </cell>
          <cell r="L401">
            <v>-10.7</v>
          </cell>
        </row>
        <row r="402">
          <cell r="I402" t="str">
            <v>3174002040 DITC-ICMS s/Aquisiçao de Imobilizado (Realizado)</v>
          </cell>
          <cell r="K402">
            <v>-1.7</v>
          </cell>
          <cell r="L402">
            <v>-4</v>
          </cell>
        </row>
        <row r="403">
          <cell r="I403" t="str">
            <v>3174002050 DITC-ICMS-Debitos Extemporaneos (Realizado)</v>
          </cell>
          <cell r="K403">
            <v>0</v>
          </cell>
          <cell r="L403">
            <v>0</v>
          </cell>
        </row>
        <row r="404">
          <cell r="I404" t="str">
            <v>3174002060 DITC-Txs Municipais,Estaduais,Federais (Realizado)</v>
          </cell>
          <cell r="K404">
            <v>-4.7</v>
          </cell>
          <cell r="L404">
            <v>-4.7</v>
          </cell>
        </row>
        <row r="405">
          <cell r="I405" t="str">
            <v>3174003010 Multas Fiscais Indedutiveis (Realizado)</v>
          </cell>
          <cell r="K405">
            <v>0</v>
          </cell>
          <cell r="L405">
            <v>-5.0999999999999996</v>
          </cell>
        </row>
        <row r="406">
          <cell r="I406" t="str">
            <v>3174003020 Multas Fiscais Dedutiveis (Realizado)</v>
          </cell>
          <cell r="K406">
            <v>0</v>
          </cell>
          <cell r="L406">
            <v>0</v>
          </cell>
        </row>
        <row r="407">
          <cell r="I407" t="str">
            <v>3174003030 Multas Contratuais (Realizado)</v>
          </cell>
          <cell r="K407">
            <v>0</v>
          </cell>
          <cell r="L407">
            <v>0</v>
          </cell>
        </row>
        <row r="408">
          <cell r="I408" t="str">
            <v>3175001010 Desp Seguro-Automoveis (Realizado)</v>
          </cell>
          <cell r="K408">
            <v>-13.1</v>
          </cell>
          <cell r="L408">
            <v>-25.2</v>
          </cell>
        </row>
        <row r="409">
          <cell r="I409" t="str">
            <v>3175001020 Desp Seguro-Responsabilidade Civil (Realizado)</v>
          </cell>
          <cell r="K409">
            <v>-173.6</v>
          </cell>
          <cell r="L409">
            <v>-336.6</v>
          </cell>
        </row>
        <row r="410">
          <cell r="I410" t="str">
            <v>3175001030 Desp Seguro-Risco Nomeado (Realizado)</v>
          </cell>
          <cell r="K410">
            <v>-440</v>
          </cell>
          <cell r="L410">
            <v>-880.1</v>
          </cell>
        </row>
        <row r="411">
          <cell r="I411" t="str">
            <v>3175001040 Desp Seguro-Riscos Diversos (Realizado)</v>
          </cell>
          <cell r="K411">
            <v>-1.6</v>
          </cell>
          <cell r="L411">
            <v>-3.1</v>
          </cell>
        </row>
        <row r="412">
          <cell r="I412" t="str">
            <v>3175001050 Desp Seguro-Ambiental (Realizado)</v>
          </cell>
          <cell r="K412">
            <v>-44.7</v>
          </cell>
          <cell r="L412">
            <v>-104.7</v>
          </cell>
        </row>
        <row r="413">
          <cell r="I413" t="str">
            <v>3176001010 Desp Real Even-Semi Fora da Cia Gestao (Realizado)</v>
          </cell>
          <cell r="K413">
            <v>-8.9</v>
          </cell>
          <cell r="L413">
            <v>-8.9</v>
          </cell>
        </row>
        <row r="414">
          <cell r="I414" t="str">
            <v>3176001020 Desp Reali Eventos-Eventos Gestao (Realizado)</v>
          </cell>
          <cell r="K414">
            <v>0</v>
          </cell>
          <cell r="L414">
            <v>-3.3</v>
          </cell>
        </row>
        <row r="415">
          <cell r="I415" t="str">
            <v>3176002010 Desp Eventos Marketing (Realizado)</v>
          </cell>
          <cell r="K415">
            <v>-0.3</v>
          </cell>
          <cell r="L415">
            <v>-0.3</v>
          </cell>
        </row>
        <row r="416">
          <cell r="I416" t="str">
            <v>3176002020 Desp c/Marketing-Relaçoes Publicas (Realizado)</v>
          </cell>
          <cell r="K416">
            <v>-25.7</v>
          </cell>
          <cell r="L416">
            <v>-215.9</v>
          </cell>
        </row>
        <row r="417">
          <cell r="I417" t="str">
            <v>3176002030 Desp c/Marketing-Patrocinios (Realizado)</v>
          </cell>
          <cell r="K417">
            <v>-8.3000000000000007</v>
          </cell>
          <cell r="L417">
            <v>-16.600000000000001</v>
          </cell>
        </row>
        <row r="418">
          <cell r="I418" t="str">
            <v>3176002040 Desp c/Marketing-Programa Fabrica Aberta (Realiz)</v>
          </cell>
          <cell r="K418">
            <v>-1.3</v>
          </cell>
          <cell r="L418">
            <v>-25.2</v>
          </cell>
        </row>
        <row r="419">
          <cell r="I419" t="str">
            <v>3177002020 EPCT-Estudos de Engenharia(Realizado)</v>
          </cell>
          <cell r="K419">
            <v>-6.9</v>
          </cell>
          <cell r="L419">
            <v>-20.8</v>
          </cell>
        </row>
        <row r="420">
          <cell r="I420" t="str">
            <v>3178001010 DPC Ind-Carater Cultural, Artistico Lei 8313/91(R)</v>
          </cell>
          <cell r="K420">
            <v>0</v>
          </cell>
          <cell r="L420">
            <v>0</v>
          </cell>
        </row>
        <row r="421">
          <cell r="I421" t="str">
            <v>3178001990 DPC Ind-Outras Contrib/Doaçoes Indeduts (Realiz)</v>
          </cell>
          <cell r="K421">
            <v>-12.6</v>
          </cell>
          <cell r="L421">
            <v>-25.5</v>
          </cell>
        </row>
        <row r="422">
          <cell r="I422" t="str">
            <v>3178002050 DPC Ded-Contrib a Entidades de Classes (Realizado)</v>
          </cell>
          <cell r="K422">
            <v>-355.1</v>
          </cell>
          <cell r="L422">
            <v>-599.6</v>
          </cell>
        </row>
        <row r="423">
          <cell r="I423" t="str">
            <v>3178002990 DPC Ded-Outras Contrib e Doaçoes Dedutivs (Realiz)</v>
          </cell>
          <cell r="K423">
            <v>-35</v>
          </cell>
          <cell r="L423">
            <v>-35</v>
          </cell>
        </row>
        <row r="424">
          <cell r="I424" t="str">
            <v>3179905030 Desp Alug/Loc.Oper-Loc Equiptos Escritorio(Realiz)</v>
          </cell>
          <cell r="K424">
            <v>0</v>
          </cell>
          <cell r="L424">
            <v>0</v>
          </cell>
        </row>
        <row r="425">
          <cell r="I425" t="str">
            <v>3179905040 Desp Alug/Loc.Oper-Equip Impressao/Copias(Realiz)</v>
          </cell>
          <cell r="K425">
            <v>-62.6</v>
          </cell>
          <cell r="L425">
            <v>-116.3</v>
          </cell>
        </row>
        <row r="426">
          <cell r="I426" t="str">
            <v>3179905050 Desp Alug/Loc.Oper-Loc de Equip Telefonia(Realiz)</v>
          </cell>
          <cell r="K426">
            <v>-10.9</v>
          </cell>
          <cell r="L426">
            <v>-56.3</v>
          </cell>
        </row>
        <row r="427">
          <cell r="I427" t="str">
            <v>3179905100 Desp Alug/Loc.Oper-Aluguel de Imovel (Realizado)</v>
          </cell>
          <cell r="K427">
            <v>-309.2</v>
          </cell>
          <cell r="L427">
            <v>-615.1</v>
          </cell>
        </row>
        <row r="428">
          <cell r="I428" t="str">
            <v>3179910010 Assin L.IT.J.R-Ass de Jornais e Revistas (Realiz)</v>
          </cell>
          <cell r="K428">
            <v>-1.6</v>
          </cell>
          <cell r="L428">
            <v>-5.0999999999999996</v>
          </cell>
        </row>
        <row r="429">
          <cell r="I429" t="str">
            <v>3179910030 Assin L.IT.J.R-Ass Livros/Inform Tecnicos (Realiz)</v>
          </cell>
          <cell r="K429">
            <v>-45.5</v>
          </cell>
          <cell r="L429">
            <v>-88.8</v>
          </cell>
        </row>
        <row r="430">
          <cell r="I430" t="str">
            <v>3179915010 Desp c/Impressao e Copias fora da Cia (Realizado)</v>
          </cell>
          <cell r="K430">
            <v>0</v>
          </cell>
          <cell r="L430">
            <v>0</v>
          </cell>
        </row>
        <row r="431">
          <cell r="I431" t="str">
            <v>3179920010 Desp c/Veiculos-Abastecimento (Realizado)</v>
          </cell>
          <cell r="K431">
            <v>-13.5</v>
          </cell>
          <cell r="L431">
            <v>-27.7</v>
          </cell>
        </row>
        <row r="432">
          <cell r="I432" t="str">
            <v>3179920020 Desp c/Veiculos-Reparos e Manutençoes (Realizado)</v>
          </cell>
          <cell r="K432">
            <v>-2.2000000000000002</v>
          </cell>
          <cell r="L432">
            <v>-3.7</v>
          </cell>
        </row>
        <row r="433">
          <cell r="I433" t="str">
            <v>3179920030 Desp c/Veiculos-Peças e Acessorios (Realizado)</v>
          </cell>
          <cell r="K433">
            <v>-3.5</v>
          </cell>
          <cell r="L433">
            <v>-6.7</v>
          </cell>
        </row>
        <row r="434">
          <cell r="I434" t="str">
            <v>3179920040 Desp c/Veiculos-Lavagem e Lubrificaçao (Realizado)</v>
          </cell>
          <cell r="K434">
            <v>-0.8</v>
          </cell>
          <cell r="L434">
            <v>-1.3</v>
          </cell>
        </row>
        <row r="435">
          <cell r="I435" t="str">
            <v>3179920050 Desp c/Veiculos-Pedagio e Estacionam (Realizado)</v>
          </cell>
          <cell r="K435">
            <v>-18.399999999999999</v>
          </cell>
          <cell r="L435">
            <v>-36.799999999999997</v>
          </cell>
        </row>
        <row r="436">
          <cell r="I436" t="str">
            <v>3179920060 Desp c/Veiculos-Licenciamento (Realizado)</v>
          </cell>
          <cell r="K436">
            <v>-41.7</v>
          </cell>
          <cell r="L436">
            <v>-44.7</v>
          </cell>
        </row>
        <row r="437">
          <cell r="A437" t="str">
            <v>3.04.04</v>
          </cell>
          <cell r="G437" t="str">
            <v>Outras despesas / receitas operacionais</v>
          </cell>
          <cell r="K437">
            <v>-3150.5</v>
          </cell>
          <cell r="L437">
            <v>-3432.1</v>
          </cell>
        </row>
        <row r="438">
          <cell r="H438" t="str">
            <v>Outras receitas operacionais</v>
          </cell>
          <cell r="K438">
            <v>71.099999999999994</v>
          </cell>
          <cell r="L438">
            <v>28.7</v>
          </cell>
        </row>
        <row r="439">
          <cell r="I439" t="str">
            <v>3310101010 Receita c/Dividendos Recebidos (Realizado)</v>
          </cell>
          <cell r="K439">
            <v>0.7</v>
          </cell>
          <cell r="L439">
            <v>13.1</v>
          </cell>
        </row>
        <row r="440">
          <cell r="I440" t="str">
            <v>3310105010 Res Liq Bx At Fixo-Rec Alienaç B/D At.Perman (R)</v>
          </cell>
          <cell r="K440">
            <v>17.8</v>
          </cell>
          <cell r="L440">
            <v>19.3</v>
          </cell>
        </row>
        <row r="441">
          <cell r="I441" t="str">
            <v>3310105020 (-)R Liq Bx At Fix-Vlr Contabil B/D Baixados (R)</v>
          </cell>
          <cell r="K441">
            <v>-82.6</v>
          </cell>
          <cell r="L441">
            <v>-131.5</v>
          </cell>
        </row>
        <row r="442">
          <cell r="I442" t="str">
            <v>3310105021 (-)R Liq Bx A Fix-Vr Contab B/D Baixados MV(R)</v>
          </cell>
          <cell r="K442">
            <v>-14.7</v>
          </cell>
          <cell r="L442">
            <v>-18.5</v>
          </cell>
        </row>
        <row r="443">
          <cell r="I443" t="str">
            <v>3310105022 (-)R Liq Bx A Fix-Vr Contab B/D Baixados MVCN(R)</v>
          </cell>
          <cell r="K443">
            <v>-14.7</v>
          </cell>
          <cell r="L443">
            <v>-18.5</v>
          </cell>
        </row>
        <row r="444">
          <cell r="I444" t="str">
            <v>3310105024 (-)R Liq Bx A Fix-Vr Contab B/D Baixados AVP(R)</v>
          </cell>
          <cell r="K444">
            <v>0</v>
          </cell>
          <cell r="L444">
            <v>0</v>
          </cell>
        </row>
        <row r="445">
          <cell r="I445" t="str">
            <v>3310105030 Outros Custos dos Bens e Direitos Alienados (R)</v>
          </cell>
          <cell r="K445">
            <v>0</v>
          </cell>
          <cell r="L445">
            <v>0</v>
          </cell>
        </row>
        <row r="446">
          <cell r="I446" t="str">
            <v>3310108990 Outros Imposto Recuperados (Realizado)</v>
          </cell>
          <cell r="K446">
            <v>0</v>
          </cell>
          <cell r="L446">
            <v>0</v>
          </cell>
        </row>
        <row r="447">
          <cell r="I447" t="str">
            <v>3310115010 Sinistros Indenizado (Realizado)</v>
          </cell>
          <cell r="K447">
            <v>0</v>
          </cell>
          <cell r="L447">
            <v>0</v>
          </cell>
        </row>
        <row r="448">
          <cell r="I448" t="str">
            <v>3310115020 Sinistro nao Indenizado (Realizados)</v>
          </cell>
          <cell r="K448">
            <v>0</v>
          </cell>
          <cell r="L448">
            <v>0</v>
          </cell>
        </row>
        <row r="449">
          <cell r="I449" t="str">
            <v>3310109990 Multas Contratuais Aplicadas</v>
          </cell>
          <cell r="K449">
            <v>164.7</v>
          </cell>
          <cell r="L449">
            <v>164.7</v>
          </cell>
        </row>
        <row r="450">
          <cell r="I450" t="str">
            <v>3310204010 Dividendos Próprios Não Realizados</v>
          </cell>
          <cell r="K450">
            <v>0</v>
          </cell>
          <cell r="L450">
            <v>0.1</v>
          </cell>
        </row>
        <row r="451">
          <cell r="H451" t="str">
            <v>Outras despesas operacionais</v>
          </cell>
          <cell r="K451">
            <v>-3221.6</v>
          </cell>
          <cell r="L451">
            <v>-3460.9</v>
          </cell>
        </row>
        <row r="452">
          <cell r="I452" t="str">
            <v>3310110010 Desp c/Proc Jud-Tributarios (Realizado)</v>
          </cell>
          <cell r="K452">
            <v>-143.69999999999999</v>
          </cell>
          <cell r="L452">
            <v>-150.5</v>
          </cell>
        </row>
        <row r="453">
          <cell r="I453" t="str">
            <v>3310110011 Desp c/Proc Jud-Constit Contingencias Tributarias</v>
          </cell>
          <cell r="K453">
            <v>0</v>
          </cell>
          <cell r="L453">
            <v>-35.200000000000003</v>
          </cell>
        </row>
        <row r="454">
          <cell r="I454" t="str">
            <v>3310110012 Desp c/Proc Jud-Reversao Contingencias Tributárias</v>
          </cell>
          <cell r="K454">
            <v>0</v>
          </cell>
          <cell r="L454">
            <v>185.1</v>
          </cell>
        </row>
        <row r="455">
          <cell r="I455" t="str">
            <v>3310110015 Desp c/Proc Jud-Tributarios (Recuperado)</v>
          </cell>
          <cell r="K455">
            <v>0</v>
          </cell>
          <cell r="L455">
            <v>1.6</v>
          </cell>
        </row>
        <row r="456">
          <cell r="I456" t="str">
            <v>3310110020 Desp c/Proc Trabalhista (Realizado)</v>
          </cell>
          <cell r="K456">
            <v>0</v>
          </cell>
          <cell r="L456">
            <v>-2</v>
          </cell>
        </row>
        <row r="457">
          <cell r="I457" t="str">
            <v>3310110021 Desp c/Proc Trab-Constit Contingenc Trabalhistas</v>
          </cell>
          <cell r="K457">
            <v>-1803.1</v>
          </cell>
          <cell r="L457">
            <v>-2664.6</v>
          </cell>
        </row>
        <row r="458">
          <cell r="I458" t="str">
            <v>3310110031 Desp c/Proc Civeis-Constit Contingencias Civeis</v>
          </cell>
          <cell r="K458">
            <v>-748.3</v>
          </cell>
          <cell r="L458">
            <v>-69.8</v>
          </cell>
        </row>
        <row r="459">
          <cell r="I459" t="str">
            <v>3310110032 Desp c/Proc Civeis-Rev de Contingencias Civeis</v>
          </cell>
          <cell r="K459">
            <v>0</v>
          </cell>
          <cell r="L459">
            <v>0</v>
          </cell>
        </row>
        <row r="460">
          <cell r="I460" t="str">
            <v>3310110022 Desp c/Proc Trab-Rev Contingencia Trabalhistas</v>
          </cell>
          <cell r="K460">
            <v>0</v>
          </cell>
          <cell r="L460">
            <v>0</v>
          </cell>
        </row>
        <row r="461">
          <cell r="I461" t="str">
            <v>3310140010 Desp n Cor Multas Indedutiveis (Realizado)</v>
          </cell>
          <cell r="K461">
            <v>-295.89999999999998</v>
          </cell>
          <cell r="L461">
            <v>-356.1</v>
          </cell>
        </row>
        <row r="462">
          <cell r="I462" t="str">
            <v>3310190010 Perdas Operacoes de Credito Incobraveis (Realiz)</v>
          </cell>
          <cell r="K462">
            <v>-600.9</v>
          </cell>
          <cell r="L462">
            <v>-600.9</v>
          </cell>
        </row>
        <row r="463">
          <cell r="I463" t="str">
            <v>3310190011 Provisao Perdas em Opercao Credito-PCLD</v>
          </cell>
          <cell r="K463">
            <v>-193.2</v>
          </cell>
          <cell r="L463">
            <v>-332</v>
          </cell>
        </row>
        <row r="464">
          <cell r="I464" t="str">
            <v>3310190012 Reversap Provisao p/ Perdas Operacoes Cred-PCLD</v>
          </cell>
          <cell r="K464">
            <v>563.6</v>
          </cell>
          <cell r="L464">
            <v>563.6</v>
          </cell>
        </row>
        <row r="465">
          <cell r="A465" t="str">
            <v>3.04.06</v>
          </cell>
          <cell r="G465" t="str">
            <v>Resultado de equivalência patrimonial</v>
          </cell>
          <cell r="K465">
            <v>-8922.9</v>
          </cell>
          <cell r="L465">
            <v>-8922.9</v>
          </cell>
        </row>
        <row r="466">
          <cell r="H466" t="str">
            <v>3310201010 Result Positivo Participacoes Societarias (R)</v>
          </cell>
          <cell r="K466">
            <v>0</v>
          </cell>
          <cell r="L466">
            <v>0</v>
          </cell>
        </row>
        <row r="467">
          <cell r="H467" t="str">
            <v>3310201020 Result Negativo Paticipacoes Societarias (R)</v>
          </cell>
          <cell r="K467">
            <v>-8922.9</v>
          </cell>
          <cell r="L467">
            <v>-8922.9</v>
          </cell>
        </row>
        <row r="468">
          <cell r="A468" t="str">
            <v>3.06</v>
          </cell>
          <cell r="E468" t="str">
            <v>Resultado financeiro</v>
          </cell>
          <cell r="K468">
            <v>-13762.1</v>
          </cell>
          <cell r="L468">
            <v>-28374.799999999999</v>
          </cell>
        </row>
        <row r="469">
          <cell r="A469" t="str">
            <v>3.06.01</v>
          </cell>
          <cell r="F469" t="str">
            <v>Receitas financeiras</v>
          </cell>
          <cell r="K469">
            <v>9083.2999999999993</v>
          </cell>
          <cell r="L469">
            <v>19114.900000000001</v>
          </cell>
        </row>
        <row r="470">
          <cell r="G470" t="str">
            <v>Receita de equivalentes de caixa e TVM</v>
          </cell>
          <cell r="K470">
            <v>7909.3</v>
          </cell>
          <cell r="L470">
            <v>16704.599999999999</v>
          </cell>
        </row>
        <row r="471">
          <cell r="H471" t="str">
            <v>3510101010 Rec Financ-Juros s/Aplic Financeiras (Realizado)</v>
          </cell>
          <cell r="K471">
            <v>7909.3</v>
          </cell>
          <cell r="L471">
            <v>16704.599999999999</v>
          </cell>
        </row>
        <row r="472">
          <cell r="G472" t="str">
            <v>Variações cambiais ativas s/contr camb exter</v>
          </cell>
          <cell r="K472">
            <v>35.6</v>
          </cell>
          <cell r="L472">
            <v>82.4</v>
          </cell>
        </row>
        <row r="473">
          <cell r="H473" t="str">
            <v>3530101010 Var C Liq At-Ganho Var Camb s/Receb Exterior (R)</v>
          </cell>
          <cell r="K473">
            <v>35.6</v>
          </cell>
          <cell r="L473">
            <v>84.4</v>
          </cell>
        </row>
        <row r="474">
          <cell r="H474" t="str">
            <v>3530101020 Var C Liq At-Perda Var Camb s/Receb Exterior (R)</v>
          </cell>
          <cell r="K474">
            <v>0</v>
          </cell>
          <cell r="L474">
            <v>-2</v>
          </cell>
        </row>
        <row r="475">
          <cell r="G475" t="str">
            <v>Outras receitas financeiras</v>
          </cell>
          <cell r="K475">
            <v>1138.3</v>
          </cell>
          <cell r="L475">
            <v>2327.8000000000002</v>
          </cell>
        </row>
        <row r="476">
          <cell r="H476" t="str">
            <v>3510101090 Rec Financ-Juros s/Capital Proprio (Realizado)</v>
          </cell>
          <cell r="K476">
            <v>29.4</v>
          </cell>
          <cell r="L476">
            <v>51</v>
          </cell>
        </row>
        <row r="477">
          <cell r="H477" t="str">
            <v>3510101990 Rec Financ-Juros s/Outros Ativos (Realizado)</v>
          </cell>
          <cell r="K477">
            <v>4</v>
          </cell>
          <cell r="L477">
            <v>6.6</v>
          </cell>
        </row>
        <row r="478">
          <cell r="H478" t="str">
            <v>3510102010 Rec Financ-Var Monet s/Deposit Judic (Realizado)</v>
          </cell>
          <cell r="K478">
            <v>2.6</v>
          </cell>
          <cell r="L478">
            <v>2.6</v>
          </cell>
        </row>
        <row r="479">
          <cell r="H479" t="str">
            <v>3510102011 Rec Financ-Prov Var Monet s/ Depositos Judiciais</v>
          </cell>
          <cell r="K479">
            <v>720.8</v>
          </cell>
          <cell r="L479">
            <v>1497.3</v>
          </cell>
        </row>
        <row r="480">
          <cell r="H480" t="str">
            <v>3510102020 Rec Financ-Var Monet s/Impostos a Recup. (Realiza)</v>
          </cell>
          <cell r="K480">
            <v>66.7</v>
          </cell>
          <cell r="L480">
            <v>138.19999999999999</v>
          </cell>
        </row>
        <row r="481">
          <cell r="H481" t="str">
            <v>3510102990 Rec Finan-Var Monetaria s/Outros Ativos(Realizado)</v>
          </cell>
          <cell r="K481">
            <v>112.5</v>
          </cell>
          <cell r="L481">
            <v>231.3</v>
          </cell>
        </row>
        <row r="482">
          <cell r="H482" t="str">
            <v>3510103010 Rec Financ-Encargos s/Cobrança Duplic(Realizado)</v>
          </cell>
          <cell r="K482">
            <v>66.400000000000006</v>
          </cell>
          <cell r="L482">
            <v>149</v>
          </cell>
        </row>
        <row r="483">
          <cell r="H483" t="str">
            <v>3510103030 Rec Financ-Descontos Obtidos (Realizado)</v>
          </cell>
          <cell r="K483">
            <v>17.399999999999999</v>
          </cell>
          <cell r="L483">
            <v>27.1</v>
          </cell>
        </row>
        <row r="484">
          <cell r="H484" t="str">
            <v>3510103040 Encargos s/ Bonificação Refis</v>
          </cell>
          <cell r="K484">
            <v>0</v>
          </cell>
          <cell r="L484">
            <v>0</v>
          </cell>
        </row>
        <row r="485">
          <cell r="H485" t="str">
            <v>3510105010 Rec Financ-Bonificaçoes s/Adm Apolice (Realizado)</v>
          </cell>
          <cell r="K485">
            <v>0.3</v>
          </cell>
          <cell r="L485">
            <v>0.8</v>
          </cell>
        </row>
        <row r="486">
          <cell r="H486" t="str">
            <v>3510105020 Rec Financ-Bonificações s/ Pagamentos (Realizado)</v>
          </cell>
          <cell r="K486">
            <v>0</v>
          </cell>
          <cell r="L486">
            <v>0</v>
          </cell>
        </row>
        <row r="487">
          <cell r="H487" t="str">
            <v>3510106014 Rec Financ-Cont.AVP/ICMS Recup s/Aquis de At.Fixo</v>
          </cell>
          <cell r="K487">
            <v>104.1</v>
          </cell>
          <cell r="L487">
            <v>204.7</v>
          </cell>
        </row>
        <row r="488">
          <cell r="H488" t="str">
            <v>3510199990 Rec Financ-Demais Receitas Financeiras (Realizado)</v>
          </cell>
          <cell r="K488">
            <v>14.1</v>
          </cell>
          <cell r="L488">
            <v>19.100000000000001</v>
          </cell>
        </row>
        <row r="489">
          <cell r="A489" t="str">
            <v>3.06.02</v>
          </cell>
          <cell r="F489" t="str">
            <v>Despesas financeiras</v>
          </cell>
          <cell r="K489">
            <v>-22845.3</v>
          </cell>
          <cell r="L489">
            <v>-47489.599999999999</v>
          </cell>
        </row>
        <row r="490">
          <cell r="G490" t="str">
            <v>Juros de empréstimos e financiamentos</v>
          </cell>
          <cell r="K490">
            <v>-21104.799999999999</v>
          </cell>
          <cell r="L490">
            <v>-44337</v>
          </cell>
        </row>
        <row r="491">
          <cell r="H491" t="str">
            <v>3510201010 (-)Desp Financ-Juros s/Emprestimos (Realizado)</v>
          </cell>
          <cell r="K491">
            <v>-21104.799999999999</v>
          </cell>
          <cell r="L491">
            <v>-44337</v>
          </cell>
        </row>
        <row r="492">
          <cell r="G492" t="str">
            <v>Variações cambiais passivas sobre empréstimos</v>
          </cell>
          <cell r="K492">
            <v>-1473.7</v>
          </cell>
          <cell r="L492">
            <v>-1191.3</v>
          </cell>
        </row>
        <row r="493">
          <cell r="H493" t="str">
            <v>3530102030 Var C Liq Pas-Ganho Var Camb s/Empres Exterior(R)</v>
          </cell>
        </row>
        <row r="494">
          <cell r="H494" t="str">
            <v>3530102040 Var C Liq Pas-Perda Va rCamb s/Empres Exterior(R)</v>
          </cell>
          <cell r="K494">
            <v>-1473.7</v>
          </cell>
          <cell r="L494">
            <v>-1936.5</v>
          </cell>
        </row>
        <row r="495">
          <cell r="G495" t="str">
            <v>Variações cambiais passivas s/ exig. exterior</v>
          </cell>
          <cell r="K495">
            <v>548.4</v>
          </cell>
          <cell r="L495">
            <v>505.3</v>
          </cell>
        </row>
        <row r="496">
          <cell r="H496" t="str">
            <v>3530102010 Var C Liq Pas-Ganho Var Camb s/Exigiv Exterior(R)</v>
          </cell>
          <cell r="K496">
            <v>668.2</v>
          </cell>
          <cell r="L496">
            <v>703.8</v>
          </cell>
        </row>
        <row r="497">
          <cell r="H497" t="str">
            <v>3530102020 Var C Liq Pas-Perda Var Camb s/Exigiv Exterior(R)</v>
          </cell>
          <cell r="K497">
            <v>-119.9</v>
          </cell>
          <cell r="L497">
            <v>-198.5</v>
          </cell>
        </row>
        <row r="498">
          <cell r="G498" t="str">
            <v>Outras despesas financeiras</v>
          </cell>
          <cell r="K498">
            <v>-815.3</v>
          </cell>
          <cell r="L498">
            <v>-2466.6</v>
          </cell>
        </row>
        <row r="499">
          <cell r="H499" t="str">
            <v>3510201020 (-)Desp Financ-Juros s/Pgtos em Atraso (Realizado)</v>
          </cell>
          <cell r="K499">
            <v>-25.5</v>
          </cell>
          <cell r="L499">
            <v>-31</v>
          </cell>
        </row>
        <row r="500">
          <cell r="H500" t="str">
            <v>3510201990 (-)Desp Financ-Juros s/Outros Passivos (Realizado)</v>
          </cell>
          <cell r="K500">
            <v>-1.3</v>
          </cell>
          <cell r="L500">
            <v>-1.3</v>
          </cell>
        </row>
        <row r="501">
          <cell r="H501" t="str">
            <v>3510202020 Desp Financ-Var Monet s/Pgto em Atraso (Realizado)</v>
          </cell>
          <cell r="K501">
            <v>0</v>
          </cell>
          <cell r="L501">
            <v>-0.1</v>
          </cell>
        </row>
        <row r="502">
          <cell r="H502" t="str">
            <v>3510202030 Desp Financ-Var Monet s/Pgto Imposto em Atraso(R)</v>
          </cell>
          <cell r="K502">
            <v>0</v>
          </cell>
          <cell r="L502">
            <v>-0.2</v>
          </cell>
        </row>
        <row r="503">
          <cell r="H503" t="str">
            <v>3510202990 Desp Financ-Var Monet s/Outros Passivos(Realizado)</v>
          </cell>
          <cell r="K503">
            <v>-0.1</v>
          </cell>
          <cell r="L503">
            <v>-0.1</v>
          </cell>
        </row>
        <row r="504">
          <cell r="H504" t="str">
            <v>3510202991 Desp Financ-Prov Var Monetaria s/Contingencias</v>
          </cell>
          <cell r="K504">
            <v>-49</v>
          </cell>
          <cell r="L504">
            <v>-1486.9</v>
          </cell>
        </row>
        <row r="505">
          <cell r="H505" t="str">
            <v>3510203010 Desp Financ-Encarg/Outros-Desc Concedidos(Realiz)</v>
          </cell>
          <cell r="K505">
            <v>0</v>
          </cell>
          <cell r="L505">
            <v>0</v>
          </cell>
        </row>
        <row r="506">
          <cell r="H506" t="str">
            <v>3510203020 Desp Financ-Encarg/Outros-Custas Judiciais(Realiz)</v>
          </cell>
          <cell r="K506">
            <v>-0.5</v>
          </cell>
          <cell r="L506">
            <v>-0.5</v>
          </cell>
        </row>
        <row r="507">
          <cell r="H507" t="str">
            <v>3510203500 Desp Financ-Encarg/Outros-I.O.C / I.O.F(Realizado)</v>
          </cell>
          <cell r="K507">
            <v>-0.1</v>
          </cell>
          <cell r="L507">
            <v>-0.8</v>
          </cell>
        </row>
        <row r="508">
          <cell r="H508" t="str">
            <v>3510203504 Ajuste a Valor Justo</v>
          </cell>
          <cell r="K508">
            <v>0</v>
          </cell>
          <cell r="L508">
            <v>0</v>
          </cell>
        </row>
        <row r="509">
          <cell r="H509" t="str">
            <v>3510204010 Desp Financ-EFE-Comissoes s/Aquis Empres Amort(R)</v>
          </cell>
          <cell r="K509">
            <v>-551.4</v>
          </cell>
          <cell r="L509">
            <v>-558.4</v>
          </cell>
        </row>
        <row r="510">
          <cell r="H510" t="str">
            <v>3510204090 Desp Financ-EFE-Outros Enc s/Aquis Emprest(Realiz)</v>
          </cell>
        </row>
        <row r="511">
          <cell r="H511" t="str">
            <v>3510204014 Ajuste a Valor Justo</v>
          </cell>
          <cell r="K511">
            <v>0</v>
          </cell>
          <cell r="L511">
            <v>0</v>
          </cell>
        </row>
        <row r="512">
          <cell r="H512" t="str">
            <v>3510205010 Desp Financ-Bancarias-Comissoes (Ralizado)</v>
          </cell>
          <cell r="K512">
            <v>0</v>
          </cell>
          <cell r="L512">
            <v>0</v>
          </cell>
        </row>
        <row r="513">
          <cell r="H513" t="str">
            <v>3510205014 Ajuste a Valor Justo</v>
          </cell>
          <cell r="K513">
            <v>0</v>
          </cell>
          <cell r="L513">
            <v>0</v>
          </cell>
        </row>
        <row r="514">
          <cell r="H514" t="str">
            <v>3510205020 Desp Financ-Bancarias-Corretagens (Realiz)</v>
          </cell>
          <cell r="K514">
            <v>-1.2</v>
          </cell>
          <cell r="L514">
            <v>-1.8</v>
          </cell>
        </row>
        <row r="515">
          <cell r="H515" t="str">
            <v>3510205030 Desp Financ-Bancarias-Comissoes Fiança (Realiz)</v>
          </cell>
          <cell r="K515">
            <v>-171.3</v>
          </cell>
          <cell r="L515">
            <v>-249.4</v>
          </cell>
        </row>
        <row r="516">
          <cell r="H516" t="str">
            <v>3510205040 Desp Financ-Bancaria-Txa Expediente (Realiz)</v>
          </cell>
          <cell r="K516">
            <v>-14.9</v>
          </cell>
          <cell r="L516">
            <v>-36.5</v>
          </cell>
        </row>
        <row r="517">
          <cell r="H517" t="str">
            <v>3510299990 Demais Despesas Financeiras (Realizado)</v>
          </cell>
          <cell r="K517">
            <v>0</v>
          </cell>
          <cell r="L517">
            <v>0</v>
          </cell>
        </row>
        <row r="518">
          <cell r="D518" t="str">
            <v>Imposto de renda e constribuição social</v>
          </cell>
          <cell r="K518">
            <v>-13549.2</v>
          </cell>
          <cell r="L518">
            <v>-28251.4</v>
          </cell>
        </row>
        <row r="519">
          <cell r="A519" t="str">
            <v>3.08.01</v>
          </cell>
          <cell r="E519" t="str">
            <v>Corrente</v>
          </cell>
          <cell r="K519">
            <v>-14695.2</v>
          </cell>
          <cell r="L519">
            <v>-30567.7</v>
          </cell>
        </row>
        <row r="520">
          <cell r="F520" t="str">
            <v>3910101011 (-)Prov CSLL/Exerc.Corrente-CSLL Ajustado (Realiz)</v>
          </cell>
          <cell r="K520">
            <v>-3823.8</v>
          </cell>
          <cell r="L520">
            <v>-7971.6</v>
          </cell>
        </row>
        <row r="521">
          <cell r="F521" t="str">
            <v>3910101014 (-)Prov CSLL/Exerc.Corrente-CSLL Aj Aliq Efet (Rea</v>
          </cell>
          <cell r="K521">
            <v>0</v>
          </cell>
          <cell r="L521">
            <v>0</v>
          </cell>
        </row>
        <row r="522">
          <cell r="F522" t="str">
            <v>3920101011 (-)Prov IRPJ/Exerc.Correne-IRPJ s/Lucro Real</v>
          </cell>
          <cell r="K522">
            <v>-10871.4</v>
          </cell>
          <cell r="L522">
            <v>-22596.1</v>
          </cell>
        </row>
        <row r="523">
          <cell r="F523" t="str">
            <v>3920101014 (-)Prov IRPJ/Exerc.Corrente Aj Aliq Efetiva (Reali</v>
          </cell>
          <cell r="K523">
            <v>0</v>
          </cell>
          <cell r="L523">
            <v>0</v>
          </cell>
        </row>
        <row r="524">
          <cell r="A524" t="str">
            <v>3.08.02</v>
          </cell>
          <cell r="E524" t="str">
            <v>Diferido</v>
          </cell>
          <cell r="K524">
            <v>1146</v>
          </cell>
          <cell r="L524">
            <v>2316.3000000000002</v>
          </cell>
        </row>
        <row r="525">
          <cell r="F525" t="str">
            <v>3910101021 (-)Prov CSLL/Exerc.Corrente-CSLL Diferido Ativos</v>
          </cell>
          <cell r="K525">
            <v>303.3</v>
          </cell>
          <cell r="L525">
            <v>613.1</v>
          </cell>
        </row>
        <row r="526">
          <cell r="F526" t="str">
            <v>3910101041 (-)Prov CSLL Diferida Base Negativa</v>
          </cell>
          <cell r="K526">
            <v>0</v>
          </cell>
          <cell r="L526">
            <v>0</v>
          </cell>
        </row>
        <row r="527">
          <cell r="F527" t="str">
            <v>3910102011 Prov CSLL/Exerc Ant-Prov CSLL Exerc Anterior</v>
          </cell>
          <cell r="K527">
            <v>0</v>
          </cell>
          <cell r="L527">
            <v>0</v>
          </cell>
        </row>
        <row r="528">
          <cell r="F528" t="str">
            <v>3920101021 (-)Prov IRPJ/Exerc.Corrente-IRPJ Diferido Ativos</v>
          </cell>
          <cell r="K528">
            <v>842.6</v>
          </cell>
          <cell r="L528">
            <v>1703.2</v>
          </cell>
        </row>
        <row r="529">
          <cell r="F529" t="str">
            <v>3920101041 (-)Prov IRPJ Diferido Prej Fiscal</v>
          </cell>
          <cell r="K529">
            <v>0</v>
          </cell>
          <cell r="L529">
            <v>0</v>
          </cell>
        </row>
        <row r="530">
          <cell r="F530" t="str">
            <v>3920102011 Prov IRPJ/Exerc.Ant-Prov IRPJ Exerc Anterior</v>
          </cell>
          <cell r="K530">
            <v>0</v>
          </cell>
          <cell r="L530">
            <v>0</v>
          </cell>
        </row>
      </sheetData>
      <sheetData sheetId="29" refreshError="1">
        <row r="3">
          <cell r="B3" t="str">
            <v>Resultado líquido do periodo</v>
          </cell>
          <cell r="K3">
            <v>16553.3</v>
          </cell>
          <cell r="L3">
            <v>27729.700000000004</v>
          </cell>
        </row>
        <row r="4">
          <cell r="A4" t="str">
            <v>3.07</v>
          </cell>
          <cell r="D4" t="str">
            <v>Resultado antes dos tributos sobre o lucro</v>
          </cell>
          <cell r="K4">
            <v>30102.5</v>
          </cell>
          <cell r="L4">
            <v>42431.8</v>
          </cell>
        </row>
        <row r="5">
          <cell r="A5" t="str">
            <v>3.05</v>
          </cell>
          <cell r="E5" t="str">
            <v>Resultado antes do resultado financeiro</v>
          </cell>
          <cell r="K5">
            <v>43864.5</v>
          </cell>
          <cell r="L5">
            <v>57044.5</v>
          </cell>
        </row>
        <row r="6">
          <cell r="A6" t="str">
            <v>3.03</v>
          </cell>
          <cell r="F6" t="str">
            <v>Lucro bruto</v>
          </cell>
          <cell r="K6">
            <v>97698.1</v>
          </cell>
          <cell r="L6">
            <v>98452.9</v>
          </cell>
        </row>
        <row r="7">
          <cell r="A7" t="str">
            <v>3.01</v>
          </cell>
          <cell r="G7" t="str">
            <v>Receita líquida de vendas</v>
          </cell>
          <cell r="K7">
            <v>204969.59999999998</v>
          </cell>
          <cell r="L7">
            <v>202634</v>
          </cell>
        </row>
        <row r="8">
          <cell r="H8" t="str">
            <v>Receita bruta de vendas</v>
          </cell>
          <cell r="K8">
            <v>267510.10000000003</v>
          </cell>
          <cell r="L8">
            <v>263662.59999999998</v>
          </cell>
        </row>
        <row r="9">
          <cell r="I9" t="str">
            <v>Mercado interno</v>
          </cell>
          <cell r="K9">
            <v>267510.10000000003</v>
          </cell>
          <cell r="L9">
            <v>263662.59999999998</v>
          </cell>
        </row>
        <row r="10">
          <cell r="J10" t="str">
            <v>3110101030 Rec Brt-Vendas de Produtos no MI (Realizado)</v>
          </cell>
          <cell r="K10">
            <v>261436</v>
          </cell>
          <cell r="L10">
            <v>257473</v>
          </cell>
        </row>
        <row r="11">
          <cell r="J11" t="str">
            <v>3110105030 Rec Brt-Rev de Mercs Nacionais no MI (Realizado)</v>
          </cell>
          <cell r="K11">
            <v>6323.9</v>
          </cell>
          <cell r="L11">
            <v>5435.1</v>
          </cell>
        </row>
        <row r="12">
          <cell r="J12" t="str">
            <v>3110106030 Rec Brt-Rev de Mercs Importadas MI ( Realizado)</v>
          </cell>
          <cell r="K12">
            <v>0</v>
          </cell>
          <cell r="L12">
            <v>832.4</v>
          </cell>
        </row>
        <row r="13">
          <cell r="J13" t="str">
            <v>3110108030 Rec Brt-Rev de Mercs Diversas no MI (Realizado)</v>
          </cell>
          <cell r="K13">
            <v>27.7</v>
          </cell>
          <cell r="L13">
            <v>34.9</v>
          </cell>
        </row>
        <row r="14">
          <cell r="J14" t="str">
            <v>3110130030 Rec Brt-Venda de Serviços no MI (Realizado)</v>
          </cell>
        </row>
        <row r="15">
          <cell r="J15" t="str">
            <v>3110301030 (-)Vendas Canc e Dev de Prod no MI (Realizado)</v>
          </cell>
          <cell r="K15">
            <v>-277.39999999999998</v>
          </cell>
          <cell r="L15">
            <v>-319.8</v>
          </cell>
        </row>
        <row r="16">
          <cell r="J16" t="str">
            <v>3110305030 (-)Rev Canc e Dev de Merc Nac no MI (Realizado)</v>
          </cell>
          <cell r="K16">
            <v>0</v>
          </cell>
          <cell r="L16">
            <v>-16.3</v>
          </cell>
        </row>
        <row r="17">
          <cell r="I17" t="str">
            <v>Mercado externo</v>
          </cell>
          <cell r="K17">
            <v>0</v>
          </cell>
          <cell r="L17">
            <v>0</v>
          </cell>
        </row>
        <row r="18">
          <cell r="J18" t="str">
            <v>3110101010 Rec Brt-Export Direta de Produtos FP (Realizado)</v>
          </cell>
          <cell r="K18">
            <v>0</v>
          </cell>
          <cell r="L18">
            <v>0</v>
          </cell>
        </row>
        <row r="19">
          <cell r="J19" t="str">
            <v>3110305010 (-)Rev Canc e Dev de Merc Nac no ME (Realizado)</v>
          </cell>
          <cell r="K19">
            <v>0</v>
          </cell>
          <cell r="L19">
            <v>0</v>
          </cell>
        </row>
        <row r="20">
          <cell r="H20" t="str">
            <v>Impostos incidentes s/ vendas e abatimentos</v>
          </cell>
          <cell r="K20">
            <v>-62540.6</v>
          </cell>
          <cell r="L20">
            <v>-61028.600000000006</v>
          </cell>
        </row>
        <row r="21">
          <cell r="I21" t="str">
            <v>3110401010 (-)Desc Incond s/Vendas de Prod FP no ME (Realiz)</v>
          </cell>
          <cell r="K21">
            <v>0</v>
          </cell>
          <cell r="L21">
            <v>0</v>
          </cell>
        </row>
        <row r="22">
          <cell r="I22" t="str">
            <v>3110401030 (-)Desc Incond s/Vend de Prod FP no MI (Realizado)</v>
          </cell>
          <cell r="K22">
            <v>-218.6</v>
          </cell>
          <cell r="L22">
            <v>-62.9</v>
          </cell>
        </row>
        <row r="23">
          <cell r="I23" t="str">
            <v>3110405030 (-)Desc Incond s/Rev Merc Nacional no MI (Realiz)</v>
          </cell>
          <cell r="K23">
            <v>0</v>
          </cell>
          <cell r="L23">
            <v>-2.2999999999999998</v>
          </cell>
        </row>
        <row r="24">
          <cell r="I24" t="str">
            <v>3110408030 (-)Desc Incond s/Rev Merc Diversas no MI (Realiz)</v>
          </cell>
          <cell r="K24">
            <v>-0.1</v>
          </cell>
          <cell r="L24">
            <v>0</v>
          </cell>
        </row>
        <row r="25">
          <cell r="I25" t="str">
            <v>3110501030 (-)ICMS s/Vendas de Produtos FP no MI (Realiz)</v>
          </cell>
          <cell r="K25">
            <v>-38778.400000000001</v>
          </cell>
          <cell r="L25">
            <v>-38056.1</v>
          </cell>
        </row>
        <row r="26">
          <cell r="I26" t="str">
            <v>3110505030 (-)ICMS s/Rev de Mercs Nacionais no MI (Realiz)</v>
          </cell>
          <cell r="K26">
            <v>-1048.6999999999998</v>
          </cell>
          <cell r="L26">
            <v>-861.89999999999986</v>
          </cell>
        </row>
        <row r="27">
          <cell r="I27" t="str">
            <v>3110506030 (-)ICMS s/Rev de Merc Imports no MI (Realiz)</v>
          </cell>
          <cell r="K27">
            <v>0</v>
          </cell>
          <cell r="L27">
            <v>-146.30000000000001</v>
          </cell>
        </row>
        <row r="28">
          <cell r="I28" t="str">
            <v>3110508030 (-)ICMS s/Rev Mercadorias Divs no MI (Realizado)</v>
          </cell>
          <cell r="K28">
            <v>-4.9000000000000004</v>
          </cell>
          <cell r="L28">
            <v>-6.3000000000000007</v>
          </cell>
        </row>
        <row r="29">
          <cell r="I29" t="str">
            <v>3110590900 (-)ICMS s/Remessas Mercadorias Div no MI (Realiz)</v>
          </cell>
          <cell r="K29">
            <v>-1.2999999999999998</v>
          </cell>
          <cell r="L29">
            <v>-1.4</v>
          </cell>
        </row>
        <row r="30">
          <cell r="I30" t="str">
            <v>3110601030 (-)Cofins s/Venda Produtos FP no MI (R)</v>
          </cell>
          <cell r="K30">
            <v>-18017.3</v>
          </cell>
          <cell r="L30">
            <v>-17484.400000000001</v>
          </cell>
        </row>
        <row r="31">
          <cell r="I31" t="str">
            <v>3110605030 (-)Cofins s/Revenda Merc Nacionais no MI (Realiz)</v>
          </cell>
          <cell r="K31">
            <v>-457.7</v>
          </cell>
          <cell r="L31">
            <v>-409.9</v>
          </cell>
        </row>
        <row r="32">
          <cell r="I32" t="str">
            <v>3110606030 (-)Cofins s/Revenda Merc Importadas no MI (Realiz)</v>
          </cell>
          <cell r="K32">
            <v>0</v>
          </cell>
          <cell r="L32">
            <v>-63.3</v>
          </cell>
        </row>
        <row r="33">
          <cell r="I33" t="str">
            <v>3110608030 (-)Cofins s/Revenda Mercad Divs no MI (Realiz)</v>
          </cell>
          <cell r="K33">
            <v>-2.1</v>
          </cell>
          <cell r="L33">
            <v>-2.7</v>
          </cell>
        </row>
        <row r="34">
          <cell r="I34" t="str">
            <v>3110630030 (-)Cofins s/Venda de Serviços no MI (Realiz)</v>
          </cell>
        </row>
        <row r="35">
          <cell r="I35" t="str">
            <v>3110701030 (-)PIS/Pasep s/Vendas Produtos FP no MI (Realiz)</v>
          </cell>
          <cell r="K35">
            <v>-3911.7</v>
          </cell>
          <cell r="L35">
            <v>-3796</v>
          </cell>
        </row>
        <row r="36">
          <cell r="I36" t="str">
            <v>3110705030 (-)PIS/Pasep s/Rev Merc Nacionais no MI (Realiz)</v>
          </cell>
          <cell r="K36">
            <v>-99.4</v>
          </cell>
          <cell r="L36">
            <v>-88.9</v>
          </cell>
        </row>
        <row r="37">
          <cell r="I37" t="str">
            <v>3110706030 (-)PIS/Pasep s/Rev Merc Importadas no MI (Realiz)</v>
          </cell>
          <cell r="K37">
            <v>0</v>
          </cell>
          <cell r="L37">
            <v>-13.7</v>
          </cell>
        </row>
        <row r="38">
          <cell r="I38" t="str">
            <v>3110708030 (-)PIS/Pasep s/Revenda Merc Divs no MI (Realiz)</v>
          </cell>
          <cell r="K38">
            <v>-0.4</v>
          </cell>
          <cell r="L38">
            <v>-0.5</v>
          </cell>
        </row>
        <row r="39">
          <cell r="I39" t="str">
            <v>3110730030 (-)PIS/Pasep s/Venda Serviços no MI (Realiz)</v>
          </cell>
        </row>
        <row r="40">
          <cell r="I40" t="str">
            <v>3110830030 (-)ISS s/Venda de Serviços no MI (Realiz)</v>
          </cell>
        </row>
        <row r="41">
          <cell r="A41" t="str">
            <v>3.02</v>
          </cell>
          <cell r="G41" t="str">
            <v>Custo dos bens e serviços vendidos</v>
          </cell>
          <cell r="K41">
            <v>-107271.4</v>
          </cell>
          <cell r="L41">
            <v>-104181.2</v>
          </cell>
        </row>
        <row r="42">
          <cell r="H42" t="str">
            <v>Variações nos estoques de Materiais</v>
          </cell>
          <cell r="K42">
            <v>-38084</v>
          </cell>
          <cell r="L42">
            <v>-36395.800000000003</v>
          </cell>
        </row>
        <row r="43">
          <cell r="I43" t="str">
            <v>3130101010 Custo de Exportaçao Direta de Produtos (Realiz)</v>
          </cell>
          <cell r="K43">
            <v>0</v>
          </cell>
          <cell r="L43">
            <v>0</v>
          </cell>
        </row>
        <row r="44">
          <cell r="I44" t="str">
            <v>3130101012 Rev Prov p/ Desv de Exportaçao Direta de Produtos</v>
          </cell>
          <cell r="K44">
            <v>4550.3999999999996</v>
          </cell>
          <cell r="L44">
            <v>5379.7000000000007</v>
          </cell>
        </row>
        <row r="45">
          <cell r="I45" t="str">
            <v>3130101015 Prov p/Desv de Exportaçao Direta de Produtos</v>
          </cell>
          <cell r="K45">
            <v>-5653.2</v>
          </cell>
          <cell r="L45">
            <v>-4979.8999999999996</v>
          </cell>
        </row>
        <row r="46">
          <cell r="I46" t="str">
            <v>3130101030 Custo das Vendas de Produtos MI (Realizado)</v>
          </cell>
          <cell r="K46">
            <v>-104008.79999999999</v>
          </cell>
          <cell r="L46">
            <v>-102531.2</v>
          </cell>
        </row>
        <row r="47">
          <cell r="I47" t="str">
            <v>3130101031 Custo Vendas de Produtos MI - AJ</v>
          </cell>
          <cell r="K47">
            <v>0</v>
          </cell>
          <cell r="L47">
            <v>0.1</v>
          </cell>
        </row>
        <row r="48">
          <cell r="I48" t="str">
            <v>3130101039 Custo das Vendas de Produtos MI Serv (Realizado)</v>
          </cell>
          <cell r="K48">
            <v>-2.3000000000000003</v>
          </cell>
          <cell r="L48">
            <v>-9.1</v>
          </cell>
        </row>
        <row r="49">
          <cell r="I49" t="str">
            <v>3130105030 Custo das Revendas de Mercadorias no MI (Realiz)</v>
          </cell>
          <cell r="K49">
            <v>-2157.8000000000002</v>
          </cell>
          <cell r="L49">
            <v>-1395.8</v>
          </cell>
        </row>
        <row r="50">
          <cell r="I50" t="str">
            <v>3130105031 Custo Revendas de Produtos MI - AJ</v>
          </cell>
          <cell r="K50">
            <v>14</v>
          </cell>
          <cell r="L50">
            <v>0</v>
          </cell>
        </row>
        <row r="51">
          <cell r="I51" t="str">
            <v>3130106030 Custo da Revenda de Merc Importadas no MI (Realiz)</v>
          </cell>
          <cell r="K51">
            <v>0</v>
          </cell>
          <cell r="L51">
            <v>-624.9</v>
          </cell>
        </row>
        <row r="52">
          <cell r="I52" t="str">
            <v>3130130030 Custo das Vendas de Serviços no MI (Realizado)</v>
          </cell>
          <cell r="K52">
            <v>-13.7</v>
          </cell>
          <cell r="L52">
            <v>-20.2</v>
          </cell>
        </row>
        <row r="53">
          <cell r="I53" t="str">
            <v>5110101010 Estoq Consumido Prod-Materia Prima SAL (Realizado)</v>
          </cell>
          <cell r="K53">
            <v>-13965.099999999999</v>
          </cell>
          <cell r="L53">
            <v>-21045.599999999999</v>
          </cell>
        </row>
        <row r="54">
          <cell r="I54" t="str">
            <v>5110101011 Estoq Consumido Prod-Materia Prima SAL (Aj Real)</v>
          </cell>
          <cell r="K54">
            <v>-1264.3</v>
          </cell>
          <cell r="L54">
            <v>-1387.9</v>
          </cell>
        </row>
        <row r="55">
          <cell r="I55" t="str">
            <v>5110101020 Estoq Consumido Prod-MP-Etileno (Realizado)</v>
          </cell>
          <cell r="K55">
            <v>-6162.7</v>
          </cell>
          <cell r="L55">
            <v>-9099.5999999999985</v>
          </cell>
        </row>
        <row r="56">
          <cell r="I56" t="str">
            <v>5110101021 Estoq Consumido Prod-MP-Etileno (Aj Real)</v>
          </cell>
          <cell r="K56">
            <v>1091.4000000000001</v>
          </cell>
          <cell r="L56">
            <v>931.49999999999989</v>
          </cell>
        </row>
        <row r="57">
          <cell r="I57" t="str">
            <v>5110101300 Estoq Consumido Prod-Mat Aux Gas Natural (Realiz)</v>
          </cell>
          <cell r="K57">
            <v>-8238.9</v>
          </cell>
          <cell r="L57">
            <v>-5715.6</v>
          </cell>
        </row>
        <row r="58">
          <cell r="I58" t="str">
            <v>5110101301 Estoq Consumido Prod-Mat Aux Gas Natural (Aj Real)</v>
          </cell>
          <cell r="K58">
            <v>923.2</v>
          </cell>
          <cell r="L58">
            <v>555.9</v>
          </cell>
        </row>
        <row r="59">
          <cell r="I59" t="str">
            <v>5110101310 Estoq Consumido Prod-M Aux Vapor Petroc (Realiz)</v>
          </cell>
          <cell r="K59">
            <v>-3120.3</v>
          </cell>
          <cell r="L59">
            <v>-3329.2</v>
          </cell>
        </row>
        <row r="60">
          <cell r="I60" t="str">
            <v>5110101311 Estoq Consumido Prod-M Aux Vapor Petroc (Aj Real)</v>
          </cell>
          <cell r="K60">
            <v>228.9</v>
          </cell>
          <cell r="L60">
            <v>-87.300000000000011</v>
          </cell>
        </row>
        <row r="61">
          <cell r="I61" t="str">
            <v>5110101490 Estoq Consumido Prod-M Aux Demais (Realizado)</v>
          </cell>
          <cell r="K61">
            <v>-2446.1</v>
          </cell>
          <cell r="L61">
            <v>-1982.2000000000003</v>
          </cell>
        </row>
        <row r="62">
          <cell r="I62" t="str">
            <v>5110101491 Estoq Consumido Prod-M Aux Demais (Aj Real)</v>
          </cell>
          <cell r="K62">
            <v>33.200000000000003</v>
          </cell>
          <cell r="L62">
            <v>-277.2</v>
          </cell>
        </row>
        <row r="63">
          <cell r="I63" t="str">
            <v>5110101500 Estoq Consumido Prod-Embalagens (Realizado)</v>
          </cell>
          <cell r="K63">
            <v>-935.10000000000014</v>
          </cell>
          <cell r="L63">
            <v>-734</v>
          </cell>
        </row>
        <row r="64">
          <cell r="I64" t="str">
            <v>5110101501 Estoq Consumido Prod-Embalagens (Aj Real)</v>
          </cell>
          <cell r="K64">
            <v>44</v>
          </cell>
          <cell r="L64">
            <v>22.6</v>
          </cell>
        </row>
        <row r="65">
          <cell r="I65" t="str">
            <v>5110102010 Cons.Insumo-Revestimentos de Anodos (Realizado)</v>
          </cell>
          <cell r="K65">
            <v>-279.5</v>
          </cell>
          <cell r="L65">
            <v>-269.60000000000002</v>
          </cell>
        </row>
        <row r="66">
          <cell r="I66" t="str">
            <v>5120101010 Cst P.Fab Próp Transf p/S.Acabado(F.Fab)-(Aj.Real)</v>
          </cell>
          <cell r="K66">
            <v>321782.90000000002</v>
          </cell>
          <cell r="L66">
            <v>327202.7</v>
          </cell>
        </row>
        <row r="67">
          <cell r="I67" t="str">
            <v>5120101011 Cst P.Fab Próp Transf p/S.Acab(AjOrdProd)-(Planej)</v>
          </cell>
          <cell r="K67">
            <v>9964.5</v>
          </cell>
          <cell r="L67">
            <v>7252</v>
          </cell>
        </row>
        <row r="68">
          <cell r="I68" t="str">
            <v>5120101012 Cst P.Fab Próp Transf p/S.Acab(Zerar Centro Cst)</v>
          </cell>
          <cell r="K68">
            <v>-5621.6</v>
          </cell>
          <cell r="L68">
            <v>-3942.4</v>
          </cell>
        </row>
        <row r="69">
          <cell r="I69" t="str">
            <v>5120101013 Cst P.Fab Próp Consumo S.Acab (Realizado)</v>
          </cell>
          <cell r="K69">
            <v>-324049.7</v>
          </cell>
          <cell r="L69">
            <v>-322008.5</v>
          </cell>
        </row>
        <row r="70">
          <cell r="I70" t="str">
            <v>5120101020 Cst P.Fab Próp Transf p/P.Acabado(F.Fab)-(Aj.Real)</v>
          </cell>
          <cell r="K70">
            <v>99505.1</v>
          </cell>
          <cell r="L70">
            <v>99300.5</v>
          </cell>
        </row>
        <row r="71">
          <cell r="I71" t="str">
            <v>5120101021 Cst P.Fab Próp Transf p/P.Acabado(F.Fab)-(Planej)</v>
          </cell>
          <cell r="K71">
            <v>352.40000000000003</v>
          </cell>
          <cell r="L71">
            <v>626.00000000000011</v>
          </cell>
        </row>
        <row r="72">
          <cell r="I72" t="str">
            <v>5120101022 Cst P.Fab Próp Transf p/P.Acabado(Zerar CentroCst)</v>
          </cell>
          <cell r="K72">
            <v>2401.6000000000004</v>
          </cell>
          <cell r="L72">
            <v>1530.8000000000002</v>
          </cell>
        </row>
        <row r="73">
          <cell r="I73" t="str">
            <v>5120101030 Cst P.Fab Próp Transf p/P.Acabado(Aj Cons Real)</v>
          </cell>
          <cell r="K73">
            <v>-1056.5</v>
          </cell>
          <cell r="L73">
            <v>242.00000000000006</v>
          </cell>
        </row>
        <row r="74">
          <cell r="H74" t="str">
            <v>Energia Elétrica</v>
          </cell>
          <cell r="K74">
            <v>-30643.5</v>
          </cell>
          <cell r="L74">
            <v>-32087.799999999996</v>
          </cell>
        </row>
        <row r="75">
          <cell r="I75" t="str">
            <v>5110105010 Cons Insumo E Eletrica Cons Energia Eletrica (R)</v>
          </cell>
          <cell r="K75">
            <v>-30643.5</v>
          </cell>
          <cell r="L75">
            <v>-28341.1</v>
          </cell>
        </row>
        <row r="76">
          <cell r="I76" t="str">
            <v>5110105011 Cons Insumo-E Eletrica-Prov Cons. Energia Eletrica</v>
          </cell>
          <cell r="K76">
            <v>0</v>
          </cell>
          <cell r="L76">
            <v>-3746.7</v>
          </cell>
        </row>
        <row r="77">
          <cell r="H77" t="str">
            <v>Despesas com salários e benefícios a empregad</v>
          </cell>
          <cell r="K77">
            <v>-17820.5</v>
          </cell>
          <cell r="L77">
            <v>-15756.5</v>
          </cell>
        </row>
        <row r="78">
          <cell r="I78" t="str">
            <v>5111001030 FLPG-Ordena.Sal.Outras Remune Empreg(R)</v>
          </cell>
          <cell r="K78">
            <v>-8350.6</v>
          </cell>
          <cell r="L78">
            <v>-7941.2999999999993</v>
          </cell>
        </row>
        <row r="79">
          <cell r="I79" t="str">
            <v>5111001040 FLPG-13º Salario (Realizado)</v>
          </cell>
          <cell r="K79">
            <v>-44.699999999999996</v>
          </cell>
          <cell r="L79">
            <v>-72.5</v>
          </cell>
        </row>
        <row r="80">
          <cell r="I80" t="str">
            <v>5111001041 FLPG-Provisao de 13º Salario</v>
          </cell>
          <cell r="K80">
            <v>-631.9</v>
          </cell>
          <cell r="L80">
            <v>-710.6</v>
          </cell>
        </row>
        <row r="81">
          <cell r="I81" t="str">
            <v>5111001042 FLPG-Reversao da Provisao de 13º Salario</v>
          </cell>
          <cell r="K81">
            <v>19.5</v>
          </cell>
          <cell r="L81">
            <v>45.3</v>
          </cell>
        </row>
        <row r="82">
          <cell r="I82" t="str">
            <v>5111001050 FLPG-Ferias (Realizado)</v>
          </cell>
          <cell r="K82">
            <v>-1639.3</v>
          </cell>
          <cell r="L82">
            <v>-1855.4</v>
          </cell>
        </row>
        <row r="83">
          <cell r="I83" t="str">
            <v>5111001051 FLPG-Provisao de Ferias</v>
          </cell>
          <cell r="K83">
            <v>-784.5</v>
          </cell>
          <cell r="L83">
            <v>-861.4</v>
          </cell>
        </row>
        <row r="84">
          <cell r="I84" t="str">
            <v>5111001052 FLPG-Reversao da Provisao de Ferias</v>
          </cell>
          <cell r="K84">
            <v>1005.1999999999999</v>
          </cell>
          <cell r="L84">
            <v>660</v>
          </cell>
        </row>
        <row r="85">
          <cell r="I85" t="str">
            <v>5111001080 FLPG-Gratificaçoes de Ferias(Realizado)</v>
          </cell>
          <cell r="K85">
            <v>-647.9</v>
          </cell>
          <cell r="L85">
            <v>-435.09999999999997</v>
          </cell>
        </row>
        <row r="86">
          <cell r="I86" t="str">
            <v>5111001081 FLPG-Provisao de Gratificaçoes de Ferias</v>
          </cell>
          <cell r="K86">
            <v>-500.79999999999995</v>
          </cell>
          <cell r="L86">
            <v>-569.20000000000005</v>
          </cell>
        </row>
        <row r="87">
          <cell r="I87" t="str">
            <v>5111001082 FLPG-Rever Provi Gratificaçoes de Ferias</v>
          </cell>
          <cell r="K87">
            <v>647.9</v>
          </cell>
          <cell r="L87">
            <v>435.09999999999997</v>
          </cell>
        </row>
        <row r="88">
          <cell r="I88" t="str">
            <v>5111001090 FLPG-Gratificaçoes (Realizado)</v>
          </cell>
          <cell r="K88">
            <v>-177.3</v>
          </cell>
          <cell r="L88">
            <v>-185.9</v>
          </cell>
        </row>
        <row r="89">
          <cell r="I89" t="str">
            <v>5111001091 FLPG-Provisao de Gratificaçoes</v>
          </cell>
          <cell r="K89">
            <v>-1290.5999999999999</v>
          </cell>
          <cell r="L89">
            <v>-886.3</v>
          </cell>
        </row>
        <row r="90">
          <cell r="I90" t="str">
            <v>5111001092 FLPG-Rever da Provisao de Gratificaçoes</v>
          </cell>
          <cell r="K90">
            <v>0</v>
          </cell>
          <cell r="L90">
            <v>185.9</v>
          </cell>
        </row>
        <row r="91">
          <cell r="I91" t="str">
            <v>5111001100 FLPG-Gratificaçoes Quinquenios (Realizado)</v>
          </cell>
          <cell r="K91">
            <v>-1302.2</v>
          </cell>
          <cell r="L91">
            <v>631.80000000000007</v>
          </cell>
        </row>
        <row r="92">
          <cell r="I92" t="str">
            <v>5111001101 FLPG-Prov Gratificaçoes Quinquenios</v>
          </cell>
          <cell r="K92">
            <v>-537</v>
          </cell>
          <cell r="L92">
            <v>689.6</v>
          </cell>
        </row>
        <row r="93">
          <cell r="I93" t="str">
            <v>5111001102 FLPG-Rever Prov Gratificaçoes Quinquenios</v>
          </cell>
          <cell r="K93">
            <v>1302.2</v>
          </cell>
          <cell r="L93">
            <v>-631.80000000000007</v>
          </cell>
        </row>
        <row r="94">
          <cell r="I94" t="str">
            <v>5111001120 FLPG-Aviso Previo (Realizado)</v>
          </cell>
          <cell r="K94">
            <v>-408.5</v>
          </cell>
          <cell r="L94">
            <v>-347</v>
          </cell>
        </row>
        <row r="95">
          <cell r="I95" t="str">
            <v>5111001122 FLPG-Reversao da Provisao de Aviso Previo</v>
          </cell>
          <cell r="K95">
            <v>408.5</v>
          </cell>
          <cell r="L95">
            <v>347</v>
          </cell>
        </row>
        <row r="96">
          <cell r="I96" t="str">
            <v>5111001130 FLPG-Indenizaçoes (Realizado)</v>
          </cell>
          <cell r="K96">
            <v>0</v>
          </cell>
          <cell r="L96">
            <v>0</v>
          </cell>
        </row>
        <row r="97">
          <cell r="I97" t="str">
            <v>5111001210 FLPG-Auxilio Paternidade (Realizado)</v>
          </cell>
          <cell r="K97">
            <v>0</v>
          </cell>
          <cell r="L97">
            <v>0</v>
          </cell>
        </row>
        <row r="98">
          <cell r="I98" t="str">
            <v>5111001230 FLPG-Auxilio Enfermidade (Realizado)</v>
          </cell>
          <cell r="K98">
            <v>0</v>
          </cell>
          <cell r="L98">
            <v>0</v>
          </cell>
        </row>
        <row r="99">
          <cell r="I99" t="str">
            <v>5111001240 FLPG-Auxilio Doença (Realizado)</v>
          </cell>
          <cell r="K99">
            <v>-33.4</v>
          </cell>
          <cell r="L99">
            <v>-29.299999999999997</v>
          </cell>
        </row>
        <row r="100">
          <cell r="I100" t="str">
            <v>5111001250 FLPG-Auxilio Ensino (Realizado)</v>
          </cell>
          <cell r="K100">
            <v>-121.8</v>
          </cell>
          <cell r="L100">
            <v>-90.7</v>
          </cell>
        </row>
        <row r="101">
          <cell r="I101" t="str">
            <v>5111001300 FLPG-Bolsa Estudos de Estagiarios (Realizado)</v>
          </cell>
          <cell r="K101">
            <v>-64.3</v>
          </cell>
          <cell r="L101">
            <v>-69.599999999999994</v>
          </cell>
        </row>
        <row r="102">
          <cell r="I102" t="str">
            <v>5111001990 Rateio da Mão de Obra da Manutenção</v>
          </cell>
          <cell r="K102">
            <v>4.5</v>
          </cell>
          <cell r="L102">
            <v>2.2000000000000002</v>
          </cell>
        </row>
        <row r="103">
          <cell r="I103" t="str">
            <v>5111002010 FGTS-Folha de Pagamento (Realizado)</v>
          </cell>
          <cell r="K103">
            <v>-704.8</v>
          </cell>
          <cell r="L103">
            <v>-648.9</v>
          </cell>
        </row>
        <row r="104">
          <cell r="I104" t="str">
            <v>5111002020 FGTS-Ferias (Realizado)</v>
          </cell>
          <cell r="K104">
            <v>-59.300000000000004</v>
          </cell>
          <cell r="L104">
            <v>-37.9</v>
          </cell>
        </row>
        <row r="105">
          <cell r="I105" t="str">
            <v>5111002021 FGTS-Provisao de FGTS s/Ferias</v>
          </cell>
          <cell r="K105">
            <v>-56.500000000000007</v>
          </cell>
          <cell r="L105">
            <v>-68.3</v>
          </cell>
        </row>
        <row r="106">
          <cell r="I106" t="str">
            <v>5111002022 FGTS-Reversao da Provisao de FGTS s/Ferias</v>
          </cell>
          <cell r="K106">
            <v>73.599999999999994</v>
          </cell>
          <cell r="L106">
            <v>52.5</v>
          </cell>
        </row>
        <row r="107">
          <cell r="I107" t="str">
            <v>5111002030 FGTS-13º Salario (Realizado)</v>
          </cell>
          <cell r="K107">
            <v>-17.600000000000001</v>
          </cell>
          <cell r="L107">
            <v>-18.600000000000001</v>
          </cell>
        </row>
        <row r="108">
          <cell r="I108" t="str">
            <v>5111002031 FGTS-Provisao de FGTS S/13º Salario</v>
          </cell>
          <cell r="K108">
            <v>-67.900000000000006</v>
          </cell>
          <cell r="L108">
            <v>-74.900000000000006</v>
          </cell>
        </row>
        <row r="109">
          <cell r="I109" t="str">
            <v>5111002032 FGTS-Reversao da Provisao FGTS S/13º Salario</v>
          </cell>
          <cell r="K109">
            <v>19.100000000000001</v>
          </cell>
          <cell r="L109">
            <v>22</v>
          </cell>
        </row>
        <row r="110">
          <cell r="I110" t="str">
            <v>5111002040 FGTS-Desligamento de Funcionarios (Realizado)</v>
          </cell>
          <cell r="K110">
            <v>-1344.3</v>
          </cell>
          <cell r="L110">
            <v>-1021.8999999999999</v>
          </cell>
        </row>
        <row r="111">
          <cell r="I111" t="str">
            <v>5111002041 FGTS-Provisao FGTS s/Desligamento Funcionario</v>
          </cell>
          <cell r="K111">
            <v>-504</v>
          </cell>
          <cell r="L111">
            <v>-504</v>
          </cell>
        </row>
        <row r="112">
          <cell r="I112" t="str">
            <v>5111002042 FGTS-Rever Prov FGTS s/Desligamento Funcionario</v>
          </cell>
          <cell r="K112">
            <v>1344.3</v>
          </cell>
          <cell r="L112">
            <v>1021.8999999999999</v>
          </cell>
        </row>
        <row r="113">
          <cell r="I113" t="str">
            <v>5111002051 FGTS-Provisao FGTS s/Gratificações</v>
          </cell>
          <cell r="K113">
            <v>0</v>
          </cell>
          <cell r="L113">
            <v>0</v>
          </cell>
        </row>
        <row r="114">
          <cell r="I114" t="str">
            <v>5111003010 INSS-Folha de Pagamento (Realizado)</v>
          </cell>
          <cell r="K114">
            <v>-2924.6000000000004</v>
          </cell>
          <cell r="L114">
            <v>-2388.6</v>
          </cell>
        </row>
        <row r="115">
          <cell r="I115" t="str">
            <v>5111003021 INSS-Provisao de INSS s/Ferias</v>
          </cell>
          <cell r="K115">
            <v>-48.800000000000004</v>
          </cell>
          <cell r="L115">
            <v>-56.8</v>
          </cell>
        </row>
        <row r="116">
          <cell r="I116" t="str">
            <v>5111003022 INSS-Reversao da Provisao de INSS s/Ferias</v>
          </cell>
          <cell r="K116">
            <v>110.8</v>
          </cell>
          <cell r="L116">
            <v>132.89999999999998</v>
          </cell>
        </row>
        <row r="117">
          <cell r="I117" t="str">
            <v>5111003031 INSS-Provisao de INSS s/13º Salario</v>
          </cell>
          <cell r="K117">
            <v>-177.2</v>
          </cell>
          <cell r="L117">
            <v>-151.19999999999999</v>
          </cell>
        </row>
        <row r="118">
          <cell r="I118" t="str">
            <v>5111003032 INSS-Reversao Provisao de INSS s/13º Salario</v>
          </cell>
          <cell r="K118">
            <v>5.3000000000000007</v>
          </cell>
          <cell r="L118">
            <v>11.1</v>
          </cell>
        </row>
        <row r="119">
          <cell r="I119" t="str">
            <v>5111003051 Provisao de INSS s/Gratificações</v>
          </cell>
          <cell r="K119">
            <v>0</v>
          </cell>
          <cell r="L119">
            <v>0</v>
          </cell>
        </row>
        <row r="120">
          <cell r="I120" t="str">
            <v>5111503040 Desp Medicas Hospitalares (Realizado)</v>
          </cell>
          <cell r="K120">
            <v>-68.5</v>
          </cell>
          <cell r="L120">
            <v>-98.3</v>
          </cell>
        </row>
        <row r="121">
          <cell r="I121" t="str">
            <v>5111504010 Desenv Prof-Cursos (Realizado)</v>
          </cell>
          <cell r="K121">
            <v>0</v>
          </cell>
          <cell r="L121">
            <v>0</v>
          </cell>
        </row>
        <row r="122">
          <cell r="I122" t="str">
            <v>5111504020 Desenv Prof-Material de Consumo em Cursos (Realiz)</v>
          </cell>
          <cell r="K122">
            <v>0</v>
          </cell>
          <cell r="L122">
            <v>0</v>
          </cell>
        </row>
        <row r="123">
          <cell r="I123" t="str">
            <v>5111504050 Desenv Prof-Transportes em Cursos (Realizado)</v>
          </cell>
          <cell r="K123">
            <v>0</v>
          </cell>
          <cell r="L123">
            <v>-0.2</v>
          </cell>
        </row>
        <row r="124">
          <cell r="I124" t="str">
            <v>5111504060 Desenv Prof-Refeiçoes em Cursos (Realizado)</v>
          </cell>
          <cell r="K124">
            <v>0</v>
          </cell>
          <cell r="L124">
            <v>0</v>
          </cell>
        </row>
        <row r="125">
          <cell r="I125" t="str">
            <v>5111504070 Desenv Prof-Aprendiz de Menores em Cursos (Realiz)</v>
          </cell>
          <cell r="K125">
            <v>-37</v>
          </cell>
          <cell r="L125">
            <v>-37.9</v>
          </cell>
        </row>
        <row r="126">
          <cell r="I126" t="str">
            <v>5111505010 Desp Soc-Contrib Associaçao Desportiva (Realizado)</v>
          </cell>
          <cell r="K126">
            <v>-105.30000000000001</v>
          </cell>
          <cell r="L126">
            <v>-105.30000000000001</v>
          </cell>
        </row>
        <row r="127">
          <cell r="I127" t="str">
            <v>5111505020 Desp Soc-Comemoraçoes e Eventos (Realizado)</v>
          </cell>
          <cell r="K127">
            <v>-9.6</v>
          </cell>
          <cell r="L127">
            <v>-0.3</v>
          </cell>
        </row>
        <row r="128">
          <cell r="I128" t="str">
            <v>5111505030 Desp Soc-Assistencia Social Funcionarios (Realiz)</v>
          </cell>
          <cell r="K128">
            <v>0</v>
          </cell>
          <cell r="L128">
            <v>0</v>
          </cell>
        </row>
        <row r="129">
          <cell r="I129" t="str">
            <v>5111505040 Desp Soc-Vestuario (Realizado)</v>
          </cell>
          <cell r="K129">
            <v>0</v>
          </cell>
          <cell r="L129">
            <v>-1</v>
          </cell>
        </row>
        <row r="130">
          <cell r="I130" t="str">
            <v>5111505050 Desp Soc-Comunicaçao Interna (Realizado)</v>
          </cell>
          <cell r="K130">
            <v>0</v>
          </cell>
          <cell r="L130">
            <v>0</v>
          </cell>
        </row>
        <row r="131">
          <cell r="I131" t="str">
            <v>5111506020 Despesa Vale Transporte (Realizado)</v>
          </cell>
          <cell r="K131">
            <v>0</v>
          </cell>
          <cell r="L131">
            <v>0</v>
          </cell>
        </row>
        <row r="132">
          <cell r="I132" t="str">
            <v>5111506030 Despesa Taxi e Conduçoes (Realizado)</v>
          </cell>
          <cell r="K132">
            <v>-79.099999999999994</v>
          </cell>
          <cell r="L132">
            <v>-76.099999999999994</v>
          </cell>
        </row>
        <row r="133">
          <cell r="I133" t="str">
            <v>5111506040 Despesa Aluguel de Veiculos (Realizado)</v>
          </cell>
          <cell r="K133">
            <v>-0.3</v>
          </cell>
          <cell r="L133">
            <v>0</v>
          </cell>
        </row>
        <row r="134">
          <cell r="I134" t="str">
            <v>5111507010 Despesa Refeiçoes Prontas (Realizado)</v>
          </cell>
          <cell r="K134">
            <v>-0.7</v>
          </cell>
          <cell r="L134">
            <v>-1</v>
          </cell>
        </row>
        <row r="135">
          <cell r="I135" t="str">
            <v>5111507030 Despesa Refeiçoes-Visita e Outras (Realizado)</v>
          </cell>
          <cell r="K135">
            <v>-14.5</v>
          </cell>
          <cell r="L135">
            <v>-14.100000000000001</v>
          </cell>
        </row>
        <row r="136">
          <cell r="I136" t="str">
            <v>5111507040 Despesa Refeiçoes-Lanches Externos (Realizado)</v>
          </cell>
          <cell r="K136">
            <v>-6</v>
          </cell>
          <cell r="L136">
            <v>-2.7</v>
          </cell>
        </row>
        <row r="137">
          <cell r="H137" t="str">
            <v>Encargos de depreciação e amortização</v>
          </cell>
          <cell r="K137">
            <v>-9835.7000000000007</v>
          </cell>
          <cell r="L137">
            <v>-9918.7000000000007</v>
          </cell>
        </row>
        <row r="138">
          <cell r="I138" t="str">
            <v>5119001010 Encarg de Deprec e Amort-Depreciaçao (Realizado)</v>
          </cell>
          <cell r="K138">
            <v>-6488.8</v>
          </cell>
          <cell r="L138">
            <v>-6571.8</v>
          </cell>
        </row>
        <row r="139">
          <cell r="I139" t="str">
            <v>5119001011 Encarg de Depreciaçao Mais Valia (Realizado)</v>
          </cell>
          <cell r="K139">
            <v>-1610.2</v>
          </cell>
          <cell r="L139">
            <v>-1610.1000000000001</v>
          </cell>
        </row>
        <row r="140">
          <cell r="I140" t="str">
            <v>5119001012 Encarg de Depreciaçao Mais Valia CN (Realizado)</v>
          </cell>
          <cell r="K140">
            <v>-1610.2</v>
          </cell>
          <cell r="L140">
            <v>-1610.1000000000001</v>
          </cell>
        </row>
        <row r="141">
          <cell r="I141" t="str">
            <v>5119001014 Encarg de Depreciaçao AVP (Realizado)</v>
          </cell>
          <cell r="K141">
            <v>-116.5</v>
          </cell>
          <cell r="L141">
            <v>-116.8</v>
          </cell>
        </row>
        <row r="142">
          <cell r="I142" t="str">
            <v>5119001050 Encarg de Deprec e Amort-Amortizaçao (Realizado)</v>
          </cell>
          <cell r="K142">
            <v>-9.6000000000000014</v>
          </cell>
          <cell r="L142">
            <v>-9.6000000000000014</v>
          </cell>
        </row>
        <row r="143">
          <cell r="I143" t="str">
            <v>5119001054 Amortizaçao AVP (Realizado)</v>
          </cell>
          <cell r="K143">
            <v>0</v>
          </cell>
          <cell r="L143">
            <v>0</v>
          </cell>
        </row>
        <row r="144">
          <cell r="H144" t="str">
            <v>Serviços de terceiros</v>
          </cell>
          <cell r="K144">
            <v>-6410.1</v>
          </cell>
          <cell r="L144">
            <v>-5725</v>
          </cell>
        </row>
        <row r="145">
          <cell r="I145" t="str">
            <v>5112002010 Serviços Prestados Auditoria  p/PJ (Realizado)</v>
          </cell>
          <cell r="K145">
            <v>-40.200000000000003</v>
          </cell>
          <cell r="L145">
            <v>0</v>
          </cell>
        </row>
        <row r="146">
          <cell r="I146" t="str">
            <v>5112003010 Serviços Prestados Consultoria p/PJ (Realizado)</v>
          </cell>
          <cell r="K146">
            <v>-359.4</v>
          </cell>
          <cell r="L146">
            <v>23.600000000000009</v>
          </cell>
        </row>
        <row r="147">
          <cell r="I147" t="str">
            <v>5112003040 Serv Prest Consultoria p/PF s/Vinc Empr (Realiz)</v>
          </cell>
          <cell r="K147">
            <v>-15.799999999999999</v>
          </cell>
          <cell r="L147">
            <v>-10.199999999999999</v>
          </cell>
        </row>
        <row r="148">
          <cell r="I148" t="str">
            <v>5112007010 Serv Prest Informaçoes Cadastrais p/PJ (Realiz)</v>
          </cell>
          <cell r="K148">
            <v>0</v>
          </cell>
          <cell r="L148">
            <v>0</v>
          </cell>
        </row>
        <row r="149">
          <cell r="I149" t="str">
            <v>5112008010 Serv Prest Propaganda e Publicidade p/PJ (Realiz)</v>
          </cell>
          <cell r="K149">
            <v>0</v>
          </cell>
          <cell r="L149">
            <v>-2.5</v>
          </cell>
        </row>
        <row r="150">
          <cell r="I150" t="str">
            <v>5112009010 Serv Prest Atualiz/Suporte Tecnico p/PJ (Realiz)</v>
          </cell>
          <cell r="K150">
            <v>0</v>
          </cell>
          <cell r="L150">
            <v>-13.8</v>
          </cell>
        </row>
        <row r="151">
          <cell r="I151" t="str">
            <v>5112009020 Serv Prest Atual/Suporte Tec p/Coop Trab (Realiz)</v>
          </cell>
          <cell r="K151">
            <v>0</v>
          </cell>
          <cell r="L151">
            <v>0</v>
          </cell>
        </row>
        <row r="152">
          <cell r="I152" t="str">
            <v>5112010010 Serviços Prestados Temporario p/PJ (Realizado)</v>
          </cell>
          <cell r="K152">
            <v>-7.5</v>
          </cell>
          <cell r="L152">
            <v>-8.6999999999999993</v>
          </cell>
        </row>
        <row r="153">
          <cell r="I153" t="str">
            <v>5112011010 Serviços Prestados Limpeza p/ PJ (Realizado)</v>
          </cell>
          <cell r="K153">
            <v>-246</v>
          </cell>
          <cell r="L153">
            <v>-255.10000000000002</v>
          </cell>
        </row>
        <row r="154">
          <cell r="I154" t="str">
            <v>5112012010 Serviços Prestados Vigilancia PJ (Realiz)</v>
          </cell>
          <cell r="K154">
            <v>-412.6</v>
          </cell>
          <cell r="L154">
            <v>-429.7</v>
          </cell>
        </row>
        <row r="155">
          <cell r="I155" t="str">
            <v>5112013010 Serviços Prestados Jardinagem p/PJ (Realizado)</v>
          </cell>
          <cell r="K155">
            <v>-112</v>
          </cell>
          <cell r="L155">
            <v>-83.8</v>
          </cell>
        </row>
        <row r="156">
          <cell r="I156" t="str">
            <v>5112014010 Serv Prest Estacionamento de Caminhoes PJ (Realiz)</v>
          </cell>
          <cell r="K156">
            <v>-245.10000000000002</v>
          </cell>
          <cell r="L156">
            <v>-245.10000000000002</v>
          </cell>
        </row>
        <row r="157">
          <cell r="I157" t="str">
            <v>5112015010 Serv Prest Fretes Carretos s/Compras p/PJ (Realiz)</v>
          </cell>
          <cell r="K157">
            <v>-2019.3000000000002</v>
          </cell>
          <cell r="L157">
            <v>-2893.9</v>
          </cell>
        </row>
        <row r="158">
          <cell r="I158" t="str">
            <v>5112016010 Serviços Prestados Construçao Civil p/PJ (Realiz)</v>
          </cell>
          <cell r="K158">
            <v>0</v>
          </cell>
          <cell r="L158">
            <v>0</v>
          </cell>
        </row>
        <row r="159">
          <cell r="I159" t="str">
            <v>5112017010 Serviços Prestados Engenharia p/PJ (Realiz)</v>
          </cell>
          <cell r="K159">
            <v>0</v>
          </cell>
          <cell r="L159">
            <v>-5.8</v>
          </cell>
        </row>
        <row r="160">
          <cell r="I160" t="str">
            <v>5112018010 Serv Prest Reparos Assist Tecnica p/PJ (Realiz)</v>
          </cell>
          <cell r="K160">
            <v>-379.4</v>
          </cell>
          <cell r="L160">
            <v>-362</v>
          </cell>
        </row>
        <row r="161">
          <cell r="I161" t="str">
            <v>5112019010 Serv Prest Tratamento de Residuos p/PJ (Realiz)</v>
          </cell>
          <cell r="K161">
            <v>-37</v>
          </cell>
          <cell r="L161">
            <v>-78.300000000000011</v>
          </cell>
        </row>
        <row r="162">
          <cell r="I162" t="str">
            <v>5112099010 Prest Serv Tecnicos Profissionais p/PJ (Realiz)</v>
          </cell>
          <cell r="K162">
            <v>-219.39999999999998</v>
          </cell>
          <cell r="L162">
            <v>-172.2</v>
          </cell>
        </row>
        <row r="163">
          <cell r="I163" t="str">
            <v>5112099040 Serv Prest Tec Profissionais p/PF s/Vin Empr (R)</v>
          </cell>
          <cell r="K163">
            <v>-4.5999999999999996</v>
          </cell>
          <cell r="L163">
            <v>-5.9</v>
          </cell>
        </row>
        <row r="164">
          <cell r="I164" t="str">
            <v>5112150010 Serv Prest Manutençao Civil p/PJ (Realizado)</v>
          </cell>
          <cell r="K164">
            <v>-605</v>
          </cell>
          <cell r="L164">
            <v>-894.5</v>
          </cell>
        </row>
        <row r="165">
          <cell r="I165" t="str">
            <v>5112150015 Serv Prest Manutençao Civil p/PJ (Recuperado)</v>
          </cell>
        </row>
        <row r="166">
          <cell r="I166" t="str">
            <v>5112151010 Serv Prest Manutençao Eletricos p/PJ (Realiz)</v>
          </cell>
          <cell r="K166">
            <v>-219.7</v>
          </cell>
          <cell r="L166">
            <v>-162.9</v>
          </cell>
        </row>
        <row r="167">
          <cell r="I167" t="str">
            <v>5112151015 Serv Prest Manutençao Eletricos p/PJ (Recuperado)</v>
          </cell>
        </row>
        <row r="168">
          <cell r="I168" t="str">
            <v>5112152010 Serv Prest Manutençao Mecânicos p/PJ (Realizado)</v>
          </cell>
          <cell r="K168">
            <v>-146.6</v>
          </cell>
          <cell r="L168">
            <v>-228.50000000000003</v>
          </cell>
        </row>
        <row r="169">
          <cell r="I169" t="str">
            <v>5112153010 Serv Prest Manutençao Inspeçao PJ (Realizado)</v>
          </cell>
          <cell r="K169">
            <v>-202.89999999999998</v>
          </cell>
          <cell r="L169">
            <v>-218.5</v>
          </cell>
        </row>
        <row r="170">
          <cell r="I170" t="str">
            <v>5112154010 Serv Prest Manutençao Cald/Tubul PJ (Realzado)</v>
          </cell>
          <cell r="K170">
            <v>-361.20000000000005</v>
          </cell>
          <cell r="L170">
            <v>-385.4</v>
          </cell>
        </row>
        <row r="171">
          <cell r="I171" t="str">
            <v>5112155010 Serv Prest Manut Instrumentaçao PJ (Realizado)</v>
          </cell>
          <cell r="K171">
            <v>-209.1</v>
          </cell>
          <cell r="L171">
            <v>-145.30000000000001</v>
          </cell>
        </row>
        <row r="172">
          <cell r="I172" t="str">
            <v>5112170010 Serv Prest Manutenaçao Cel HG-PJ (Realizado)</v>
          </cell>
          <cell r="K172">
            <v>-156.39999999999998</v>
          </cell>
          <cell r="L172">
            <v>-238.3</v>
          </cell>
        </row>
        <row r="173">
          <cell r="I173" t="str">
            <v>5112175010 Serv Prest Manutençao Cel Diafrag p/PJ (Realiz)</v>
          </cell>
          <cell r="K173">
            <v>-68.099999999999994</v>
          </cell>
          <cell r="L173">
            <v>-32.799999999999997</v>
          </cell>
        </row>
        <row r="174">
          <cell r="I174" t="str">
            <v>5112180010 Serv Prest Manutençao Cel Memb PJ (Realizado)</v>
          </cell>
          <cell r="K174">
            <v>0</v>
          </cell>
          <cell r="L174">
            <v>-0.4</v>
          </cell>
        </row>
        <row r="175">
          <cell r="I175" t="str">
            <v>5112199010 Serv Prest Manutençao Apoio-PJ (Realizado)</v>
          </cell>
          <cell r="K175">
            <v>-106.8</v>
          </cell>
          <cell r="L175">
            <v>-63.3</v>
          </cell>
        </row>
        <row r="176">
          <cell r="I176" t="str">
            <v>5112199015 Serv Prest Manutençao Apoio-PJ (Recuperado)</v>
          </cell>
        </row>
        <row r="177">
          <cell r="I177" t="str">
            <v>5112199020 Serv Prest Manutencão Apoio p/Coop Trab (Realiz)</v>
          </cell>
          <cell r="K177">
            <v>0</v>
          </cell>
          <cell r="L177">
            <v>0</v>
          </cell>
        </row>
        <row r="178">
          <cell r="I178" t="str">
            <v>5112199310 Serv Prest Manutençao Fretes Carret-PJ (Realizado)</v>
          </cell>
          <cell r="K178">
            <v>0</v>
          </cell>
          <cell r="L178">
            <v>0</v>
          </cell>
        </row>
        <row r="179">
          <cell r="I179" t="str">
            <v>5112199410 Serv Prest Manutençao Pintura-PJ (Realizado)</v>
          </cell>
          <cell r="K179">
            <v>-93.5</v>
          </cell>
          <cell r="L179">
            <v>-441.90000000000003</v>
          </cell>
        </row>
        <row r="180">
          <cell r="I180" t="str">
            <v>5112199510 Serv Prest Manutençao Revestimentos-PJ (Realizado)</v>
          </cell>
          <cell r="K180">
            <v>-81.8</v>
          </cell>
          <cell r="L180">
            <v>-53.4</v>
          </cell>
        </row>
        <row r="181">
          <cell r="I181" t="str">
            <v>5112199610 Serv Prest Manutençao Isolamentos-PJ (Realizado)</v>
          </cell>
          <cell r="K181">
            <v>-60.9</v>
          </cell>
          <cell r="L181">
            <v>-139.1</v>
          </cell>
        </row>
        <row r="182">
          <cell r="H182" t="str">
            <v>Outras</v>
          </cell>
          <cell r="K182">
            <v>-4477.7000000000007</v>
          </cell>
          <cell r="L182">
            <v>-4297.3999999999996</v>
          </cell>
        </row>
        <row r="183">
          <cell r="I183" t="str">
            <v>5110801010 Mat Cons Oper-Combustiveis e Lubrificantes(Realiz)</v>
          </cell>
          <cell r="K183">
            <v>0</v>
          </cell>
          <cell r="L183">
            <v>0</v>
          </cell>
        </row>
        <row r="184">
          <cell r="I184" t="str">
            <v>5110801020 Mat Cons-Oper-Mat Processo Produtivo (Realiz)</v>
          </cell>
          <cell r="K184">
            <v>-30.299999999999997</v>
          </cell>
          <cell r="L184">
            <v>-24.4</v>
          </cell>
        </row>
        <row r="185">
          <cell r="I185" t="str">
            <v>5110801030 Mat Cons-Oper-Mat Tratamento Residuos (Realiz)</v>
          </cell>
          <cell r="K185">
            <v>-14.1</v>
          </cell>
          <cell r="L185">
            <v>-14.1</v>
          </cell>
        </row>
        <row r="186">
          <cell r="I186" t="str">
            <v>5110801040 Mat Cons-Oper-Mat Análises Quimicas (Realizado)</v>
          </cell>
          <cell r="K186">
            <v>-82.1</v>
          </cell>
          <cell r="L186">
            <v>-60.6</v>
          </cell>
        </row>
        <row r="187">
          <cell r="I187" t="str">
            <v>5110801060 Mat Cons-Oper-Ferramentas (Realizado)</v>
          </cell>
          <cell r="K187">
            <v>-101</v>
          </cell>
          <cell r="L187">
            <v>-41.5</v>
          </cell>
        </row>
        <row r="188">
          <cell r="I188" t="str">
            <v>5110801070 Mat Cons-Oper-Mat Reparo e Manutençao (Realizado)</v>
          </cell>
          <cell r="K188">
            <v>-2.2999999999999998</v>
          </cell>
          <cell r="L188">
            <v>-0.1</v>
          </cell>
        </row>
        <row r="189">
          <cell r="I189" t="str">
            <v>5110801080 Mat Cons-Oper-Mat Conserv Ecológica (Realizado)</v>
          </cell>
          <cell r="K189">
            <v>-3.4</v>
          </cell>
          <cell r="L189">
            <v>-0.3</v>
          </cell>
        </row>
        <row r="190">
          <cell r="I190" t="str">
            <v>5110801090 Mat Cons-Oper-Mat Limpeza (Realizado)</v>
          </cell>
          <cell r="K190">
            <v>-4.5999999999999996</v>
          </cell>
          <cell r="L190">
            <v>-4.5999999999999996</v>
          </cell>
        </row>
        <row r="191">
          <cell r="I191" t="str">
            <v>5110801100 Mat Cons-Oper-Mat Segurança (Realizado)</v>
          </cell>
          <cell r="K191">
            <v>-240.3</v>
          </cell>
          <cell r="L191">
            <v>-275.7</v>
          </cell>
        </row>
        <row r="192">
          <cell r="I192" t="str">
            <v>5110801110 Mat Cons-Oper-Consumo de Água (Realizado)</v>
          </cell>
          <cell r="K192">
            <v>-184.9</v>
          </cell>
          <cell r="L192">
            <v>-161.19999999999999</v>
          </cell>
        </row>
        <row r="193">
          <cell r="I193" t="str">
            <v>5110801130 Mat Cons-Oper-Mat Escritório (Realizado)</v>
          </cell>
          <cell r="K193">
            <v>-10.3</v>
          </cell>
          <cell r="L193">
            <v>-11.5</v>
          </cell>
        </row>
        <row r="194">
          <cell r="I194" t="str">
            <v>5110801140 Mat Cons-Oper-Mat Imobilizado (Realizado)</v>
          </cell>
          <cell r="K194">
            <v>-2.2999999999999998</v>
          </cell>
          <cell r="L194">
            <v>0</v>
          </cell>
        </row>
        <row r="195">
          <cell r="I195" t="str">
            <v>5110802010 Mat Cons-Manutençao-Manut Civil (Realizado)</v>
          </cell>
          <cell r="K195">
            <v>0</v>
          </cell>
          <cell r="L195">
            <v>0</v>
          </cell>
        </row>
        <row r="196">
          <cell r="I196" t="str">
            <v>5110802020 Mat Cons-Manutençao-Eletrica (Realizado)</v>
          </cell>
          <cell r="K196">
            <v>-164</v>
          </cell>
          <cell r="L196">
            <v>-125.1</v>
          </cell>
        </row>
        <row r="197">
          <cell r="I197" t="str">
            <v>5110802025 Consumo de Materiais de Manutenção Eletrica (Recup</v>
          </cell>
        </row>
        <row r="198">
          <cell r="I198" t="str">
            <v>5110802030 Mat Cons-Manutençao-Mecânica (Realizado)</v>
          </cell>
          <cell r="K198">
            <v>-852.40000000000009</v>
          </cell>
          <cell r="L198">
            <v>-841.2</v>
          </cell>
        </row>
        <row r="199">
          <cell r="I199" t="str">
            <v>5110802040 Mat Cons-Manutençao-Manut Inspeçao (Realizado)</v>
          </cell>
          <cell r="K199">
            <v>0</v>
          </cell>
          <cell r="L199">
            <v>-12.3</v>
          </cell>
        </row>
        <row r="200">
          <cell r="I200" t="str">
            <v>5110802050 Mat Cons-Manutençao-Calderaria/Tubul (Realizado)</v>
          </cell>
          <cell r="K200">
            <v>-1079.0999999999999</v>
          </cell>
          <cell r="L200">
            <v>-729</v>
          </cell>
        </row>
        <row r="201">
          <cell r="I201" t="str">
            <v>5110802055 Mat Cons-Manutençao-Calderaria/Tubul (Recuperado)</v>
          </cell>
        </row>
        <row r="202">
          <cell r="I202" t="str">
            <v>5110802060 Mat Cons-Manutençao-Instrumentaçao (Realizado)</v>
          </cell>
          <cell r="K202">
            <v>-607.20000000000005</v>
          </cell>
          <cell r="L202">
            <v>-702.19999999999993</v>
          </cell>
        </row>
        <row r="203">
          <cell r="I203" t="str">
            <v>5110802065 Mat Cons-Manutençao-Instrumentaçao (Recuperado)</v>
          </cell>
        </row>
        <row r="204">
          <cell r="I204" t="str">
            <v>5110802070 Mat Cons-Manutençao-Celula HG (Realizado)</v>
          </cell>
          <cell r="K204">
            <v>-233.10000000000002</v>
          </cell>
          <cell r="L204">
            <v>-220.2</v>
          </cell>
        </row>
        <row r="205">
          <cell r="I205" t="str">
            <v>5110802080 Mat Cons-Manutençao-Celula Diafragma (Realizado)</v>
          </cell>
          <cell r="K205">
            <v>-167.6</v>
          </cell>
          <cell r="L205">
            <v>-93.4</v>
          </cell>
        </row>
        <row r="206">
          <cell r="I206" t="str">
            <v>5110802090 Mat Cons-Manutençao-Celula Membrana (Realizado)</v>
          </cell>
          <cell r="K206">
            <v>-0.2</v>
          </cell>
          <cell r="L206">
            <v>-258.89999999999998</v>
          </cell>
        </row>
        <row r="207">
          <cell r="I207" t="str">
            <v>5110802990 Mat Cons-Manutençao-Geral (Realizado)</v>
          </cell>
          <cell r="K207">
            <v>-387.9</v>
          </cell>
          <cell r="L207">
            <v>-76.5</v>
          </cell>
        </row>
        <row r="208">
          <cell r="I208" t="str">
            <v>5110802995 Mat Cons-Manutençao-Geral (Recuperado)</v>
          </cell>
        </row>
        <row r="209">
          <cell r="I209" t="str">
            <v>5110803220 Mat Cons-Proc Produtivo-Perda Estoq Almox (Realiz)</v>
          </cell>
          <cell r="K209">
            <v>0</v>
          </cell>
          <cell r="L209">
            <v>0</v>
          </cell>
        </row>
        <row r="210">
          <cell r="I210" t="str">
            <v>5111902010 Despesa Viagens Nacionais (Realizado)</v>
          </cell>
          <cell r="K210">
            <v>-8.1999999999999993</v>
          </cell>
          <cell r="L210">
            <v>0</v>
          </cell>
        </row>
        <row r="211">
          <cell r="I211" t="str">
            <v>5111902020 Despesas Viagens Internacionais (Realizado)</v>
          </cell>
          <cell r="K211">
            <v>-3.7</v>
          </cell>
          <cell r="L211">
            <v>-3.8000000000000003</v>
          </cell>
        </row>
        <row r="212">
          <cell r="I212" t="str">
            <v>5113501020 Desp Correspondencia-Postais (Realizado)</v>
          </cell>
          <cell r="K212">
            <v>0</v>
          </cell>
          <cell r="L212">
            <v>-0.5</v>
          </cell>
        </row>
        <row r="213">
          <cell r="I213" t="str">
            <v>5114001030 DLF-Desp Autenticidade Reconhecde Firmas (Realiz)</v>
          </cell>
          <cell r="K213">
            <v>0</v>
          </cell>
          <cell r="L213">
            <v>-0.2</v>
          </cell>
        </row>
        <row r="214">
          <cell r="I214" t="str">
            <v>5114002030 DITC-Licença e Funcionamento (Realizado)</v>
          </cell>
          <cell r="K214">
            <v>0</v>
          </cell>
          <cell r="L214">
            <v>-2.2999999999999998</v>
          </cell>
        </row>
        <row r="215">
          <cell r="I215" t="str">
            <v>5114002060 DITC-Txs Municipais,Estaduais,Federais (Realizado)</v>
          </cell>
          <cell r="K215">
            <v>-3.2</v>
          </cell>
          <cell r="L215">
            <v>-6.3000000000000007</v>
          </cell>
        </row>
        <row r="216">
          <cell r="I216" t="str">
            <v>5114002105 Créditos de impostos recuperados - Reintegra</v>
          </cell>
          <cell r="K216">
            <v>403.2</v>
          </cell>
          <cell r="L216">
            <v>-0.1</v>
          </cell>
        </row>
        <row r="217">
          <cell r="I217" t="str">
            <v>5114003030 Multas Contratuais (Realizado)</v>
          </cell>
          <cell r="K217">
            <v>0</v>
          </cell>
          <cell r="L217">
            <v>0</v>
          </cell>
        </row>
        <row r="218">
          <cell r="I218" t="str">
            <v>5116001010 Desp Real Even-Semi Fora da Cia Gestao (Realizado)</v>
          </cell>
          <cell r="K218">
            <v>-3.1</v>
          </cell>
          <cell r="L218">
            <v>-3.1</v>
          </cell>
        </row>
        <row r="219">
          <cell r="I219" t="str">
            <v>5116001020 Desp Reali Eventos-Eventos Gestao (Realizado)</v>
          </cell>
          <cell r="K219">
            <v>0</v>
          </cell>
          <cell r="L219">
            <v>-0.5</v>
          </cell>
        </row>
        <row r="220">
          <cell r="I220" t="str">
            <v>5116002020 Desp c/Marketing-Relaçoes Publicas (Realizado)</v>
          </cell>
          <cell r="K220">
            <v>-0.4</v>
          </cell>
          <cell r="L220">
            <v>0</v>
          </cell>
        </row>
        <row r="221">
          <cell r="I221" t="str">
            <v>5116002030 Desp c/Marketing-Patrocinios (Realizado)</v>
          </cell>
          <cell r="K221">
            <v>0</v>
          </cell>
          <cell r="L221">
            <v>0</v>
          </cell>
        </row>
        <row r="222">
          <cell r="I222" t="str">
            <v>5116002040 Desp c/Marketing-Programa Fabrica Aberta (Realiz)</v>
          </cell>
          <cell r="K222">
            <v>0</v>
          </cell>
          <cell r="L222">
            <v>0</v>
          </cell>
        </row>
        <row r="223">
          <cell r="I223" t="str">
            <v>5118002050 DPC Ded-Contrib a Entidades de Classes (Realizado)</v>
          </cell>
          <cell r="K223">
            <v>-5.5</v>
          </cell>
          <cell r="L223">
            <v>-0.2</v>
          </cell>
        </row>
        <row r="224">
          <cell r="I224" t="str">
            <v>5119905010 Desp Alug/Loc.Oper-Locaçao Equip Operaçao (Realiz)</v>
          </cell>
          <cell r="K224">
            <v>-427.8</v>
          </cell>
          <cell r="L224">
            <v>-398.8</v>
          </cell>
        </row>
        <row r="225">
          <cell r="I225" t="str">
            <v>5119905030 Desp Alug/Loc.Oper-Loc Equiptos Escritorio(Realiz)</v>
          </cell>
          <cell r="K225">
            <v>0</v>
          </cell>
          <cell r="L225">
            <v>0</v>
          </cell>
        </row>
        <row r="226">
          <cell r="I226" t="str">
            <v>5119905050 Desp Alug/Loc.Oper-Loc de Equip Telefonia(Realiz)</v>
          </cell>
          <cell r="K226">
            <v>-1.5</v>
          </cell>
          <cell r="L226">
            <v>-1.5</v>
          </cell>
        </row>
        <row r="227">
          <cell r="I227" t="str">
            <v>5119906010 Desp Alug/Loc. Op-Equipamentos de Manut (Realiz)</v>
          </cell>
          <cell r="K227">
            <v>-251.99999999999997</v>
          </cell>
          <cell r="L227">
            <v>-222.70000000000002</v>
          </cell>
        </row>
        <row r="228">
          <cell r="I228" t="str">
            <v>5119906015 Desp Alug/Loc. Op-Equipamentos de Manut (Recup)</v>
          </cell>
        </row>
        <row r="229">
          <cell r="I229" t="str">
            <v>5119910010 Assin L.IT.J.R-Ass de Jornais e Revistas (Realiz)</v>
          </cell>
          <cell r="K229">
            <v>0</v>
          </cell>
          <cell r="L229">
            <v>-2.2999999999999998</v>
          </cell>
        </row>
        <row r="230">
          <cell r="I230" t="str">
            <v>5119910030 Assin L.IT.J.R-Ass Livros/Inform Tecnicos (Realiz)</v>
          </cell>
          <cell r="K230">
            <v>0</v>
          </cell>
          <cell r="L230">
            <v>0</v>
          </cell>
        </row>
        <row r="231">
          <cell r="I231" t="str">
            <v>5119915010 Desp c/Impressao e Copias fora da Cia (Realizado)</v>
          </cell>
          <cell r="K231">
            <v>0</v>
          </cell>
          <cell r="L231">
            <v>0</v>
          </cell>
        </row>
        <row r="232">
          <cell r="I232" t="str">
            <v>5119920010 Desp c/Veiculos-Abastecimento (Realizado)</v>
          </cell>
          <cell r="K232">
            <v>-1.1000000000000001</v>
          </cell>
          <cell r="L232">
            <v>-0.60000000000000009</v>
          </cell>
        </row>
        <row r="233">
          <cell r="I233" t="str">
            <v>5119920020 Desp c/Veiculos-Reparos e Manutençoes (Realizado)</v>
          </cell>
          <cell r="K233">
            <v>0</v>
          </cell>
          <cell r="L233">
            <v>-11.1</v>
          </cell>
        </row>
        <row r="234">
          <cell r="I234" t="str">
            <v>5119920030 Desp c/Veiculos-Peças e Acessorios (Realizado)</v>
          </cell>
          <cell r="K234">
            <v>0</v>
          </cell>
          <cell r="L234">
            <v>-0.4</v>
          </cell>
        </row>
        <row r="235">
          <cell r="I235" t="str">
            <v>5119920040 Desp c/Veiculos-Lavagem e Lubrificaçao (Realizado)</v>
          </cell>
          <cell r="K235">
            <v>0</v>
          </cell>
          <cell r="L235">
            <v>0</v>
          </cell>
        </row>
        <row r="236">
          <cell r="I236" t="str">
            <v>5119920050 Desp c/Veiculos-Pedagio e Estacionam (Realizado)</v>
          </cell>
          <cell r="K236">
            <v>-2.5</v>
          </cell>
          <cell r="L236">
            <v>-2.5</v>
          </cell>
        </row>
        <row r="237">
          <cell r="I237" t="str">
            <v>5119920060 Desp c/Veiculos-Licenciamento (Realizado)</v>
          </cell>
          <cell r="K237">
            <v>-4.5999999999999996</v>
          </cell>
          <cell r="L237">
            <v>0</v>
          </cell>
        </row>
        <row r="238">
          <cell r="A238" t="str">
            <v>3.04</v>
          </cell>
          <cell r="F238" t="str">
            <v>Despesas / Receitas Operacionais</v>
          </cell>
          <cell r="K238">
            <v>-53833.599999999999</v>
          </cell>
          <cell r="L238">
            <v>-41408.300000000003</v>
          </cell>
        </row>
        <row r="239">
          <cell r="A239" t="str">
            <v>3.04.01</v>
          </cell>
          <cell r="G239" t="str">
            <v>Despesas com vendas</v>
          </cell>
          <cell r="K239">
            <v>-19839.2</v>
          </cell>
          <cell r="L239">
            <v>-18704.599999999999</v>
          </cell>
        </row>
        <row r="240">
          <cell r="H240" t="str">
            <v>Despesas com fretes sobre vendas</v>
          </cell>
          <cell r="K240">
            <v>-19839.2</v>
          </cell>
          <cell r="L240">
            <v>-18700.599999999999</v>
          </cell>
        </row>
        <row r="241">
          <cell r="I241" t="str">
            <v>3140101010 Fretes s/Exportaçao Direta de Produtos (Realizado)</v>
          </cell>
          <cell r="K241">
            <v>0</v>
          </cell>
          <cell r="L241">
            <v>0</v>
          </cell>
        </row>
        <row r="242">
          <cell r="I242" t="str">
            <v>3140101020 Frete s/Venda Com Export c/Fim Esp Export (Realiz)</v>
          </cell>
          <cell r="K242">
            <v>0</v>
          </cell>
          <cell r="L242">
            <v>0</v>
          </cell>
        </row>
        <row r="243">
          <cell r="I243" t="str">
            <v>3140101030 Fretes s/Vendas de Produtos no MI (Realizado)</v>
          </cell>
          <cell r="K243">
            <v>-19275.8</v>
          </cell>
          <cell r="L243">
            <v>-18088.099999999999</v>
          </cell>
        </row>
        <row r="244">
          <cell r="I244" t="str">
            <v>3140105010 Fretes s/Revendas de Mercs Nacinais no ME (Realiz)</v>
          </cell>
          <cell r="K244">
            <v>0</v>
          </cell>
          <cell r="L244">
            <v>0</v>
          </cell>
        </row>
        <row r="245">
          <cell r="I245" t="str">
            <v>3140105030 Fretes s/Revendas de Mercadorias no MI (Realiz)</v>
          </cell>
          <cell r="K245">
            <v>-563.4</v>
          </cell>
          <cell r="L245">
            <v>-612.40000000000009</v>
          </cell>
        </row>
        <row r="246">
          <cell r="H246" t="str">
            <v>Outras despesas com vendas</v>
          </cell>
          <cell r="K246">
            <v>0</v>
          </cell>
          <cell r="L246">
            <v>-4.0999999999999996</v>
          </cell>
        </row>
        <row r="247">
          <cell r="I247" t="str">
            <v>3140301010 Desp c/Desemb/Movim Export Prod FP ME (Realiz)</v>
          </cell>
          <cell r="K247">
            <v>0</v>
          </cell>
          <cell r="L247">
            <v>0</v>
          </cell>
        </row>
        <row r="248">
          <cell r="I248" t="str">
            <v>3140401030 Desp c/Armazenagem Produtos FP (Realizado)</v>
          </cell>
          <cell r="K248">
            <v>0</v>
          </cell>
          <cell r="L248">
            <v>0</v>
          </cell>
        </row>
        <row r="249">
          <cell r="I249" t="str">
            <v>3140406030 Desp c/Armazen Merc Imports p/Rev no MI (Realiz)</v>
          </cell>
          <cell r="K249">
            <v>0</v>
          </cell>
          <cell r="L249">
            <v>0</v>
          </cell>
        </row>
        <row r="250">
          <cell r="I250" t="str">
            <v>3140501030 Desp c/Fretes de Remessas p/Armaz Prod FP (Realiz)</v>
          </cell>
          <cell r="K250">
            <v>0</v>
          </cell>
          <cell r="L250">
            <v>-4.0999999999999996</v>
          </cell>
        </row>
        <row r="251">
          <cell r="I251" t="str">
            <v>3140601030 Desp Remessas p/Testes Ensaios e Prod FP (Realiz)</v>
          </cell>
          <cell r="K251">
            <v>0</v>
          </cell>
          <cell r="L251">
            <v>0</v>
          </cell>
        </row>
        <row r="252">
          <cell r="A252" t="str">
            <v>3.04.02</v>
          </cell>
          <cell r="G252" t="str">
            <v>Despesas Gerais e Administrativas</v>
          </cell>
          <cell r="K252">
            <v>-21920.9</v>
          </cell>
          <cell r="L252">
            <v>-22422.1</v>
          </cell>
        </row>
        <row r="253">
          <cell r="H253" t="str">
            <v>Energia Elétrica consumo administrativo</v>
          </cell>
          <cell r="K253">
            <v>-17.5</v>
          </cell>
          <cell r="L253">
            <v>-35.400000000000006</v>
          </cell>
        </row>
        <row r="254">
          <cell r="I254" t="str">
            <v>3170801120 Mat Cons Oper-Luz (Realizado)</v>
          </cell>
          <cell r="K254">
            <v>-17.5</v>
          </cell>
          <cell r="L254">
            <v>-35.400000000000006</v>
          </cell>
        </row>
        <row r="255">
          <cell r="H255" t="str">
            <v>Despesas com salários e benefícios a empreg</v>
          </cell>
          <cell r="K255">
            <v>-12860.3</v>
          </cell>
          <cell r="L255">
            <v>-12846.699999999999</v>
          </cell>
        </row>
        <row r="256">
          <cell r="I256" t="str">
            <v>3171001010 FLPG-Remuneraçao a Dirigentes Conselho Adm (Pgto)</v>
          </cell>
          <cell r="K256">
            <v>-1605.8999999999999</v>
          </cell>
          <cell r="L256">
            <v>-1375.6</v>
          </cell>
        </row>
        <row r="257">
          <cell r="I257" t="str">
            <v>3171001020 FLPG-Gratifiçao a Dirigentes Conselho Adm (Pgto)</v>
          </cell>
          <cell r="K257">
            <v>0</v>
          </cell>
          <cell r="L257">
            <v>-3179.7</v>
          </cell>
        </row>
        <row r="258">
          <cell r="I258" t="str">
            <v>3171001021 FLPG-Prov Gratificaçao a Dirigentes Conselho Adm</v>
          </cell>
          <cell r="K258">
            <v>-816.30000000000007</v>
          </cell>
          <cell r="L258">
            <v>-1415.1</v>
          </cell>
        </row>
        <row r="259">
          <cell r="I259" t="str">
            <v>3171001022 FLPG-Rev Prov Gratif a Dirigentes Conselho Adm</v>
          </cell>
          <cell r="K259">
            <v>0</v>
          </cell>
          <cell r="L259">
            <v>3179.7</v>
          </cell>
        </row>
        <row r="260">
          <cell r="I260" t="str">
            <v>3171001030 FLPG-Ordenados, Salars e Outras Remun a Empreg (R)</v>
          </cell>
          <cell r="K260">
            <v>-2963.5</v>
          </cell>
          <cell r="L260">
            <v>-2706.3</v>
          </cell>
        </row>
        <row r="261">
          <cell r="I261" t="str">
            <v>3171001040 FLPG-13º Salario (Realizado)</v>
          </cell>
          <cell r="K261">
            <v>-26.6</v>
          </cell>
          <cell r="L261">
            <v>-44.5</v>
          </cell>
        </row>
        <row r="262">
          <cell r="I262" t="str">
            <v>3171001041 FLPG-Provisao de 13º Salario</v>
          </cell>
          <cell r="K262">
            <v>-237.6</v>
          </cell>
          <cell r="L262">
            <v>-265</v>
          </cell>
        </row>
        <row r="263">
          <cell r="I263" t="str">
            <v>3171001042 FLPG-Reversao Provisao de 13º Salario</v>
          </cell>
          <cell r="K263">
            <v>12.600000000000001</v>
          </cell>
          <cell r="L263">
            <v>30.4</v>
          </cell>
        </row>
        <row r="264">
          <cell r="I264" t="str">
            <v>3171001050 FLPG-Ferias (Realizado)</v>
          </cell>
          <cell r="K264">
            <v>-480.4</v>
          </cell>
          <cell r="L264">
            <v>-524.29999999999995</v>
          </cell>
        </row>
        <row r="265">
          <cell r="I265" t="str">
            <v>3171001051 FLPG-Provisao de Ferias</v>
          </cell>
          <cell r="K265">
            <v>-227.20000000000002</v>
          </cell>
          <cell r="L265">
            <v>-299.89999999999998</v>
          </cell>
        </row>
        <row r="266">
          <cell r="I266" t="str">
            <v>3171001052 FLPG-Reversap da Provisao de Ferias</v>
          </cell>
          <cell r="K266">
            <v>282.89999999999998</v>
          </cell>
          <cell r="L266">
            <v>303.70000000000005</v>
          </cell>
        </row>
        <row r="267">
          <cell r="I267" t="str">
            <v>3171001080 FLPG-Gratificaçao de Ferias (Realiz)</v>
          </cell>
          <cell r="K267">
            <v>-162.9</v>
          </cell>
          <cell r="L267">
            <v>-178.6</v>
          </cell>
        </row>
        <row r="268">
          <cell r="I268" t="str">
            <v>3171001081 FLPG-Provisao de Gratificaçao de Ferias</v>
          </cell>
          <cell r="K268">
            <v>-126.5</v>
          </cell>
          <cell r="L268">
            <v>-170.89999999999998</v>
          </cell>
        </row>
        <row r="269">
          <cell r="I269" t="str">
            <v>3171001082 FLPG-Reversao da Prov de Gratificaçao de Ferias</v>
          </cell>
          <cell r="K269">
            <v>162.9</v>
          </cell>
          <cell r="L269">
            <v>178.6</v>
          </cell>
        </row>
        <row r="270">
          <cell r="I270" t="str">
            <v>3171001090 FLPG-Gratificaçoes (Realizado)</v>
          </cell>
          <cell r="K270">
            <v>-1</v>
          </cell>
          <cell r="L270">
            <v>-1098.3</v>
          </cell>
        </row>
        <row r="271">
          <cell r="I271" t="str">
            <v>3171001091 FLPG-Provisao de Gratificaçoes</v>
          </cell>
          <cell r="K271">
            <v>-681.90000000000009</v>
          </cell>
          <cell r="L271">
            <v>-500.79999999999995</v>
          </cell>
        </row>
        <row r="272">
          <cell r="I272" t="str">
            <v>3171001092 FLPG-Reversao da Provisao de Gratificacoes</v>
          </cell>
          <cell r="K272">
            <v>0</v>
          </cell>
          <cell r="L272">
            <v>924.6</v>
          </cell>
        </row>
        <row r="273">
          <cell r="I273" t="str">
            <v>3171001100 FLPG-Gratificoes Quinquenios (Realizado)</v>
          </cell>
          <cell r="K273">
            <v>-36.4</v>
          </cell>
          <cell r="L273">
            <v>-8.2999999999999989</v>
          </cell>
        </row>
        <row r="274">
          <cell r="I274" t="str">
            <v>3171001101 FLPG-Provisao de Gratificaçoes Quinquenios</v>
          </cell>
          <cell r="K274">
            <v>-181.5</v>
          </cell>
          <cell r="L274">
            <v>337.1</v>
          </cell>
        </row>
        <row r="275">
          <cell r="I275" t="str">
            <v>3171001102 FLPG-Reversao Provisao Gratificacoes Quinquenios</v>
          </cell>
          <cell r="K275">
            <v>36.4</v>
          </cell>
          <cell r="L275">
            <v>8.2999999999999989</v>
          </cell>
        </row>
        <row r="276">
          <cell r="I276" t="str">
            <v>3171001120 FLPG-Aviso Previo (Realizado)</v>
          </cell>
          <cell r="K276">
            <v>-189.3</v>
          </cell>
          <cell r="L276">
            <v>-197.5</v>
          </cell>
        </row>
        <row r="277">
          <cell r="I277" t="str">
            <v>3171001122 FLPG-Reversao da Provisao de Aviso Previo</v>
          </cell>
          <cell r="K277">
            <v>189.3</v>
          </cell>
          <cell r="L277">
            <v>197.5</v>
          </cell>
        </row>
        <row r="278">
          <cell r="I278" t="str">
            <v>3171001130 FLPG-Indenizacoes (Realizado)</v>
          </cell>
          <cell r="K278">
            <v>-41.8</v>
          </cell>
          <cell r="L278">
            <v>-13.3</v>
          </cell>
        </row>
        <row r="279">
          <cell r="I279" t="str">
            <v>3171001230 FLPG-Auxilio Enfermidade (Realizado)</v>
          </cell>
          <cell r="K279">
            <v>0</v>
          </cell>
          <cell r="L279">
            <v>0</v>
          </cell>
        </row>
        <row r="280">
          <cell r="I280" t="str">
            <v>3171001240 FLPG-Auxilio Doença (Realizado)</v>
          </cell>
          <cell r="K280">
            <v>-20.9</v>
          </cell>
          <cell r="L280">
            <v>4.7</v>
          </cell>
        </row>
        <row r="281">
          <cell r="I281" t="str">
            <v>3171001250 FLPG-Auxilio Ensino (Realizado)</v>
          </cell>
          <cell r="K281">
            <v>-61.800000000000004</v>
          </cell>
          <cell r="L281">
            <v>-53.6</v>
          </cell>
        </row>
        <row r="282">
          <cell r="I282" t="str">
            <v>3171001300 FLPG-Bolsa Estudos de Estagiarios (Realizado)</v>
          </cell>
          <cell r="K282">
            <v>-28.000000000000004</v>
          </cell>
          <cell r="L282">
            <v>-27</v>
          </cell>
        </row>
        <row r="283">
          <cell r="I283" t="str">
            <v>3171001990 Rateio da Mão de Obra da Manutenção</v>
          </cell>
          <cell r="K283">
            <v>-4.5</v>
          </cell>
          <cell r="L283">
            <v>-2.2000000000000002</v>
          </cell>
        </row>
        <row r="284">
          <cell r="I284" t="str">
            <v>3171002010 FGTS s/Folha de Pagamento (Realizado)</v>
          </cell>
          <cell r="K284">
            <v>-236.8</v>
          </cell>
          <cell r="L284">
            <v>-211.10000000000002</v>
          </cell>
        </row>
        <row r="285">
          <cell r="I285" t="str">
            <v>3171002020 FGTS s/Ferias (Realizado)</v>
          </cell>
          <cell r="K285">
            <v>-16.100000000000001</v>
          </cell>
          <cell r="L285">
            <v>-18.399999999999999</v>
          </cell>
        </row>
        <row r="286">
          <cell r="I286" t="str">
            <v>3171002021 Provisao de FGTS s/Ferias</v>
          </cell>
          <cell r="K286">
            <v>-20.100000000000001</v>
          </cell>
          <cell r="L286">
            <v>-28.1</v>
          </cell>
        </row>
        <row r="287">
          <cell r="I287" t="str">
            <v>3171002022 Reversao da Provisao de FGTS s/Ferias</v>
          </cell>
          <cell r="K287">
            <v>24.4</v>
          </cell>
          <cell r="L287">
            <v>28.299999999999997</v>
          </cell>
        </row>
        <row r="288">
          <cell r="I288" t="str">
            <v>3171002030 FGTS s/13º Salario (Realizado)</v>
          </cell>
          <cell r="K288">
            <v>-6.3000000000000007</v>
          </cell>
          <cell r="L288">
            <v>-7.8</v>
          </cell>
        </row>
        <row r="289">
          <cell r="I289" t="str">
            <v>3171002031 Provisao de FGTS s/13º Salario</v>
          </cell>
          <cell r="K289">
            <v>-25.2</v>
          </cell>
          <cell r="L289">
            <v>-28.700000000000003</v>
          </cell>
        </row>
        <row r="290">
          <cell r="I290" t="str">
            <v>3171002032 Reversao da Provisao de FGTS s/13º Salario</v>
          </cell>
          <cell r="K290">
            <v>7.1999999999999993</v>
          </cell>
          <cell r="L290">
            <v>9.8999999999999986</v>
          </cell>
        </row>
        <row r="291">
          <cell r="I291" t="str">
            <v>3171002040 FGTS s/Desligamento de Funcionario (Realizado)</v>
          </cell>
          <cell r="K291">
            <v>-541.59999999999991</v>
          </cell>
          <cell r="L291">
            <v>-540.1</v>
          </cell>
        </row>
        <row r="292">
          <cell r="I292" t="str">
            <v>3171002041 Provisao de FGTS s/Desligamento de Funcionario</v>
          </cell>
          <cell r="K292">
            <v>-274.20000000000005</v>
          </cell>
          <cell r="L292">
            <v>-274.20000000000005</v>
          </cell>
        </row>
        <row r="293">
          <cell r="I293" t="str">
            <v>3171002042 Reversao Provisao de FGTS s/Desl Funcionario</v>
          </cell>
          <cell r="K293">
            <v>541.59999999999991</v>
          </cell>
          <cell r="L293">
            <v>540.1</v>
          </cell>
        </row>
        <row r="294">
          <cell r="I294" t="str">
            <v>3171002051 Provisao de FGTS s/Gratificações</v>
          </cell>
          <cell r="K294">
            <v>0</v>
          </cell>
          <cell r="L294">
            <v>0</v>
          </cell>
        </row>
        <row r="295">
          <cell r="I295" t="str">
            <v>3171003010 INSS s/Folha de Pagamento (Realizado)</v>
          </cell>
          <cell r="K295">
            <v>-1224.9000000000001</v>
          </cell>
          <cell r="L295">
            <v>-1096.9000000000001</v>
          </cell>
        </row>
        <row r="296">
          <cell r="I296" t="str">
            <v>3171003015 Recuperação de Desps c/INSS s/Folha</v>
          </cell>
          <cell r="K296">
            <v>0</v>
          </cell>
          <cell r="L296">
            <v>0</v>
          </cell>
        </row>
        <row r="297">
          <cell r="I297" t="str">
            <v>3171003020 INSS s/Ferias (Realizado)</v>
          </cell>
          <cell r="K297">
            <v>0</v>
          </cell>
          <cell r="L297">
            <v>0</v>
          </cell>
        </row>
        <row r="298">
          <cell r="I298" t="str">
            <v>3171003021 Provisao de INSS s/Ferias</v>
          </cell>
          <cell r="K298">
            <v>-48.300000000000004</v>
          </cell>
          <cell r="L298">
            <v>-32</v>
          </cell>
        </row>
        <row r="299">
          <cell r="I299" t="str">
            <v>3171003022 Reversao da Provisao de INSS s/Ferias</v>
          </cell>
          <cell r="K299">
            <v>64</v>
          </cell>
          <cell r="L299">
            <v>87.4</v>
          </cell>
        </row>
        <row r="300">
          <cell r="I300" t="str">
            <v>3171003025 Recuperação de Desps c/INSS s/Ferias</v>
          </cell>
          <cell r="K300">
            <v>0</v>
          </cell>
          <cell r="L300">
            <v>0</v>
          </cell>
        </row>
        <row r="301">
          <cell r="I301" t="str">
            <v>3171003031 Provisao de INSS s/13º Salario</v>
          </cell>
          <cell r="K301">
            <v>-66.399999999999991</v>
          </cell>
          <cell r="L301">
            <v>-56.5</v>
          </cell>
        </row>
        <row r="302">
          <cell r="I302" t="str">
            <v>3171003032 Reversao da Provisao de INSS s/13º Salario</v>
          </cell>
          <cell r="K302">
            <v>3.1999999999999997</v>
          </cell>
          <cell r="L302">
            <v>7.5</v>
          </cell>
        </row>
        <row r="303">
          <cell r="I303" t="str">
            <v>3171003040 INSS s/PLR (Realizado)</v>
          </cell>
          <cell r="K303">
            <v>0</v>
          </cell>
          <cell r="L303">
            <v>0</v>
          </cell>
        </row>
        <row r="304">
          <cell r="I304" t="str">
            <v>3171003051 Provisao de INSS s/Gratificações</v>
          </cell>
          <cell r="K304">
            <v>-163.19999999999999</v>
          </cell>
          <cell r="L304">
            <v>-166.3</v>
          </cell>
        </row>
        <row r="305">
          <cell r="I305" t="str">
            <v>3171501010 Prev Priv CD-Contribuicoes da Empresa (Realizado)</v>
          </cell>
          <cell r="K305">
            <v>-1457.1000000000001</v>
          </cell>
          <cell r="L305">
            <v>-1383.7</v>
          </cell>
        </row>
        <row r="306">
          <cell r="I306" t="str">
            <v>3171501015 Prev Priv CD-Participaçao dos Empregados</v>
          </cell>
          <cell r="K306">
            <v>472.7</v>
          </cell>
          <cell r="L306">
            <v>432.20000000000005</v>
          </cell>
        </row>
        <row r="307">
          <cell r="I307" t="str">
            <v>3171502010 Seguro de Vida em Grupo (Realizado)</v>
          </cell>
          <cell r="K307">
            <v>0</v>
          </cell>
          <cell r="L307">
            <v>0</v>
          </cell>
        </row>
        <row r="308">
          <cell r="I308" t="str">
            <v>3171502011 Provisao Seguro de Vida em Grupo</v>
          </cell>
          <cell r="K308">
            <v>-181.9</v>
          </cell>
          <cell r="L308">
            <v>-172.8</v>
          </cell>
        </row>
        <row r="309">
          <cell r="I309" t="str">
            <v>3171503010 Assistencia Medica e Hospitalar (Realizado)</v>
          </cell>
          <cell r="K309">
            <v>-1050.5999999999999</v>
          </cell>
          <cell r="L309">
            <v>-1531</v>
          </cell>
        </row>
        <row r="310">
          <cell r="I310" t="str">
            <v>3171503015 Partic dos Empregados Assistenc Medica e Hospit</v>
          </cell>
          <cell r="K310">
            <v>73.400000000000006</v>
          </cell>
          <cell r="L310">
            <v>70.2</v>
          </cell>
        </row>
        <row r="311">
          <cell r="I311" t="str">
            <v>3171503020 Assistencia Medica e Hospitalar Aposent (Realiz)</v>
          </cell>
          <cell r="K311">
            <v>-98.9</v>
          </cell>
          <cell r="L311">
            <v>-138.30000000000001</v>
          </cell>
        </row>
        <row r="312">
          <cell r="I312" t="str">
            <v>3171503021 Provisao Assistencia Medica Hospitalar Aposentados</v>
          </cell>
          <cell r="K312">
            <v>-82.199999999999989</v>
          </cell>
          <cell r="L312">
            <v>-82.199999999999989</v>
          </cell>
        </row>
        <row r="313">
          <cell r="I313" t="str">
            <v>3171503022 Reversao Prov Assist Medica Hospitalar Aposentados</v>
          </cell>
          <cell r="K313">
            <v>98.9</v>
          </cell>
          <cell r="L313">
            <v>138.30000000000001</v>
          </cell>
        </row>
        <row r="314">
          <cell r="I314" t="str">
            <v>3171503030 Assistencia Odontologica (Realizado)</v>
          </cell>
          <cell r="K314">
            <v>-65.300000000000011</v>
          </cell>
          <cell r="L314">
            <v>-35.1</v>
          </cell>
        </row>
        <row r="315">
          <cell r="I315" t="str">
            <v>3171503035 Participacao dos Empregados Assist Odontologica</v>
          </cell>
          <cell r="K315">
            <v>5.1999999999999993</v>
          </cell>
          <cell r="L315">
            <v>5.6</v>
          </cell>
        </row>
        <row r="316">
          <cell r="I316" t="str">
            <v>3171503040 Despesas Medicas e Hospitalares (Realizado)</v>
          </cell>
          <cell r="K316">
            <v>-42.3</v>
          </cell>
          <cell r="L316">
            <v>-29.2</v>
          </cell>
        </row>
        <row r="317">
          <cell r="I317" t="str">
            <v>3171504010 Desenv Prof-Cursos (Realizado)</v>
          </cell>
          <cell r="K317">
            <v>-55.3</v>
          </cell>
          <cell r="L317">
            <v>-64.900000000000006</v>
          </cell>
        </row>
        <row r="318">
          <cell r="I318" t="str">
            <v>3171504020 Desenv Prof-Material de Consumo em Cursos (Realiz)</v>
          </cell>
          <cell r="K318">
            <v>-1.6</v>
          </cell>
          <cell r="L318">
            <v>0</v>
          </cell>
        </row>
        <row r="319">
          <cell r="I319" t="str">
            <v>3171504030 Desenv Prof-Serviços de Tercrs em Cursos (Realiz)</v>
          </cell>
          <cell r="K319">
            <v>-1.5</v>
          </cell>
          <cell r="L319">
            <v>-0.3</v>
          </cell>
        </row>
        <row r="320">
          <cell r="I320" t="str">
            <v>3171504040 Desenv Prof-Diarias em Cursos (Realizado)</v>
          </cell>
          <cell r="K320">
            <v>-0.5</v>
          </cell>
          <cell r="L320">
            <v>-0.9</v>
          </cell>
        </row>
        <row r="321">
          <cell r="I321" t="str">
            <v>3171504050 Desenv Prof-Transportes em Cursos (Realizado)</v>
          </cell>
          <cell r="K321">
            <v>-9.8000000000000007</v>
          </cell>
          <cell r="L321">
            <v>-10.3</v>
          </cell>
        </row>
        <row r="322">
          <cell r="I322" t="str">
            <v>3171504060 Desenv Prof-Refeiçoes em Cursos (Realizado)</v>
          </cell>
          <cell r="K322">
            <v>-10.3</v>
          </cell>
          <cell r="L322">
            <v>-9.1</v>
          </cell>
        </row>
        <row r="323">
          <cell r="I323" t="str">
            <v>3171504070 Desenv Prof-Aprendiz de Menores em Cursos (Realiz)</v>
          </cell>
          <cell r="K323">
            <v>-3.5999999999999996</v>
          </cell>
          <cell r="L323">
            <v>-3.5999999999999996</v>
          </cell>
        </row>
        <row r="324">
          <cell r="I324" t="str">
            <v>3171505010 Desp Soc-Contrib Associaçao Desportiva (Realizado)</v>
          </cell>
          <cell r="K324">
            <v>0</v>
          </cell>
          <cell r="L324">
            <v>-7</v>
          </cell>
        </row>
        <row r="325">
          <cell r="I325" t="str">
            <v>3171505020 Desp Soc-Comemoraçoes e Eventos (Realizado)</v>
          </cell>
          <cell r="K325">
            <v>-2.5999999999999996</v>
          </cell>
          <cell r="L325">
            <v>-23.4</v>
          </cell>
        </row>
        <row r="326">
          <cell r="I326" t="str">
            <v>3171505030 Desp Soc-Assistencia Social Funcionarios (Realiz)</v>
          </cell>
          <cell r="K326">
            <v>-18.3</v>
          </cell>
          <cell r="L326">
            <v>-9.3999999999999986</v>
          </cell>
        </row>
        <row r="327">
          <cell r="I327" t="str">
            <v>3171505040 Desp Soc-Vestuario (Realizado)</v>
          </cell>
          <cell r="K327">
            <v>0</v>
          </cell>
          <cell r="L327">
            <v>0</v>
          </cell>
        </row>
        <row r="328">
          <cell r="I328" t="str">
            <v>3171505050 Desp Soc-Comunicaçao Interna (Realizado)</v>
          </cell>
          <cell r="K328">
            <v>-3.3</v>
          </cell>
          <cell r="L328">
            <v>0</v>
          </cell>
        </row>
        <row r="329">
          <cell r="I329" t="str">
            <v>3171506010 Desp Transp-Conduçao Contratada (Realizado)</v>
          </cell>
          <cell r="K329">
            <v>-697</v>
          </cell>
          <cell r="L329">
            <v>-714.3</v>
          </cell>
        </row>
        <row r="330">
          <cell r="I330" t="str">
            <v>3171506015 Participaçao dos Empregados-Conduçao Contratada</v>
          </cell>
          <cell r="K330">
            <v>9.6000000000000014</v>
          </cell>
          <cell r="L330">
            <v>9.1999999999999993</v>
          </cell>
        </row>
        <row r="331">
          <cell r="I331" t="str">
            <v>3171506020 Despesa Vale Transporte (Realizado)</v>
          </cell>
          <cell r="K331">
            <v>-19.799999999999997</v>
          </cell>
          <cell r="L331">
            <v>-8.5</v>
          </cell>
        </row>
        <row r="332">
          <cell r="I332" t="str">
            <v>3171506025 Participaçao dos Empregados-Vale Transporte</v>
          </cell>
          <cell r="K332">
            <v>0.8</v>
          </cell>
          <cell r="L332">
            <v>0.60000000000000009</v>
          </cell>
        </row>
        <row r="333">
          <cell r="I333" t="str">
            <v>3171506030 Despesa Taxi e Conduçoes (Realizado)</v>
          </cell>
          <cell r="K333">
            <v>-75.600000000000009</v>
          </cell>
          <cell r="L333">
            <v>-72.8</v>
          </cell>
        </row>
        <row r="334">
          <cell r="I334" t="str">
            <v>3171506040 Despesa Aluguel de Veiculos (Realizado)</v>
          </cell>
          <cell r="K334">
            <v>-12</v>
          </cell>
          <cell r="L334">
            <v>-1.9000000000000001</v>
          </cell>
        </row>
        <row r="335">
          <cell r="I335" t="str">
            <v>3171506050 Despesas com Aluguel de Outros Veiculos(Realizado)</v>
          </cell>
          <cell r="K335">
            <v>0</v>
          </cell>
          <cell r="L335">
            <v>0</v>
          </cell>
        </row>
        <row r="336">
          <cell r="I336" t="str">
            <v>3171507010 Despesa Refeiçoes Prontas (Realizado)</v>
          </cell>
          <cell r="K336">
            <v>-344.7</v>
          </cell>
          <cell r="L336">
            <v>-403.6</v>
          </cell>
        </row>
        <row r="337">
          <cell r="I337" t="str">
            <v>3171507015 Participaçao dos Empregados-Refeiçoes Prontas</v>
          </cell>
          <cell r="K337">
            <v>38.099999999999994</v>
          </cell>
          <cell r="L337">
            <v>37.200000000000003</v>
          </cell>
        </row>
        <row r="338">
          <cell r="I338" t="str">
            <v>3171507020 Despesa Material de Consumo Refeitorio (Realiz)</v>
          </cell>
          <cell r="K338">
            <v>-39.700000000000003</v>
          </cell>
          <cell r="L338">
            <v>-44.099999999999994</v>
          </cell>
        </row>
        <row r="339">
          <cell r="I339" t="str">
            <v>3171507025 Desp Material Consumo Refeitorio Descont Func-R</v>
          </cell>
          <cell r="K339">
            <v>-6.5</v>
          </cell>
          <cell r="L339">
            <v>-3.6</v>
          </cell>
        </row>
        <row r="340">
          <cell r="I340" t="str">
            <v>3171507030 Despesa Refeiçoes-Visita e Outras (Realizado)</v>
          </cell>
          <cell r="K340">
            <v>-49.8</v>
          </cell>
          <cell r="L340">
            <v>-62.900000000000006</v>
          </cell>
        </row>
        <row r="341">
          <cell r="I341" t="str">
            <v>3171507040 Despesa Refeiçoes-Lanches Externos (Realizado)</v>
          </cell>
          <cell r="K341">
            <v>-36.1</v>
          </cell>
          <cell r="L341">
            <v>-44</v>
          </cell>
        </row>
        <row r="342">
          <cell r="I342" t="str">
            <v>3710101010 (-)PL-Participaçoes de Empregados (Realizado)</v>
          </cell>
          <cell r="K342">
            <v>0</v>
          </cell>
          <cell r="L342">
            <v>0</v>
          </cell>
        </row>
        <row r="343">
          <cell r="H343" t="str">
            <v>Encargos de depreciação e amortização na DGA</v>
          </cell>
          <cell r="K343">
            <v>-2908.3</v>
          </cell>
          <cell r="L343">
            <v>-3058.3</v>
          </cell>
        </row>
        <row r="344">
          <cell r="I344" t="str">
            <v>3179001010 Encarg de Deprec e Amort-Depreciaçao (Realizado)</v>
          </cell>
          <cell r="K344">
            <v>-330.6</v>
          </cell>
          <cell r="L344">
            <v>-307.20000000000005</v>
          </cell>
        </row>
        <row r="345">
          <cell r="I345" t="str">
            <v>3179001011 Encarg de Depreciaçao Mais Valia (Realizado)</v>
          </cell>
          <cell r="K345">
            <v>-5.4</v>
          </cell>
          <cell r="L345">
            <v>-88.2</v>
          </cell>
        </row>
        <row r="346">
          <cell r="I346" t="str">
            <v>3179001012 Encs de Depreciaçao Mais Valia Comb Neg(Realizado)</v>
          </cell>
          <cell r="K346">
            <v>-5.4</v>
          </cell>
          <cell r="L346">
            <v>-88.2</v>
          </cell>
        </row>
        <row r="347">
          <cell r="I347" t="str">
            <v>3179001014 Encarg de Depreciaçao do AVP (Realizado)</v>
          </cell>
          <cell r="K347">
            <v>-2.4000000000000004</v>
          </cell>
          <cell r="L347">
            <v>-2.4000000000000004</v>
          </cell>
        </row>
        <row r="348">
          <cell r="I348" t="str">
            <v>3179001050 Encarg de Deprec e Amort-Amortizaçao (Realizado)</v>
          </cell>
          <cell r="K348">
            <v>-821.3</v>
          </cell>
          <cell r="L348">
            <v>-829.3</v>
          </cell>
        </row>
        <row r="349">
          <cell r="I349" t="str">
            <v>3179001051 Encargs de Amortizaçao Mais Valia (Realizado)</v>
          </cell>
          <cell r="K349">
            <v>0</v>
          </cell>
          <cell r="L349">
            <v>0</v>
          </cell>
        </row>
        <row r="350">
          <cell r="I350" t="str">
            <v>3179001052 Encargs de Amortizaçao Mais Valia CN (Realizado)</v>
          </cell>
          <cell r="K350">
            <v>0</v>
          </cell>
          <cell r="L350">
            <v>0</v>
          </cell>
        </row>
        <row r="351">
          <cell r="I351" t="str">
            <v>3179001054 Encargs de Amortizaçao AVP (Realizado)</v>
          </cell>
          <cell r="K351">
            <v>-3</v>
          </cell>
          <cell r="L351">
            <v>-3</v>
          </cell>
        </row>
        <row r="352">
          <cell r="I352" t="str">
            <v>3179001104 Encargs de Amortizaçao Investimentos (Realizado)</v>
          </cell>
          <cell r="K352">
            <v>-1740</v>
          </cell>
          <cell r="L352">
            <v>-1740</v>
          </cell>
        </row>
        <row r="353">
          <cell r="H353" t="str">
            <v>Serviços de terceiros nas DGAs</v>
          </cell>
          <cell r="K353">
            <v>-3422.5</v>
          </cell>
          <cell r="L353">
            <v>-4040.3</v>
          </cell>
        </row>
        <row r="354">
          <cell r="I354" t="str">
            <v>3172001010 Serviços Prestados Advocacia p/PJ (Realizado)</v>
          </cell>
          <cell r="K354">
            <v>-1128.6999999999998</v>
          </cell>
          <cell r="L354">
            <v>-2030.7999999999997</v>
          </cell>
        </row>
        <row r="355">
          <cell r="I355" t="str">
            <v>3172001015 Rec Desps c/Honorarios Advocaticios (Realizado)</v>
          </cell>
          <cell r="K355">
            <v>73.2</v>
          </cell>
          <cell r="L355">
            <v>0</v>
          </cell>
        </row>
        <row r="356">
          <cell r="I356" t="str">
            <v>3172001040 Serv Prest Advocacia p/PF s/ Vinculo Empr (Realiz)</v>
          </cell>
          <cell r="K356">
            <v>0</v>
          </cell>
          <cell r="L356">
            <v>0</v>
          </cell>
        </row>
        <row r="357">
          <cell r="I357" t="str">
            <v>3172002010 Serviços Prestados Auditoria  p/PJ (Realizado)</v>
          </cell>
          <cell r="K357">
            <v>-80.400000000000006</v>
          </cell>
          <cell r="L357">
            <v>-80.400000000000006</v>
          </cell>
        </row>
        <row r="358">
          <cell r="I358" t="str">
            <v>3172003010 Serviços Prestados Consultoria p/PJ (Realizado)</v>
          </cell>
          <cell r="K358">
            <v>-1116.8</v>
          </cell>
          <cell r="L358">
            <v>-881.4</v>
          </cell>
        </row>
        <row r="359">
          <cell r="I359" t="str">
            <v>3172003040 Serv Prest Consultoria p/PF s/Vinc Empr (Realiz)</v>
          </cell>
          <cell r="K359">
            <v>-61.099999999999994</v>
          </cell>
          <cell r="L359">
            <v>-57.699999999999996</v>
          </cell>
        </row>
        <row r="360">
          <cell r="I360" t="str">
            <v>3172007010 Serv Prest Informaçoes Cadastrais p/PJ (Realiz)</v>
          </cell>
          <cell r="K360">
            <v>-49.900000000000006</v>
          </cell>
          <cell r="L360">
            <v>-43.4</v>
          </cell>
        </row>
        <row r="361">
          <cell r="I361" t="str">
            <v>3172008010 Serv Prest Propaganda e Publicidade p/PJ (Realiz)</v>
          </cell>
          <cell r="K361">
            <v>-27.1</v>
          </cell>
          <cell r="L361">
            <v>-8</v>
          </cell>
        </row>
        <row r="362">
          <cell r="I362" t="str">
            <v>3172009010 Serv Prest Atualiz/Suporte Tecnico p/PJ (Realiz)</v>
          </cell>
          <cell r="K362">
            <v>-221.9</v>
          </cell>
          <cell r="L362">
            <v>-419.6</v>
          </cell>
        </row>
        <row r="363">
          <cell r="I363" t="str">
            <v>3172010010 Serviços Prestados Temporario p/PJ (Realizado)</v>
          </cell>
          <cell r="K363">
            <v>-96.9</v>
          </cell>
          <cell r="L363">
            <v>-142.9</v>
          </cell>
        </row>
        <row r="364">
          <cell r="I364" t="str">
            <v>3172011010 Serviços Prestados Limpeza p/ PJ (Realizado)</v>
          </cell>
          <cell r="K364">
            <v>-47</v>
          </cell>
          <cell r="L364">
            <v>-43.7</v>
          </cell>
        </row>
        <row r="365">
          <cell r="I365" t="str">
            <v>3172012010 Serviços Prestados Vigilancia PJ (Realiz)</v>
          </cell>
          <cell r="K365">
            <v>-422.09999999999997</v>
          </cell>
          <cell r="L365">
            <v>-146.4</v>
          </cell>
        </row>
        <row r="366">
          <cell r="I366" t="str">
            <v>3172015010 Serv Prest Fretes Carretos s/Compras p/PJ (Realiz)</v>
          </cell>
          <cell r="K366">
            <v>0</v>
          </cell>
          <cell r="L366">
            <v>0</v>
          </cell>
        </row>
        <row r="367">
          <cell r="I367" t="str">
            <v>3172018010 Serv Prest Reparos Assist Tecnica p/PJ (Realiz)</v>
          </cell>
          <cell r="K367">
            <v>-45.5</v>
          </cell>
          <cell r="L367">
            <v>-18.7</v>
          </cell>
        </row>
        <row r="368">
          <cell r="I368" t="str">
            <v>3172099010 Prest Serv Tecnicos Profissionais p/PJ (Realiz)</v>
          </cell>
          <cell r="K368">
            <v>-189.7</v>
          </cell>
          <cell r="L368">
            <v>-136.5</v>
          </cell>
        </row>
        <row r="369">
          <cell r="I369" t="str">
            <v>3172099020 Prest Serv Tec Profissionais p/Coop Trab (Realiz)</v>
          </cell>
          <cell r="K369">
            <v>0</v>
          </cell>
          <cell r="L369">
            <v>0</v>
          </cell>
        </row>
        <row r="370">
          <cell r="I370" t="str">
            <v>3172099040 Serv Prest Tec Profissionais p/PF s/Vin Empr (R)</v>
          </cell>
          <cell r="K370">
            <v>-1</v>
          </cell>
          <cell r="L370">
            <v>-13.3</v>
          </cell>
        </row>
        <row r="371">
          <cell r="I371" t="str">
            <v>3172150010 Serv Prest Manutençao Civil p/PJ (Realizado)</v>
          </cell>
          <cell r="K371">
            <v>-3.4</v>
          </cell>
          <cell r="L371">
            <v>-6.5</v>
          </cell>
        </row>
        <row r="372">
          <cell r="I372" t="str">
            <v>3172151010 Serv Prest Manutençao Eletricos p/PJ (Realiz)</v>
          </cell>
        </row>
        <row r="373">
          <cell r="I373" t="str">
            <v>3172199010 Serv Prest Manutençao Geral p/PJ (Realizado)</v>
          </cell>
          <cell r="K373">
            <v>-4.4000000000000004</v>
          </cell>
          <cell r="L373">
            <v>-5.5</v>
          </cell>
        </row>
        <row r="374">
          <cell r="H374" t="str">
            <v>Outras despesas gerais administrativas</v>
          </cell>
          <cell r="K374">
            <v>-2712.1</v>
          </cell>
          <cell r="L374">
            <v>-2441.1999999999998</v>
          </cell>
        </row>
        <row r="375">
          <cell r="I375" t="str">
            <v>3170801070 Mat Cons Oper-Reparo e Manutençao (Realiz)</v>
          </cell>
          <cell r="K375">
            <v>-0.4</v>
          </cell>
          <cell r="L375">
            <v>-0.30000000000000004</v>
          </cell>
        </row>
        <row r="376">
          <cell r="I376" t="str">
            <v>3170801090 Mat Cons Oper-Limpeza (Realizado)</v>
          </cell>
          <cell r="K376">
            <v>0</v>
          </cell>
          <cell r="L376">
            <v>-0.1</v>
          </cell>
        </row>
        <row r="377">
          <cell r="I377" t="str">
            <v>3170801100 Mat Cons Oper-Segurança (Realizado)</v>
          </cell>
          <cell r="K377">
            <v>-0.99999999999999989</v>
          </cell>
          <cell r="L377">
            <v>-0.79999999999999993</v>
          </cell>
        </row>
        <row r="378">
          <cell r="I378" t="str">
            <v>3170801130 Mat Cons Oper-Escritorio (Realizado)</v>
          </cell>
          <cell r="K378">
            <v>-15.5</v>
          </cell>
          <cell r="L378">
            <v>-14.2</v>
          </cell>
        </row>
        <row r="379">
          <cell r="I379" t="str">
            <v>3170801140 Mat Cons Oper-Imobilizado (Realizado)</v>
          </cell>
          <cell r="K379">
            <v>-0.9</v>
          </cell>
          <cell r="L379">
            <v>0</v>
          </cell>
        </row>
        <row r="380">
          <cell r="I380" t="str">
            <v>3170802990 Materias Consumo-Manutencao em Geral (Realiz)</v>
          </cell>
          <cell r="K380">
            <v>-6.8000000000000007</v>
          </cell>
          <cell r="L380">
            <v>-5.9</v>
          </cell>
        </row>
        <row r="381">
          <cell r="I381" t="str">
            <v>3171901010 Sel Recrut-Servs de Tercrs p/Seleçao e Recrut (R)</v>
          </cell>
          <cell r="K381">
            <v>-0.5</v>
          </cell>
          <cell r="L381">
            <v>-1.4</v>
          </cell>
        </row>
        <row r="382">
          <cell r="I382" t="str">
            <v>3171902010 Despesa Viagens Nacionais (Realizado)</v>
          </cell>
          <cell r="K382">
            <v>-108.69999999999999</v>
          </cell>
          <cell r="L382">
            <v>-68.400000000000006</v>
          </cell>
        </row>
        <row r="383">
          <cell r="I383" t="str">
            <v>3171902020 Despesas Viagens Internacionais (Realizado)</v>
          </cell>
          <cell r="K383">
            <v>10.399999999999999</v>
          </cell>
          <cell r="L383">
            <v>1.9000000000000021</v>
          </cell>
        </row>
        <row r="384">
          <cell r="I384" t="str">
            <v>3173501010 Desp Correspondencia-Malote (Realizado)</v>
          </cell>
          <cell r="K384">
            <v>-9.8000000000000007</v>
          </cell>
          <cell r="L384">
            <v>-70.3</v>
          </cell>
        </row>
        <row r="385">
          <cell r="I385" t="str">
            <v>3173501020 Desp Correspondencia-Postais (Realizado)</v>
          </cell>
          <cell r="K385">
            <v>-6.1</v>
          </cell>
          <cell r="L385">
            <v>-4.5</v>
          </cell>
        </row>
        <row r="386">
          <cell r="I386" t="str">
            <v>3173505010 Desp Telec-Desp c/Telefonia Fixa (Realizado)</v>
          </cell>
          <cell r="K386">
            <v>0.20000000000000018</v>
          </cell>
          <cell r="L386">
            <v>12.2</v>
          </cell>
        </row>
        <row r="387">
          <cell r="I387" t="str">
            <v>3173505020 Desp Telec-Desp c/Telefonia Movel (Realizado)</v>
          </cell>
          <cell r="K387">
            <v>-44.3</v>
          </cell>
          <cell r="L387">
            <v>-27.9</v>
          </cell>
        </row>
        <row r="388">
          <cell r="I388" t="str">
            <v>3173505030 Desp Telec-Desp Comun Dados EC/FC Internet(Realiz)</v>
          </cell>
          <cell r="K388">
            <v>-43</v>
          </cell>
          <cell r="L388">
            <v>-42.8</v>
          </cell>
        </row>
        <row r="389">
          <cell r="I389" t="str">
            <v>3173505040 Desp Telec-Desp Comum Dados Internet (Realizado)</v>
          </cell>
          <cell r="K389">
            <v>-18.100000000000001</v>
          </cell>
          <cell r="L389">
            <v>-24.299999999999997</v>
          </cell>
        </row>
        <row r="390">
          <cell r="I390" t="str">
            <v>3173505050 Desp Telec-Desp Comum Dados Subestaçao (Realizado)</v>
          </cell>
          <cell r="K390">
            <v>0</v>
          </cell>
          <cell r="L390">
            <v>0</v>
          </cell>
        </row>
        <row r="391">
          <cell r="I391" t="str">
            <v>3173505060 Desp Telec-Desp Comum Dados Banda Larga(Realizado)</v>
          </cell>
          <cell r="K391">
            <v>-1.4</v>
          </cell>
          <cell r="L391">
            <v>-1.5</v>
          </cell>
        </row>
        <row r="392">
          <cell r="I392" t="str">
            <v>3173505070 Desp Telec-Desp Comum Dados Video Conferen(Realiz)</v>
          </cell>
          <cell r="K392">
            <v>-1.9999999999999998</v>
          </cell>
          <cell r="L392">
            <v>-1.6</v>
          </cell>
        </row>
        <row r="393">
          <cell r="I393" t="str">
            <v>3174001010 DLF-Desp c/Publicidade Atas e Balanços (Realizado)</v>
          </cell>
          <cell r="K393">
            <v>-26.9</v>
          </cell>
          <cell r="L393">
            <v>-0.2</v>
          </cell>
        </row>
        <row r="394">
          <cell r="I394" t="str">
            <v>3174001020 DLF-Desp Escritur Procuraçoes e Contratos (Realiz)</v>
          </cell>
          <cell r="K394">
            <v>-99.7</v>
          </cell>
          <cell r="L394">
            <v>99.5</v>
          </cell>
        </row>
        <row r="395">
          <cell r="I395" t="str">
            <v>3174001030 DLF-Desp Autenticidade Reconhecde Firmas (Realiz)</v>
          </cell>
          <cell r="K395">
            <v>-8.1</v>
          </cell>
          <cell r="L395">
            <v>-5.2</v>
          </cell>
        </row>
        <row r="396">
          <cell r="I396" t="str">
            <v>3174001040 DLF-Desp c/ Custas Judiciais (Realizado)</v>
          </cell>
          <cell r="K396">
            <v>-25.200000000000003</v>
          </cell>
          <cell r="L396">
            <v>0</v>
          </cell>
        </row>
        <row r="397">
          <cell r="I397" t="str">
            <v>3174001990 DLF-Outras Despesas Legais (Realizado)</v>
          </cell>
          <cell r="K397">
            <v>-54.099999999999994</v>
          </cell>
          <cell r="L397">
            <v>-3.3</v>
          </cell>
        </row>
        <row r="398">
          <cell r="I398" t="str">
            <v>3174002010 DITC-Contribuiçao Sindical Patronal (Realizado)</v>
          </cell>
          <cell r="K398">
            <v>-3.3</v>
          </cell>
          <cell r="L398">
            <v>0</v>
          </cell>
        </row>
        <row r="399">
          <cell r="I399" t="str">
            <v>3174002020 DITC-Predial e Territorial (Realizado)</v>
          </cell>
          <cell r="K399">
            <v>-563.09999999999991</v>
          </cell>
          <cell r="L399">
            <v>-563.09999999999991</v>
          </cell>
        </row>
        <row r="400">
          <cell r="I400" t="str">
            <v>3174002021 DITC-Provisao Imposto Predial Territorial (Realiz)</v>
          </cell>
          <cell r="K400">
            <v>-38.099999999999994</v>
          </cell>
          <cell r="L400">
            <v>-38.099999999999994</v>
          </cell>
        </row>
        <row r="401">
          <cell r="I401" t="str">
            <v>3174002030 DITC-Licença e Funcionamento (Realizado)</v>
          </cell>
          <cell r="K401">
            <v>-2.7</v>
          </cell>
          <cell r="L401">
            <v>-8.1000000000000014</v>
          </cell>
        </row>
        <row r="402">
          <cell r="I402" t="str">
            <v>3174002040 DITC-ICMS s/Aquisiçao de Imobilizado (Realizado)</v>
          </cell>
          <cell r="K402">
            <v>-1.7</v>
          </cell>
          <cell r="L402">
            <v>-2.4000000000000004</v>
          </cell>
        </row>
        <row r="403">
          <cell r="I403" t="str">
            <v>3174002050 DITC-ICMS-Debitos Extemporaneos (Realizado)</v>
          </cell>
          <cell r="K403">
            <v>0</v>
          </cell>
          <cell r="L403">
            <v>0</v>
          </cell>
        </row>
        <row r="404">
          <cell r="I404" t="str">
            <v>3174002060 DITC-Txs Municipais,Estaduais,Federais (Realizado)</v>
          </cell>
          <cell r="K404">
            <v>-4.7</v>
          </cell>
          <cell r="L404">
            <v>0</v>
          </cell>
        </row>
        <row r="405">
          <cell r="I405" t="str">
            <v>3174003010 Multas Fiscais Indedutiveis (Realizado)</v>
          </cell>
          <cell r="K405">
            <v>0</v>
          </cell>
          <cell r="L405">
            <v>-5.0999999999999996</v>
          </cell>
        </row>
        <row r="406">
          <cell r="I406" t="str">
            <v>3174003020 Multas Fiscais Dedutiveis (Realizado)</v>
          </cell>
          <cell r="K406">
            <v>0</v>
          </cell>
          <cell r="L406">
            <v>0</v>
          </cell>
        </row>
        <row r="407">
          <cell r="I407" t="str">
            <v>3174003030 Multas Contratuais (Realizado)</v>
          </cell>
          <cell r="K407">
            <v>0</v>
          </cell>
          <cell r="L407">
            <v>0</v>
          </cell>
        </row>
        <row r="408">
          <cell r="I408" t="str">
            <v>3175001010 Desp Seguro-Automoveis (Realizado)</v>
          </cell>
          <cell r="K408">
            <v>-13.1</v>
          </cell>
          <cell r="L408">
            <v>-12</v>
          </cell>
        </row>
        <row r="409">
          <cell r="I409" t="str">
            <v>3175001020 Desp Seguro-Responsabilidade Civil (Realizado)</v>
          </cell>
          <cell r="K409">
            <v>-173.7</v>
          </cell>
          <cell r="L409">
            <v>-163</v>
          </cell>
        </row>
        <row r="410">
          <cell r="I410" t="str">
            <v>3175001030 Desp Seguro-Risco Nomeado (Realizado)</v>
          </cell>
          <cell r="K410">
            <v>-440.09999999999997</v>
          </cell>
          <cell r="L410">
            <v>-440.09999999999997</v>
          </cell>
        </row>
        <row r="411">
          <cell r="I411" t="str">
            <v>3175001040 Desp Seguro-Riscos Diversos (Realizado)</v>
          </cell>
          <cell r="K411">
            <v>-1.5</v>
          </cell>
          <cell r="L411">
            <v>-1.5</v>
          </cell>
        </row>
        <row r="412">
          <cell r="I412" t="str">
            <v>3175001050 Desp Seguro-Ambiental (Realizado)</v>
          </cell>
          <cell r="K412">
            <v>-44.7</v>
          </cell>
          <cell r="L412">
            <v>-60</v>
          </cell>
        </row>
        <row r="413">
          <cell r="I413" t="str">
            <v>3176001010 Desp Real Even-Semi Fora da Cia Gestao (Realizado)</v>
          </cell>
          <cell r="K413">
            <v>-8.9</v>
          </cell>
          <cell r="L413">
            <v>0</v>
          </cell>
        </row>
        <row r="414">
          <cell r="I414" t="str">
            <v>3176001020 Desp Reali Eventos-Eventos Gestao (Realizado)</v>
          </cell>
          <cell r="K414">
            <v>0</v>
          </cell>
          <cell r="L414">
            <v>-3.3</v>
          </cell>
        </row>
        <row r="415">
          <cell r="I415" t="str">
            <v>3176002010 Desp Eventos Marketing (Realizado)</v>
          </cell>
          <cell r="K415">
            <v>-0.3</v>
          </cell>
          <cell r="L415">
            <v>0</v>
          </cell>
        </row>
        <row r="416">
          <cell r="I416" t="str">
            <v>3176002020 Desp c/Marketing-Relaçoes Publicas (Realizado)</v>
          </cell>
          <cell r="K416">
            <v>-25.599999999999998</v>
          </cell>
          <cell r="L416">
            <v>-190.2</v>
          </cell>
        </row>
        <row r="417">
          <cell r="I417" t="str">
            <v>3176002030 Desp c/Marketing-Patrocinios (Realizado)</v>
          </cell>
          <cell r="K417">
            <v>-8.3999999999999986</v>
          </cell>
          <cell r="L417">
            <v>-8.3999999999999986</v>
          </cell>
        </row>
        <row r="418">
          <cell r="I418" t="str">
            <v>3176002040 Desp c/Marketing-Programa Fabrica Aberta (Realiz)</v>
          </cell>
          <cell r="K418">
            <v>-1.3</v>
          </cell>
          <cell r="L418">
            <v>-23.9</v>
          </cell>
        </row>
        <row r="419">
          <cell r="I419" t="str">
            <v>3177002020 EPCT-Estudos de Engenharia(Realizado)</v>
          </cell>
          <cell r="K419">
            <v>-6.9</v>
          </cell>
          <cell r="L419">
            <v>-13.8</v>
          </cell>
        </row>
        <row r="420">
          <cell r="I420" t="str">
            <v>3178001010 DPC Ind-Carater Cultural, Artistico Lei 8313/91(R)</v>
          </cell>
          <cell r="K420">
            <v>0</v>
          </cell>
          <cell r="L420">
            <v>0</v>
          </cell>
        </row>
        <row r="421">
          <cell r="I421" t="str">
            <v>3178001990 DPC Ind-Outras Contrib/Doaçoes Indeduts (Realiz)</v>
          </cell>
          <cell r="K421">
            <v>-12.6</v>
          </cell>
          <cell r="L421">
            <v>-12.9</v>
          </cell>
        </row>
        <row r="422">
          <cell r="I422" t="str">
            <v>3178002050 DPC Ded-Contrib a Entidades de Classes (Realizado)</v>
          </cell>
          <cell r="K422">
            <v>-355.1</v>
          </cell>
          <cell r="L422">
            <v>-244.5</v>
          </cell>
        </row>
        <row r="423">
          <cell r="I423" t="str">
            <v>3178002990 DPC Ded-Outras Contrib e Doaçoes Dedutivs (Realiz)</v>
          </cell>
          <cell r="K423">
            <v>-35</v>
          </cell>
          <cell r="L423">
            <v>0</v>
          </cell>
        </row>
        <row r="424">
          <cell r="I424" t="str">
            <v>3179905030 Desp Alug/Loc.Oper-Loc Equiptos Escritorio(Realiz)</v>
          </cell>
          <cell r="K424">
            <v>0</v>
          </cell>
          <cell r="L424">
            <v>0</v>
          </cell>
        </row>
        <row r="425">
          <cell r="I425" t="str">
            <v>3179905040 Desp Alug/Loc.Oper-Equip Impressao/Copias(Realiz)</v>
          </cell>
          <cell r="K425">
            <v>-62.7</v>
          </cell>
          <cell r="L425">
            <v>-53.599999999999994</v>
          </cell>
        </row>
        <row r="426">
          <cell r="I426" t="str">
            <v>3179905050 Desp Alug/Loc.Oper-Loc de Equip Telefonia(Realiz)</v>
          </cell>
          <cell r="K426">
            <v>-10.9</v>
          </cell>
          <cell r="L426">
            <v>-45.3</v>
          </cell>
        </row>
        <row r="427">
          <cell r="I427" t="str">
            <v>3179905100 Desp Alug/Loc.Oper-Aluguel de Imovel (Realizado)</v>
          </cell>
          <cell r="K427">
            <v>-309.29999999999995</v>
          </cell>
          <cell r="L427">
            <v>-306</v>
          </cell>
        </row>
        <row r="428">
          <cell r="I428" t="str">
            <v>3179910010 Assin L.IT.J.R-Ass de Jornais e Revistas (Realiz)</v>
          </cell>
          <cell r="K428">
            <v>-1.6</v>
          </cell>
          <cell r="L428">
            <v>-3.4999999999999996</v>
          </cell>
        </row>
        <row r="429">
          <cell r="I429" t="str">
            <v>3179910030 Assin L.IT.J.R-Ass Livros/Inform Tecnicos (Realiz)</v>
          </cell>
          <cell r="K429">
            <v>-45.5</v>
          </cell>
          <cell r="L429">
            <v>-43.300000000000004</v>
          </cell>
        </row>
        <row r="430">
          <cell r="I430" t="str">
            <v>3179915010 Desp c/Impressao e Copias fora da Cia (Realizado)</v>
          </cell>
          <cell r="K430">
            <v>0</v>
          </cell>
          <cell r="L430">
            <v>0</v>
          </cell>
        </row>
        <row r="431">
          <cell r="I431" t="str">
            <v>3179920010 Desp c/Veiculos-Abastecimento (Realizado)</v>
          </cell>
          <cell r="K431">
            <v>-13.5</v>
          </cell>
          <cell r="L431">
            <v>-14.100000000000001</v>
          </cell>
        </row>
        <row r="432">
          <cell r="I432" t="str">
            <v>3179920020 Desp c/Veiculos-Reparos e Manutençoes (Realizado)</v>
          </cell>
          <cell r="K432">
            <v>-2.2999999999999998</v>
          </cell>
          <cell r="L432">
            <v>-1.4</v>
          </cell>
        </row>
        <row r="433">
          <cell r="I433" t="str">
            <v>3179920030 Desp c/Veiculos-Peças e Acessorios (Realizado)</v>
          </cell>
          <cell r="K433">
            <v>-3.4</v>
          </cell>
          <cell r="L433">
            <v>-3.1999999999999997</v>
          </cell>
        </row>
        <row r="434">
          <cell r="I434" t="str">
            <v>3179920040 Desp c/Veiculos-Lavagem e Lubrificaçao (Realizado)</v>
          </cell>
          <cell r="K434">
            <v>-0.8</v>
          </cell>
          <cell r="L434">
            <v>-0.6</v>
          </cell>
        </row>
        <row r="435">
          <cell r="I435" t="str">
            <v>3179920050 Desp c/Veiculos-Pedagio e Estacionam (Realizado)</v>
          </cell>
          <cell r="K435">
            <v>-18.5</v>
          </cell>
          <cell r="L435">
            <v>-18.399999999999999</v>
          </cell>
        </row>
        <row r="436">
          <cell r="I436" t="str">
            <v>3179920060 Desp c/Veiculos-Licenciamento (Realizado)</v>
          </cell>
          <cell r="K436">
            <v>-41.7</v>
          </cell>
          <cell r="L436">
            <v>-2.9000000000000004</v>
          </cell>
        </row>
        <row r="437">
          <cell r="A437" t="str">
            <v>3.04.04</v>
          </cell>
          <cell r="G437" t="str">
            <v>Outras despesas / receitas operacionais</v>
          </cell>
          <cell r="K437">
            <v>-3150.5</v>
          </cell>
          <cell r="L437">
            <v>-281.59999999999997</v>
          </cell>
        </row>
        <row r="438">
          <cell r="H438" t="str">
            <v>Outras receitas operacionais</v>
          </cell>
          <cell r="K438">
            <v>71.000000000000014</v>
          </cell>
          <cell r="L438">
            <v>-42.3</v>
          </cell>
        </row>
        <row r="439">
          <cell r="I439" t="str">
            <v>3310101010 Receita c/Dividendos Recebidos (Realizado)</v>
          </cell>
          <cell r="K439">
            <v>0.6</v>
          </cell>
          <cell r="L439">
            <v>12.4</v>
          </cell>
        </row>
        <row r="440">
          <cell r="I440" t="str">
            <v>3310105010 Res Liq Bx At Fixo-Rec Alienaç B/D At.Perman (R)</v>
          </cell>
          <cell r="K440">
            <v>17.8</v>
          </cell>
          <cell r="L440">
            <v>1.5</v>
          </cell>
        </row>
        <row r="441">
          <cell r="I441" t="str">
            <v>3310105020 (-)R Liq Bx At Fix-Vlr Contabil B/D Baixados (R)</v>
          </cell>
          <cell r="K441">
            <v>-82.600000000000009</v>
          </cell>
          <cell r="L441">
            <v>-48.999999999999993</v>
          </cell>
        </row>
        <row r="442">
          <cell r="I442" t="str">
            <v>3310105021 (-)R Liq Bx A Fix-Vr Contab B/D Baixados MV(R)</v>
          </cell>
          <cell r="K442">
            <v>-14.7</v>
          </cell>
          <cell r="L442">
            <v>-3.7</v>
          </cell>
        </row>
        <row r="443">
          <cell r="I443" t="str">
            <v>3310105022 (-)R Liq Bx A Fix-Vr Contab B/D Baixados MVCN(R)</v>
          </cell>
          <cell r="K443">
            <v>-14.7</v>
          </cell>
          <cell r="L443">
            <v>-3.7</v>
          </cell>
        </row>
        <row r="444">
          <cell r="I444" t="str">
            <v>3310105024 (-)R Liq Bx A Fix-Vr Contab B/D Baixados AVP(R)</v>
          </cell>
          <cell r="K444">
            <v>0</v>
          </cell>
          <cell r="L444">
            <v>0</v>
          </cell>
        </row>
        <row r="445">
          <cell r="I445" t="str">
            <v>3310105030 Outros Custos dos Bens e Direitos Alienados (R)</v>
          </cell>
          <cell r="K445">
            <v>0</v>
          </cell>
          <cell r="L445">
            <v>0</v>
          </cell>
        </row>
        <row r="446">
          <cell r="I446" t="str">
            <v>3310108990 Outros Imposto Recuperados (Realizado)</v>
          </cell>
          <cell r="K446">
            <v>0</v>
          </cell>
          <cell r="L446">
            <v>0</v>
          </cell>
        </row>
        <row r="447">
          <cell r="I447" t="str">
            <v>3310115010 Sinistros Indenizado (Realizado)</v>
          </cell>
          <cell r="K447">
            <v>0</v>
          </cell>
          <cell r="L447">
            <v>0</v>
          </cell>
        </row>
        <row r="448">
          <cell r="I448" t="str">
            <v>3310115020 Sinistro nao Indenizado (Realizados)</v>
          </cell>
          <cell r="K448">
            <v>0</v>
          </cell>
          <cell r="L448">
            <v>0</v>
          </cell>
        </row>
        <row r="449">
          <cell r="I449" t="str">
            <v>3310109990 Multas Contratuais Aplicadas</v>
          </cell>
          <cell r="K449">
            <v>164.7</v>
          </cell>
          <cell r="L449">
            <v>0</v>
          </cell>
        </row>
        <row r="450">
          <cell r="I450" t="str">
            <v>3310204010 Dividendos Próprios Não Realizados</v>
          </cell>
        </row>
        <row r="451">
          <cell r="H451" t="str">
            <v>Outras despesas operacionais</v>
          </cell>
          <cell r="K451">
            <v>-3221.6</v>
          </cell>
          <cell r="L451">
            <v>-239.20000000000005</v>
          </cell>
        </row>
        <row r="452">
          <cell r="I452" t="str">
            <v>3310110010 Desp c/Proc Jud-Tributarios (Realizado)</v>
          </cell>
          <cell r="K452">
            <v>-143.69999999999999</v>
          </cell>
          <cell r="L452">
            <v>-6.8</v>
          </cell>
        </row>
        <row r="453">
          <cell r="I453" t="str">
            <v>3310110011 Desp c/Proc Jud-Constit Contingencias Tributarias</v>
          </cell>
          <cell r="K453">
            <v>0</v>
          </cell>
          <cell r="L453">
            <v>-35.200000000000003</v>
          </cell>
        </row>
        <row r="454">
          <cell r="I454" t="str">
            <v>3310110012 Desp c/Proc Jud-Reversao Contingencias Tributárias</v>
          </cell>
          <cell r="K454">
            <v>0</v>
          </cell>
          <cell r="L454">
            <v>185.1</v>
          </cell>
        </row>
        <row r="455">
          <cell r="I455" t="str">
            <v>3310110015 Desp c/Proc Jud-Tributarios (Recuperado)</v>
          </cell>
          <cell r="K455">
            <v>0</v>
          </cell>
          <cell r="L455">
            <v>1.6</v>
          </cell>
        </row>
        <row r="456">
          <cell r="I456" t="str">
            <v>3310110020 Desp c/Proc Trabalhista (Realizado)</v>
          </cell>
          <cell r="K456">
            <v>0</v>
          </cell>
          <cell r="L456">
            <v>-2</v>
          </cell>
        </row>
        <row r="457">
          <cell r="I457" t="str">
            <v>3310110021 Desp c/Proc Trab-Constit Contingenc Trabalhistas</v>
          </cell>
          <cell r="K457">
            <v>-1803.1</v>
          </cell>
          <cell r="L457">
            <v>-861.5</v>
          </cell>
        </row>
        <row r="458">
          <cell r="I458" t="str">
            <v>3310110031 Desp c/Proc Civeis-Constit Contingencias Civeis</v>
          </cell>
          <cell r="K458">
            <v>-748.3</v>
          </cell>
          <cell r="L458">
            <v>678.5</v>
          </cell>
        </row>
        <row r="459">
          <cell r="I459" t="str">
            <v>3310110032 Desp c/Proc Civeis-Rev de Contingencias Civeis</v>
          </cell>
          <cell r="K459">
            <v>0</v>
          </cell>
          <cell r="L459">
            <v>0</v>
          </cell>
        </row>
        <row r="460">
          <cell r="I460" t="str">
            <v>3310110022 Desp c/Proc Trab-Rev Contingencia Trabalhistas</v>
          </cell>
          <cell r="K460">
            <v>0</v>
          </cell>
          <cell r="L460">
            <v>0</v>
          </cell>
        </row>
        <row r="461">
          <cell r="I461" t="str">
            <v>3310140010 Desp n Cor Multas Indedutiveis (Realizado)</v>
          </cell>
          <cell r="K461">
            <v>-295.90000000000003</v>
          </cell>
          <cell r="L461">
            <v>-60.099999999999994</v>
          </cell>
        </row>
        <row r="462">
          <cell r="I462" t="str">
            <v>3310190010 Perdas Operacoes de Credito Incobraveis (Realiz)</v>
          </cell>
          <cell r="K462">
            <v>-600.9</v>
          </cell>
          <cell r="L462">
            <v>0</v>
          </cell>
        </row>
        <row r="463">
          <cell r="I463" t="str">
            <v>3310190011 Provisao Perdas em Opercao Credito-PCLD</v>
          </cell>
          <cell r="K463">
            <v>-193.2</v>
          </cell>
          <cell r="L463">
            <v>-138.70000000000002</v>
          </cell>
        </row>
        <row r="464">
          <cell r="I464" t="str">
            <v>3310190012 Reversap Provisao p/ Perdas Operacoes Cred-PCLD</v>
          </cell>
          <cell r="K464">
            <v>563.6</v>
          </cell>
          <cell r="L464">
            <v>0</v>
          </cell>
        </row>
        <row r="465">
          <cell r="A465" t="str">
            <v>3.04.06</v>
          </cell>
          <cell r="G465" t="str">
            <v>Resultado de equivalência patrimonial</v>
          </cell>
          <cell r="K465">
            <v>-8922.9</v>
          </cell>
          <cell r="L465">
            <v>0</v>
          </cell>
        </row>
        <row r="466">
          <cell r="H466" t="str">
            <v>3310201010 Result Positivo Participacoes Societarias (R)</v>
          </cell>
          <cell r="K466">
            <v>0</v>
          </cell>
          <cell r="L466">
            <v>0</v>
          </cell>
        </row>
        <row r="467">
          <cell r="H467" t="str">
            <v>3310201020 Result Negativo Paticipacoes Societarias (R)</v>
          </cell>
          <cell r="K467">
            <v>-8922.9</v>
          </cell>
          <cell r="L467">
            <v>0</v>
          </cell>
        </row>
        <row r="468">
          <cell r="A468" t="str">
            <v>3.06</v>
          </cell>
          <cell r="E468" t="str">
            <v>Resultado financeiro</v>
          </cell>
          <cell r="K468">
            <v>-13762</v>
          </cell>
          <cell r="L468">
            <v>-14612.7</v>
          </cell>
        </row>
        <row r="469">
          <cell r="A469" t="str">
            <v>3.06.01</v>
          </cell>
          <cell r="F469" t="str">
            <v>Receitas financeiras</v>
          </cell>
          <cell r="K469">
            <v>9083.2999999999993</v>
          </cell>
          <cell r="L469">
            <v>10031.5</v>
          </cell>
        </row>
        <row r="470">
          <cell r="G470" t="str">
            <v>Receita de equivalentes de caixa e TVM</v>
          </cell>
          <cell r="K470">
            <v>7909.3</v>
          </cell>
          <cell r="L470">
            <v>8795.2999999999993</v>
          </cell>
        </row>
        <row r="471">
          <cell r="H471" t="str">
            <v>3510101010 Rec Financ-Juros s/Aplic Financeiras (Realizado)</v>
          </cell>
          <cell r="K471">
            <v>7909.3</v>
          </cell>
          <cell r="L471">
            <v>8795.2999999999993</v>
          </cell>
        </row>
        <row r="472">
          <cell r="G472" t="str">
            <v>Variações cambiais ativas s/contr camb exter</v>
          </cell>
          <cell r="K472">
            <v>35.6</v>
          </cell>
          <cell r="L472">
            <v>46.8</v>
          </cell>
        </row>
        <row r="473">
          <cell r="H473" t="str">
            <v>3530101010 Var C Liq At-Ganho Var Camb s/Receb Exterior (R)</v>
          </cell>
          <cell r="K473">
            <v>35.6</v>
          </cell>
          <cell r="L473">
            <v>48.7</v>
          </cell>
        </row>
        <row r="474">
          <cell r="H474" t="str">
            <v>3530101020 Var C Liq At-Perda Var Camb s/Receb Exterior (R)</v>
          </cell>
          <cell r="K474">
            <v>0</v>
          </cell>
          <cell r="L474">
            <v>-2</v>
          </cell>
        </row>
        <row r="475">
          <cell r="G475" t="str">
            <v>Outras receitas financeiras</v>
          </cell>
          <cell r="K475">
            <v>1138.3</v>
          </cell>
          <cell r="L475">
            <v>1189.5</v>
          </cell>
        </row>
        <row r="476">
          <cell r="H476" t="str">
            <v>3510101090 Rec Financ-Juros s/Capital Proprio (Realizado)</v>
          </cell>
          <cell r="K476">
            <v>29.400000000000002</v>
          </cell>
          <cell r="L476">
            <v>21.6</v>
          </cell>
        </row>
        <row r="477">
          <cell r="H477" t="str">
            <v>3510101990 Rec Financ-Juros s/Outros Ativos (Realizado)</v>
          </cell>
          <cell r="K477">
            <v>4</v>
          </cell>
          <cell r="L477">
            <v>2.6</v>
          </cell>
        </row>
        <row r="478">
          <cell r="H478" t="str">
            <v>3510102010 Rec Financ-Var Monet s/Deposit Judic (Realizado)</v>
          </cell>
          <cell r="K478">
            <v>2.6</v>
          </cell>
          <cell r="L478">
            <v>0</v>
          </cell>
        </row>
        <row r="479">
          <cell r="H479" t="str">
            <v>3510102011 Rec Financ-Prov Var Monet s/ Depositos Judiciais</v>
          </cell>
          <cell r="K479">
            <v>720.8</v>
          </cell>
          <cell r="L479">
            <v>776.6</v>
          </cell>
        </row>
        <row r="480">
          <cell r="H480" t="str">
            <v>3510102020 Rec Financ-Var Monet s/Impostos a Recup. (Realiza)</v>
          </cell>
          <cell r="K480">
            <v>66.800000000000011</v>
          </cell>
          <cell r="L480">
            <v>71.5</v>
          </cell>
        </row>
        <row r="481">
          <cell r="H481" t="str">
            <v>3510102990 Rec Finan-Var Monetaria s/Outros Ativos(Realizado)</v>
          </cell>
          <cell r="K481">
            <v>112.4</v>
          </cell>
          <cell r="L481">
            <v>118.9</v>
          </cell>
        </row>
        <row r="482">
          <cell r="H482" t="str">
            <v>3510103010 Rec Financ-Encargos s/Cobrança Duplic(Realizado)</v>
          </cell>
          <cell r="K482">
            <v>66.400000000000006</v>
          </cell>
          <cell r="L482">
            <v>82.7</v>
          </cell>
        </row>
        <row r="483">
          <cell r="H483" t="str">
            <v>3510103030 Rec Financ-Descontos Obtidos (Realizado)</v>
          </cell>
          <cell r="K483">
            <v>17.3</v>
          </cell>
          <cell r="L483">
            <v>9.6</v>
          </cell>
        </row>
        <row r="484">
          <cell r="H484" t="str">
            <v>3510103040 Encargos s/ Bonificação Refis</v>
          </cell>
          <cell r="K484">
            <v>0</v>
          </cell>
          <cell r="L484">
            <v>0</v>
          </cell>
        </row>
        <row r="485">
          <cell r="H485" t="str">
            <v>3510105010 Rec Financ-Bonificaçoes s/Adm Apolice (Realizado)</v>
          </cell>
          <cell r="K485">
            <v>0.30000000000000004</v>
          </cell>
          <cell r="L485">
            <v>0.5</v>
          </cell>
        </row>
        <row r="486">
          <cell r="H486" t="str">
            <v>3510105020 Rec Financ-Bonificações s/ Pagamentos (Realizado)</v>
          </cell>
          <cell r="K486">
            <v>0</v>
          </cell>
          <cell r="L486">
            <v>0</v>
          </cell>
        </row>
        <row r="487">
          <cell r="H487" t="str">
            <v>3510106014 Rec Financ-Cont.AVP/ICMS Recup s/Aquis de At.Fixo</v>
          </cell>
          <cell r="K487">
            <v>104.00000000000001</v>
          </cell>
          <cell r="L487">
            <v>100.6</v>
          </cell>
        </row>
        <row r="488">
          <cell r="H488" t="str">
            <v>3510199990 Rec Financ-Demais Receitas Financeiras (Realizado)</v>
          </cell>
          <cell r="K488">
            <v>14.1</v>
          </cell>
          <cell r="L488">
            <v>4.9000000000000004</v>
          </cell>
        </row>
        <row r="489">
          <cell r="A489" t="str">
            <v>3.06.02</v>
          </cell>
          <cell r="F489" t="str">
            <v>Despesas financeiras</v>
          </cell>
          <cell r="K489">
            <v>-22845.3</v>
          </cell>
          <cell r="L489">
            <v>-24644.199999999997</v>
          </cell>
        </row>
        <row r="490">
          <cell r="G490" t="str">
            <v>Juros de empréstimos e financiamentos</v>
          </cell>
          <cell r="K490">
            <v>-21104.7</v>
          </cell>
          <cell r="L490">
            <v>-23232.199999999997</v>
          </cell>
        </row>
        <row r="491">
          <cell r="H491" t="str">
            <v>3510201010 (-)Desp Financ-Juros s/Emprestimos (Realizado)</v>
          </cell>
          <cell r="K491">
            <v>-21104.7</v>
          </cell>
          <cell r="L491">
            <v>-23232.199999999997</v>
          </cell>
        </row>
        <row r="492">
          <cell r="G492" t="str">
            <v>Variações cambiais passivas sobre empréstimos</v>
          </cell>
          <cell r="K492">
            <v>-1473.7</v>
          </cell>
          <cell r="L492">
            <v>282.3</v>
          </cell>
        </row>
        <row r="493">
          <cell r="H493" t="str">
            <v>3530102030 Var C Liq Pas-Ganho Var Camb s/Empres Exterior(R)</v>
          </cell>
        </row>
        <row r="494">
          <cell r="H494" t="str">
            <v>3530102040 Var C Liq Pas-Perda Va rCamb s/Empres Exterior(R)</v>
          </cell>
          <cell r="K494">
            <v>-1473.7</v>
          </cell>
          <cell r="L494">
            <v>-462.9</v>
          </cell>
        </row>
        <row r="495">
          <cell r="G495" t="str">
            <v>Variações cambiais passivas s/ exig. exterior</v>
          </cell>
          <cell r="K495">
            <v>548.29999999999995</v>
          </cell>
          <cell r="L495">
            <v>-43</v>
          </cell>
        </row>
        <row r="496">
          <cell r="H496" t="str">
            <v>3530102010 Var C Liq Pas-Ganho Var Camb s/Exigiv Exterior(R)</v>
          </cell>
          <cell r="K496">
            <v>668.3</v>
          </cell>
          <cell r="L496">
            <v>35.5</v>
          </cell>
        </row>
        <row r="497">
          <cell r="H497" t="str">
            <v>3530102020 Var C Liq Pas-Perda Var Camb s/Exigiv Exterior(R)</v>
          </cell>
          <cell r="K497">
            <v>-119.9</v>
          </cell>
          <cell r="L497">
            <v>-78.599999999999994</v>
          </cell>
        </row>
        <row r="498">
          <cell r="G498" t="str">
            <v>Outras despesas financeiras</v>
          </cell>
          <cell r="K498">
            <v>-815.2</v>
          </cell>
          <cell r="L498">
            <v>-1651.4</v>
          </cell>
        </row>
        <row r="499">
          <cell r="H499" t="str">
            <v>3510201020 (-)Desp Financ-Juros s/Pgtos em Atraso (Realizado)</v>
          </cell>
          <cell r="K499">
            <v>-25.5</v>
          </cell>
          <cell r="L499">
            <v>-5.5</v>
          </cell>
        </row>
        <row r="500">
          <cell r="H500" t="str">
            <v>3510201990 (-)Desp Financ-Juros s/Outros Passivos (Realizado)</v>
          </cell>
          <cell r="K500">
            <v>-1.3</v>
          </cell>
          <cell r="L500">
            <v>0</v>
          </cell>
        </row>
        <row r="501">
          <cell r="H501" t="str">
            <v>3510202020 Desp Financ-Var Monet s/Pgto em Atraso (Realizado)</v>
          </cell>
          <cell r="K501">
            <v>0</v>
          </cell>
          <cell r="L501">
            <v>-0.1</v>
          </cell>
        </row>
        <row r="502">
          <cell r="H502" t="str">
            <v>3510202030 Desp Financ-Var Monet s/Pgto Imposto em Atraso(R)</v>
          </cell>
          <cell r="K502">
            <v>0</v>
          </cell>
          <cell r="L502">
            <v>-0.2</v>
          </cell>
        </row>
        <row r="503">
          <cell r="H503" t="str">
            <v>3510202990 Desp Financ-Var Monet s/Outros Passivos(Realizado)</v>
          </cell>
          <cell r="K503">
            <v>-0.1</v>
          </cell>
          <cell r="L503">
            <v>0</v>
          </cell>
        </row>
        <row r="504">
          <cell r="H504" t="str">
            <v>3510202991 Desp Financ-Prov Var Monetaria s/Contingencias</v>
          </cell>
          <cell r="K504">
            <v>-49</v>
          </cell>
          <cell r="L504">
            <v>-1438</v>
          </cell>
        </row>
        <row r="505">
          <cell r="H505" t="str">
            <v>3510203010 Desp Financ-Encarg/Outros-Desc Concedidos(Realiz)</v>
          </cell>
          <cell r="K505">
            <v>0</v>
          </cell>
          <cell r="L505">
            <v>0</v>
          </cell>
        </row>
        <row r="506">
          <cell r="H506" t="str">
            <v>3510203020 Desp Financ-Encarg/Outros-Custas Judiciais(Realiz)</v>
          </cell>
          <cell r="K506">
            <v>-0.5</v>
          </cell>
          <cell r="L506">
            <v>0</v>
          </cell>
        </row>
        <row r="507">
          <cell r="H507" t="str">
            <v>3510203500 Desp Financ-Encarg/Outros-I.O.C / I.O.F(Realizado)</v>
          </cell>
          <cell r="K507">
            <v>-0.1</v>
          </cell>
          <cell r="L507">
            <v>-0.7</v>
          </cell>
        </row>
        <row r="508">
          <cell r="H508" t="str">
            <v>3510203504 Ajuste a Valor Justo</v>
          </cell>
          <cell r="K508">
            <v>0</v>
          </cell>
          <cell r="L508">
            <v>0</v>
          </cell>
        </row>
        <row r="509">
          <cell r="H509" t="str">
            <v>3510204010 Desp Financ-EFE-Comissoes s/Aquis Empres Amort(R)</v>
          </cell>
          <cell r="K509">
            <v>-551.40000000000009</v>
          </cell>
          <cell r="L509">
            <v>-7</v>
          </cell>
        </row>
        <row r="510">
          <cell r="H510" t="str">
            <v>3510204090 Desp Financ-EFE-Outros Enc s/Aquis Emprest(Realiz)</v>
          </cell>
        </row>
        <row r="511">
          <cell r="H511" t="str">
            <v>3510204014 Ajuste a Valor Justo</v>
          </cell>
          <cell r="K511">
            <v>0</v>
          </cell>
          <cell r="L511">
            <v>0</v>
          </cell>
        </row>
        <row r="512">
          <cell r="H512" t="str">
            <v>3510205010 Desp Financ-Bancarias-Comissoes (Ralizado)</v>
          </cell>
          <cell r="K512">
            <v>0</v>
          </cell>
          <cell r="L512">
            <v>0</v>
          </cell>
        </row>
        <row r="513">
          <cell r="H513" t="str">
            <v>3510205014 Ajuste a Valor Justo</v>
          </cell>
          <cell r="K513">
            <v>0</v>
          </cell>
          <cell r="L513">
            <v>0</v>
          </cell>
        </row>
        <row r="514">
          <cell r="H514" t="str">
            <v>3510205020 Desp Financ-Bancarias-Corretagens (Realiz)</v>
          </cell>
          <cell r="K514">
            <v>-1.2000000000000002</v>
          </cell>
          <cell r="L514">
            <v>-0.7</v>
          </cell>
        </row>
        <row r="515">
          <cell r="H515" t="str">
            <v>3510205030 Desp Financ-Bancarias-Comissoes Fiança (Realiz)</v>
          </cell>
          <cell r="K515">
            <v>-171.3</v>
          </cell>
          <cell r="L515">
            <v>-78.099999999999994</v>
          </cell>
        </row>
        <row r="516">
          <cell r="H516" t="str">
            <v>3510205040 Desp Financ-Bancaria-Txa Expediente (Realiz)</v>
          </cell>
          <cell r="K516">
            <v>-14.899999999999999</v>
          </cell>
          <cell r="L516">
            <v>-21.6</v>
          </cell>
        </row>
        <row r="517">
          <cell r="H517" t="str">
            <v>3510299990 Demais Despesas Financeiras (Realizado)</v>
          </cell>
          <cell r="K517">
            <v>0</v>
          </cell>
          <cell r="L517">
            <v>0</v>
          </cell>
        </row>
        <row r="518">
          <cell r="D518" t="str">
            <v>Imposto de renda e constribuição social</v>
          </cell>
          <cell r="K518">
            <v>-13549.2</v>
          </cell>
          <cell r="L518">
            <v>-14702.099999999999</v>
          </cell>
        </row>
        <row r="519">
          <cell r="A519" t="str">
            <v>3.08.01</v>
          </cell>
          <cell r="E519" t="str">
            <v>Corrente</v>
          </cell>
          <cell r="K519">
            <v>-14695.199999999999</v>
          </cell>
          <cell r="L519">
            <v>-15872.5</v>
          </cell>
        </row>
        <row r="520">
          <cell r="F520" t="str">
            <v>3910101011 (-)Prov CSLL/Exerc.Corrente-CSLL Ajustado (Realiz)</v>
          </cell>
          <cell r="K520">
            <v>-3823.8</v>
          </cell>
          <cell r="L520">
            <v>-4147.8</v>
          </cell>
        </row>
        <row r="521">
          <cell r="F521" t="str">
            <v>3910101014 (-)Prov CSLL/Exerc.Corrente-CSLL Aj Aliq Efet (Rea</v>
          </cell>
          <cell r="K521">
            <v>0</v>
          </cell>
          <cell r="L521">
            <v>0</v>
          </cell>
        </row>
        <row r="522">
          <cell r="F522" t="str">
            <v>3920101011 (-)Prov IRPJ/Exerc.Correne-IRPJ s/Lucro Real</v>
          </cell>
          <cell r="K522">
            <v>-10871.3</v>
          </cell>
          <cell r="L522">
            <v>-11724.6</v>
          </cell>
        </row>
        <row r="523">
          <cell r="F523" t="str">
            <v>3920101014 (-)Prov IRPJ/Exerc.Corrente Aj Aliq Efetiva (Reali</v>
          </cell>
          <cell r="K523">
            <v>0</v>
          </cell>
          <cell r="L523">
            <v>0</v>
          </cell>
        </row>
        <row r="524">
          <cell r="A524" t="str">
            <v>3.08.02</v>
          </cell>
          <cell r="E524" t="str">
            <v>Diferido</v>
          </cell>
          <cell r="K524">
            <v>1145.9000000000001</v>
          </cell>
          <cell r="L524">
            <v>1170.3</v>
          </cell>
        </row>
        <row r="525">
          <cell r="F525" t="str">
            <v>3910101021 (-)Prov CSLL/Exerc.Corrente-CSLL Diferido Ativos</v>
          </cell>
          <cell r="K525">
            <v>303.39999999999998</v>
          </cell>
          <cell r="L525">
            <v>309.8</v>
          </cell>
        </row>
        <row r="526">
          <cell r="F526" t="str">
            <v>3910101041 (-)Prov CSLL Diferida Base Negativa</v>
          </cell>
          <cell r="K526">
            <v>0</v>
          </cell>
          <cell r="L526">
            <v>0</v>
          </cell>
        </row>
        <row r="527">
          <cell r="F527" t="str">
            <v>3910102011 Prov CSLL/Exerc Ant-Prov CSLL Exerc Anterior</v>
          </cell>
          <cell r="K527">
            <v>0</v>
          </cell>
          <cell r="L527">
            <v>0</v>
          </cell>
        </row>
        <row r="528">
          <cell r="F528" t="str">
            <v>3920101021 (-)Prov IRPJ/Exerc.Corrente-IRPJ Diferido Ativos</v>
          </cell>
          <cell r="K528">
            <v>842.6</v>
          </cell>
          <cell r="L528">
            <v>860.59999999999991</v>
          </cell>
        </row>
        <row r="529">
          <cell r="F529" t="str">
            <v>3920101041 (-)Prov IRPJ Diferido Prej Fiscal</v>
          </cell>
          <cell r="K529">
            <v>0</v>
          </cell>
          <cell r="L529">
            <v>0</v>
          </cell>
        </row>
        <row r="530">
          <cell r="F530" t="str">
            <v>3920102011 Prov IRPJ/Exerc.Ant-Prov IRPJ Exerc Anterior</v>
          </cell>
          <cell r="K530">
            <v>0</v>
          </cell>
          <cell r="L530">
            <v>0</v>
          </cell>
        </row>
      </sheetData>
      <sheetData sheetId="30" refreshError="1">
        <row r="521">
          <cell r="A521" t="str">
            <v>6.01.01.01</v>
          </cell>
          <cell r="C521" t="str">
            <v>Lucro líquido do exercício</v>
          </cell>
          <cell r="G521">
            <v>16553.3</v>
          </cell>
          <cell r="H521">
            <v>44283</v>
          </cell>
        </row>
        <row r="522">
          <cell r="C522" t="str">
            <v>Ajustes ao lucro líquido</v>
          </cell>
        </row>
        <row r="523">
          <cell r="A523" t="str">
            <v>6.01.01.02</v>
          </cell>
          <cell r="C523" t="str">
            <v>Depreciação e amortização</v>
          </cell>
          <cell r="G523">
            <v>12744</v>
          </cell>
          <cell r="H523">
            <v>25721</v>
          </cell>
        </row>
        <row r="524">
          <cell r="A524" t="str">
            <v>6.01.01.03</v>
          </cell>
          <cell r="C524" t="str">
            <v>Resultado na alienação e baixas de ativos</v>
          </cell>
          <cell r="G524">
            <v>94.3</v>
          </cell>
          <cell r="H524">
            <v>149.1</v>
          </cell>
        </row>
        <row r="525">
          <cell r="A525" t="str">
            <v>6.01.01.04</v>
          </cell>
          <cell r="C525" t="str">
            <v>Provisão de Contingências Judiciais</v>
          </cell>
          <cell r="G525">
            <v>2551.4</v>
          </cell>
          <cell r="H525">
            <v>3069.4</v>
          </cell>
        </row>
        <row r="526">
          <cell r="A526" t="str">
            <v>6.01.01.05</v>
          </cell>
          <cell r="C526" t="str">
            <v>Reversão e baixas de depósitos e demandas Judiciais</v>
          </cell>
          <cell r="H526">
            <v>-16.2</v>
          </cell>
        </row>
        <row r="527">
          <cell r="A527" t="str">
            <v>6.01.01.06</v>
          </cell>
          <cell r="C527" t="str">
            <v>Variações monetárias para depósitos e demandas judiciais</v>
          </cell>
          <cell r="G527">
            <v>-674.5</v>
          </cell>
          <cell r="H527">
            <v>-13.1</v>
          </cell>
        </row>
        <row r="528">
          <cell r="A528" t="str">
            <v>6.01.01.07</v>
          </cell>
          <cell r="C528" t="str">
            <v>Provisão de Juros e outros encargos s/ empréstimos</v>
          </cell>
          <cell r="G528">
            <v>23058.3</v>
          </cell>
          <cell r="H528">
            <v>46112.9</v>
          </cell>
        </row>
        <row r="529">
          <cell r="A529" t="str">
            <v>6.01.01.08</v>
          </cell>
          <cell r="C529" t="str">
            <v>Provisão para crédito de liquidação duvidosa</v>
          </cell>
          <cell r="G529">
            <v>-370.4</v>
          </cell>
          <cell r="H529">
            <v>-231.7</v>
          </cell>
        </row>
        <row r="530">
          <cell r="A530" t="str">
            <v>6.01.01.09</v>
          </cell>
          <cell r="C530" t="str">
            <v>Provisão para ajuste de estoques a valores de mercado</v>
          </cell>
          <cell r="G530">
            <v>1102.8</v>
          </cell>
          <cell r="H530">
            <v>703</v>
          </cell>
        </row>
        <row r="531">
          <cell r="A531" t="str">
            <v>6.01.01.10</v>
          </cell>
          <cell r="C531" t="str">
            <v>Resultado de equivalência patrimonial</v>
          </cell>
          <cell r="G531">
            <v>8922.9</v>
          </cell>
          <cell r="H531">
            <v>8922.9</v>
          </cell>
        </row>
        <row r="532">
          <cell r="A532" t="str">
            <v>6.01.01.11</v>
          </cell>
          <cell r="C532" t="str">
            <v>Imposto de renda e contribuição social diferidos</v>
          </cell>
          <cell r="G532">
            <v>-1146</v>
          </cell>
          <cell r="H532">
            <v>-2316.3000000000002</v>
          </cell>
        </row>
        <row r="533">
          <cell r="A533" t="str">
            <v>6.01.01.12</v>
          </cell>
          <cell r="C533" t="str">
            <v>Rendimentos de aplicações financeiras - mantidas até o vencimento</v>
          </cell>
          <cell r="G533">
            <v>-2659.4</v>
          </cell>
          <cell r="H533">
            <v>-346.1</v>
          </cell>
        </row>
        <row r="534">
          <cell r="C534" t="str">
            <v>Participação em empresas controladas</v>
          </cell>
          <cell r="G534">
            <v>0</v>
          </cell>
          <cell r="H534">
            <v>0</v>
          </cell>
        </row>
        <row r="535">
          <cell r="A535" t="str">
            <v>6.01.01.14</v>
          </cell>
          <cell r="C535" t="str">
            <v>Outros</v>
          </cell>
          <cell r="G535">
            <v>0</v>
          </cell>
          <cell r="H535">
            <v>0</v>
          </cell>
        </row>
        <row r="536">
          <cell r="C536" t="str">
            <v xml:space="preserve"> </v>
          </cell>
          <cell r="G536">
            <v>60340.700000000004</v>
          </cell>
          <cell r="H536">
            <v>126037.9</v>
          </cell>
        </row>
        <row r="537">
          <cell r="C537" t="str">
            <v>Variações nos ativos e passivos</v>
          </cell>
        </row>
        <row r="538">
          <cell r="A538" t="str">
            <v>6.01.02.01</v>
          </cell>
          <cell r="C538" t="str">
            <v>Resgates de aplicações financeiras mantidas para negociação</v>
          </cell>
          <cell r="G538">
            <v>36601.800000000003</v>
          </cell>
          <cell r="H538">
            <v>110982.5</v>
          </cell>
        </row>
        <row r="539">
          <cell r="A539" t="str">
            <v>6.01.02.03</v>
          </cell>
          <cell r="C539" t="str">
            <v>Aplicações financeiras - mantidas para negociação</v>
          </cell>
          <cell r="G539">
            <v>-44837</v>
          </cell>
          <cell r="H539">
            <v>-114002</v>
          </cell>
        </row>
        <row r="540">
          <cell r="A540" t="str">
            <v>6.01.02.04</v>
          </cell>
          <cell r="C540" t="str">
            <v>Estoques</v>
          </cell>
          <cell r="G540">
            <v>3404.3</v>
          </cell>
          <cell r="H540">
            <v>-7424.2</v>
          </cell>
        </row>
        <row r="541">
          <cell r="A541" t="str">
            <v>6.01.02.05</v>
          </cell>
          <cell r="C541" t="str">
            <v>Duplicatas a receber de clientes</v>
          </cell>
          <cell r="G541">
            <v>-6866.2</v>
          </cell>
          <cell r="H541">
            <v>-4005.2</v>
          </cell>
        </row>
        <row r="542">
          <cell r="A542" t="str">
            <v>6.01.02.06</v>
          </cell>
          <cell r="C542" t="str">
            <v>Impostos a recuperar</v>
          </cell>
          <cell r="G542">
            <v>15583.2</v>
          </cell>
          <cell r="H542">
            <v>29962.2</v>
          </cell>
        </row>
        <row r="543">
          <cell r="A543" t="str">
            <v>6.01.02.07</v>
          </cell>
          <cell r="C543" t="str">
            <v>Outros ativos</v>
          </cell>
          <cell r="G543">
            <v>-2402.8000000000002</v>
          </cell>
          <cell r="H543">
            <v>-10247.5</v>
          </cell>
        </row>
        <row r="544">
          <cell r="A544" t="str">
            <v>6.01.02.08</v>
          </cell>
          <cell r="C544" t="str">
            <v>Fornecedores</v>
          </cell>
          <cell r="G544">
            <v>6085.2</v>
          </cell>
          <cell r="H544">
            <v>3384.5</v>
          </cell>
        </row>
        <row r="545">
          <cell r="A545" t="str">
            <v>6.01.02.09</v>
          </cell>
          <cell r="C545" t="str">
            <v>Salários e encargos sociais</v>
          </cell>
          <cell r="G545">
            <v>1547.6</v>
          </cell>
          <cell r="H545">
            <v>-4047.1</v>
          </cell>
        </row>
        <row r="546">
          <cell r="A546" t="str">
            <v>6.01.02.10</v>
          </cell>
          <cell r="C546" t="str">
            <v>Impostos, taxas e contribuições</v>
          </cell>
          <cell r="G546">
            <v>2354.4</v>
          </cell>
          <cell r="H546">
            <v>-1902.7</v>
          </cell>
        </row>
        <row r="547">
          <cell r="A547" t="str">
            <v>6.01.02.11</v>
          </cell>
          <cell r="C547" t="str">
            <v>Obrigações de benefícios aos empregados</v>
          </cell>
          <cell r="G547">
            <v>-2528.1999999999998</v>
          </cell>
          <cell r="H547">
            <v>-4459.8999999999996</v>
          </cell>
        </row>
        <row r="548">
          <cell r="A548" t="str">
            <v>6.01.02.12</v>
          </cell>
          <cell r="C548" t="str">
            <v xml:space="preserve">Dividendos e juros sobre capital próprio recebidos </v>
          </cell>
          <cell r="G548">
            <v>0</v>
          </cell>
          <cell r="H548">
            <v>0</v>
          </cell>
        </row>
        <row r="549">
          <cell r="A549" t="str">
            <v>6.01.02.13</v>
          </cell>
          <cell r="C549" t="str">
            <v>Outros passivos</v>
          </cell>
          <cell r="G549">
            <v>762.2</v>
          </cell>
          <cell r="H549">
            <v>1650.3</v>
          </cell>
        </row>
        <row r="550">
          <cell r="A550" t="str">
            <v>6.01.02</v>
          </cell>
          <cell r="C550" t="str">
            <v xml:space="preserve"> </v>
          </cell>
          <cell r="G550">
            <v>9704.5000000000036</v>
          </cell>
          <cell r="H550">
            <v>-109.10000000000059</v>
          </cell>
        </row>
        <row r="551">
          <cell r="C551" t="str">
            <v>Caixa gerado pelas operações</v>
          </cell>
          <cell r="G551">
            <v>70045.200000000012</v>
          </cell>
          <cell r="H551">
            <v>125928.79999999999</v>
          </cell>
        </row>
        <row r="552">
          <cell r="A552" t="str">
            <v>6.01.03.01</v>
          </cell>
          <cell r="C552" t="str">
            <v>Imposto de renda e contribuição social pagos</v>
          </cell>
          <cell r="G552">
            <v>-3325.8</v>
          </cell>
          <cell r="H552">
            <v>-8151.6</v>
          </cell>
        </row>
        <row r="554">
          <cell r="A554" t="str">
            <v>6.01</v>
          </cell>
          <cell r="C554" t="str">
            <v xml:space="preserve">Caixa líquido gerado pelas atividades operacionais </v>
          </cell>
          <cell r="G554">
            <v>66719.400000000009</v>
          </cell>
          <cell r="H554">
            <v>117777.19999999998</v>
          </cell>
        </row>
        <row r="555">
          <cell r="C555" t="str">
            <v xml:space="preserve"> </v>
          </cell>
        </row>
        <row r="556">
          <cell r="C556" t="str">
            <v>Fluxos de caixa das atividades de investimentos</v>
          </cell>
        </row>
        <row r="557">
          <cell r="A557" t="str">
            <v>6.02.06</v>
          </cell>
          <cell r="C557" t="str">
            <v>Compras de imobilizado e intangível</v>
          </cell>
          <cell r="G557">
            <v>-2167.3000000000002</v>
          </cell>
          <cell r="H557">
            <v>-6682.7</v>
          </cell>
        </row>
        <row r="558">
          <cell r="A558" t="str">
            <v>6.02.08</v>
          </cell>
          <cell r="C558" t="str">
            <v>Recebimento pela venda do imobilizado</v>
          </cell>
          <cell r="G558">
            <v>1421.9</v>
          </cell>
          <cell r="H558">
            <v>1421.9</v>
          </cell>
        </row>
        <row r="559">
          <cell r="A559" t="str">
            <v>6.02.11</v>
          </cell>
          <cell r="C559" t="str">
            <v>Aplicações financeiras - mantidas para negociação (TECSIS)</v>
          </cell>
          <cell r="H559">
            <v>-38000</v>
          </cell>
        </row>
        <row r="560">
          <cell r="A560" t="str">
            <v>6.02.03</v>
          </cell>
          <cell r="C560" t="str">
            <v>Resgate de aplicações financeiras mantidas para negociação (TECSIS)</v>
          </cell>
          <cell r="G560">
            <v>0</v>
          </cell>
          <cell r="H560">
            <v>48228.4</v>
          </cell>
        </row>
        <row r="561">
          <cell r="A561" t="str">
            <v>6.02.09</v>
          </cell>
          <cell r="C561" t="str">
            <v>Aporte de capital em empresa investida</v>
          </cell>
          <cell r="G561">
            <v>0</v>
          </cell>
          <cell r="H561">
            <v>-8694.1</v>
          </cell>
        </row>
        <row r="562">
          <cell r="A562" t="str">
            <v>6.02.10</v>
          </cell>
          <cell r="C562" t="str">
            <v>Outros</v>
          </cell>
          <cell r="G562">
            <v>0</v>
          </cell>
          <cell r="H562">
            <v>0</v>
          </cell>
        </row>
        <row r="563">
          <cell r="A563" t="str">
            <v>6.02</v>
          </cell>
          <cell r="C563" t="str">
            <v>Caixa líquido gerado (aplicado) nas atividades de investimento</v>
          </cell>
          <cell r="G563">
            <v>-745.40000000000009</v>
          </cell>
          <cell r="H563">
            <v>-3726.5000000000018</v>
          </cell>
        </row>
        <row r="564">
          <cell r="C564" t="str">
            <v xml:space="preserve"> </v>
          </cell>
        </row>
        <row r="565">
          <cell r="C565" t="str">
            <v>Fluxos de caixa das atividades de financiamento</v>
          </cell>
        </row>
        <row r="566">
          <cell r="A566" t="str">
            <v>6.03.05</v>
          </cell>
          <cell r="C566" t="str">
            <v>Obtenção de empréstimos</v>
          </cell>
          <cell r="G566">
            <v>80000</v>
          </cell>
          <cell r="H566">
            <v>80000</v>
          </cell>
        </row>
        <row r="567">
          <cell r="A567" t="str">
            <v>6.03.01</v>
          </cell>
          <cell r="C567" t="str">
            <v>Pagamento de empréstimos</v>
          </cell>
          <cell r="G567">
            <v>-10647.1</v>
          </cell>
          <cell r="H567">
            <v>-62375.6</v>
          </cell>
        </row>
        <row r="568">
          <cell r="A568" t="str">
            <v>6.03.02</v>
          </cell>
          <cell r="C568" t="str">
            <v>Pagamento de juros</v>
          </cell>
          <cell r="G568">
            <v>-2000.9</v>
          </cell>
          <cell r="H568">
            <v>-39172</v>
          </cell>
        </row>
        <row r="569">
          <cell r="A569" t="str">
            <v>6.03.03</v>
          </cell>
          <cell r="C569" t="str">
            <v>Pagamento de outros encargos s/ empréstimos</v>
          </cell>
          <cell r="G569">
            <v>0</v>
          </cell>
          <cell r="H569">
            <v>-99.7</v>
          </cell>
        </row>
        <row r="570">
          <cell r="A570" t="str">
            <v>6.03.06</v>
          </cell>
          <cell r="C570" t="str">
            <v xml:space="preserve">Acionistas não controladores dissidentes </v>
          </cell>
          <cell r="G570">
            <v>0</v>
          </cell>
          <cell r="H570">
            <v>0</v>
          </cell>
        </row>
        <row r="571">
          <cell r="A571" t="str">
            <v>6.03.07</v>
          </cell>
          <cell r="C571" t="str">
            <v>Aumento do capital com AGE de XX/XX/XXXX</v>
          </cell>
          <cell r="G571">
            <v>0</v>
          </cell>
          <cell r="H571">
            <v>0</v>
          </cell>
        </row>
        <row r="572">
          <cell r="A572" t="str">
            <v>6.03.04</v>
          </cell>
          <cell r="C572" t="str">
            <v xml:space="preserve">Dividendos pagos </v>
          </cell>
          <cell r="G572">
            <v>-0.4</v>
          </cell>
          <cell r="H572">
            <v>-18780.8</v>
          </cell>
        </row>
        <row r="573">
          <cell r="A573" t="str">
            <v>6.03</v>
          </cell>
          <cell r="C573" t="str">
            <v>Caixa líquido gerado (aplicado) nas atividades de financiamento</v>
          </cell>
          <cell r="G573">
            <v>67351.600000000006</v>
          </cell>
          <cell r="H573">
            <v>-40428.1</v>
          </cell>
        </row>
        <row r="574">
          <cell r="C574" t="str">
            <v xml:space="preserve"> </v>
          </cell>
        </row>
        <row r="575">
          <cell r="A575" t="str">
            <v>6.05</v>
          </cell>
          <cell r="C575" t="str">
            <v>Aumento (redução) de caixa e equivalentes de caixa, líquidos</v>
          </cell>
          <cell r="G575">
            <v>133325.60000000003</v>
          </cell>
          <cell r="H575">
            <v>73622.599999999977</v>
          </cell>
        </row>
        <row r="576">
          <cell r="A576" t="str">
            <v>6.05.01</v>
          </cell>
          <cell r="C576" t="str">
            <v>Caixa e equivalentes de caixa no início do exercício</v>
          </cell>
          <cell r="G576">
            <v>37755.199999999997</v>
          </cell>
          <cell r="H576">
            <v>37755.199999999997</v>
          </cell>
        </row>
        <row r="577">
          <cell r="C577" t="str">
            <v xml:space="preserve"> </v>
          </cell>
        </row>
        <row r="578">
          <cell r="A578" t="str">
            <v>6.05.02</v>
          </cell>
          <cell r="C578" t="str">
            <v>Caixa e equivalentes de caixa no final do exercício</v>
          </cell>
          <cell r="G578">
            <v>171080.80000000005</v>
          </cell>
          <cell r="H578">
            <v>111377.79999999997</v>
          </cell>
        </row>
        <row r="579">
          <cell r="F579" t="str">
            <v>Check</v>
          </cell>
          <cell r="G579">
            <v>0</v>
          </cell>
          <cell r="H579">
            <v>0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rigações"/>
      <sheetName val="Resumoold"/>
      <sheetName val="Plan2"/>
      <sheetName val="Prazo médio"/>
      <sheetName val="Cronograma"/>
      <sheetName val="Indicadores"/>
      <sheetName val="BB"/>
      <sheetName val="Plan1"/>
      <sheetName val="BNDES - A"/>
      <sheetName val="BNDES - B"/>
      <sheetName val="FINAME"/>
      <sheetName val="BNDES - Politeno"/>
      <sheetName val="TECNOLOGIA"/>
      <sheetName val="FMO SPHERIPOL - A"/>
      <sheetName val="FMO SPHERIPOL - B"/>
      <sheetName val="FMO SPLITTER - A"/>
      <sheetName val="FMO SPLITTER - B"/>
      <sheetName val="Votorantim - TJLP"/>
      <sheetName val="Votorantim - Cesta"/>
      <sheetName val="Modal - TJLP"/>
      <sheetName val="Modal - Cesta"/>
      <sheetName val="NCE VOTORANTIM 60MUS$"/>
      <sheetName val="NCE VOTORANTIM 40MUS$"/>
      <sheetName val="NP - BRIDGE LOAN TOTAL"/>
      <sheetName val="NCE - BRADESCO"/>
      <sheetName val="NCE ITAU (SWAP) OLD"/>
      <sheetName val="NCE ITAU (SWAP)"/>
      <sheetName val="NCE - BB"/>
      <sheetName val="IFC A"/>
      <sheetName val="IFC B"/>
      <sheetName val="IFC C"/>
      <sheetName val="PPE - ABN"/>
      <sheetName val="PPE - ABN (Ajustado)"/>
      <sheetName val="PPE - SANTANDER"/>
      <sheetName val="Duplo 2770 - 17_03 a"/>
      <sheetName val="Duplo 2770 - 17_03 b"/>
      <sheetName val="Duplo 2770 - 27_03"/>
      <sheetName val="Movimentação"/>
      <sheetName val="Fechamento"/>
      <sheetName val="Fechamento Fev"/>
      <sheetName val="Fechamento Mar"/>
      <sheetName val="Fechamento Abr"/>
      <sheetName val="Fechamento Mai"/>
      <sheetName val="Fechamento Jun"/>
      <sheetName val="Fechamento Jul"/>
      <sheetName val="Fechamento Ago"/>
      <sheetName val="Fechamento Set"/>
      <sheetName val="Fechamento Out"/>
      <sheetName val="Jan04"/>
      <sheetName val="Fev04"/>
      <sheetName val="Mar04"/>
      <sheetName val="Abr04"/>
      <sheetName val="Mai04"/>
      <sheetName val="Jun04"/>
      <sheetName val="Jul04"/>
      <sheetName val="Ago04"/>
      <sheetName val="Set04"/>
      <sheetName val="Fechamento Nov"/>
      <sheetName val="Out04"/>
      <sheetName val="Fechamento Dez"/>
      <sheetName val="Nov04"/>
      <sheetName val="Dez04"/>
      <sheetName val="Fechamento Fev05"/>
      <sheetName val="Fechamento Jan"/>
      <sheetName val="Jan05"/>
      <sheetName val="Fev05"/>
      <sheetName val="Fechamento Mar05"/>
      <sheetName val="Mar05"/>
      <sheetName val="Fechamento Abr05"/>
      <sheetName val="Abr05"/>
      <sheetName val="Fechamento Mai05"/>
      <sheetName val="Maio05"/>
      <sheetName val="Fechamento Jun05"/>
      <sheetName val="Fechamento Jul05"/>
      <sheetName val="Junho05"/>
      <sheetName val="Julho05"/>
      <sheetName val="Fechamento Ago05"/>
      <sheetName val="Agosto05"/>
      <sheetName val="Fechamento Set05"/>
      <sheetName val="Setembro05"/>
      <sheetName val="Outubro05"/>
      <sheetName val="Dezembro05"/>
      <sheetName val="Fechamento Nov05"/>
      <sheetName val="Janeiro06"/>
      <sheetName val="Fevereiro06"/>
      <sheetName val="Março06"/>
      <sheetName val="Abril06"/>
      <sheetName val="Maio06"/>
      <sheetName val="Fechamento Jan06"/>
      <sheetName val="Fechamento Dez05"/>
      <sheetName val="Fechamento Dez05 custo"/>
      <sheetName val="Fechamento Dez04 custo"/>
      <sheetName val="Fechamento Fev06"/>
      <sheetName val="Fechamento Mar06 S_SWAP"/>
      <sheetName val="Fechamento Mar06 C_SWAP"/>
      <sheetName val="Fechamento Abr06 S_SWAP"/>
      <sheetName val="Fechamento Abr06 C_SWAP"/>
      <sheetName val="BOOK"/>
      <sheetName val="ExaustãoJAN"/>
      <sheetName val="Exaustão Mar"/>
      <sheetName val="Relacionamento bancário"/>
      <sheetName val="Exaustão 05"/>
      <sheetName val="Exaustão (2)"/>
      <sheetName val="Fechamento Out05"/>
      <sheetName val="Novembro05"/>
      <sheetName val="Maio05 vict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D7">
            <v>0.9389630001173761</v>
          </cell>
          <cell r="E7">
            <v>35064</v>
          </cell>
          <cell r="F7">
            <v>28136212.7546</v>
          </cell>
          <cell r="H7">
            <v>0</v>
          </cell>
          <cell r="J7">
            <v>0</v>
          </cell>
          <cell r="K7">
            <v>26418862.739999998</v>
          </cell>
          <cell r="L7">
            <v>0</v>
          </cell>
          <cell r="M7">
            <v>0</v>
          </cell>
          <cell r="N7">
            <v>0</v>
          </cell>
        </row>
        <row r="8">
          <cell r="D8">
            <v>0.94964899999999997</v>
          </cell>
          <cell r="E8">
            <v>35094</v>
          </cell>
          <cell r="F8">
            <v>28136212.7546</v>
          </cell>
          <cell r="J8">
            <v>0</v>
          </cell>
          <cell r="K8">
            <v>26719526.306193136</v>
          </cell>
          <cell r="N8">
            <v>0</v>
          </cell>
        </row>
        <row r="9">
          <cell r="D9">
            <v>0.96100799999999997</v>
          </cell>
          <cell r="E9">
            <v>35124</v>
          </cell>
          <cell r="F9">
            <v>28136212.7546</v>
          </cell>
          <cell r="H9">
            <v>0</v>
          </cell>
          <cell r="I9">
            <v>910192.03862311691</v>
          </cell>
          <cell r="J9">
            <v>910192.03862311691</v>
          </cell>
          <cell r="K9">
            <v>27039125.546872634</v>
          </cell>
          <cell r="L9">
            <v>0</v>
          </cell>
          <cell r="M9">
            <v>874701.83065312426</v>
          </cell>
          <cell r="N9">
            <v>874701.83065312426</v>
          </cell>
        </row>
        <row r="10">
          <cell r="D10">
            <v>0.968472</v>
          </cell>
          <cell r="E10">
            <v>35155</v>
          </cell>
          <cell r="F10">
            <v>28136212.7546</v>
          </cell>
          <cell r="J10">
            <v>0</v>
          </cell>
          <cell r="K10">
            <v>27249134.238872971</v>
          </cell>
          <cell r="N10">
            <v>0</v>
          </cell>
        </row>
        <row r="11">
          <cell r="D11">
            <v>0.97531500000000004</v>
          </cell>
          <cell r="E11">
            <v>35185</v>
          </cell>
          <cell r="F11">
            <v>28136212.7546</v>
          </cell>
          <cell r="J11">
            <v>0</v>
          </cell>
          <cell r="K11">
            <v>27441670.342752699</v>
          </cell>
          <cell r="N11">
            <v>0</v>
          </cell>
        </row>
        <row r="12">
          <cell r="D12">
            <v>0.980796</v>
          </cell>
          <cell r="E12">
            <v>35216</v>
          </cell>
          <cell r="F12">
            <v>28136212.7546</v>
          </cell>
          <cell r="J12">
            <v>0</v>
          </cell>
          <cell r="K12">
            <v>27595884.92486066</v>
          </cell>
          <cell r="N12">
            <v>0</v>
          </cell>
        </row>
        <row r="13">
          <cell r="D13">
            <v>0.98628000000000005</v>
          </cell>
          <cell r="E13">
            <v>35246</v>
          </cell>
          <cell r="F13">
            <v>28136212.7546</v>
          </cell>
          <cell r="J13">
            <v>0</v>
          </cell>
          <cell r="K13">
            <v>27750183.91560689</v>
          </cell>
          <cell r="N13">
            <v>0</v>
          </cell>
        </row>
        <row r="14">
          <cell r="D14">
            <v>0.99209099999999995</v>
          </cell>
          <cell r="E14">
            <v>35277</v>
          </cell>
          <cell r="F14">
            <v>28136212.7546</v>
          </cell>
          <cell r="J14">
            <v>0</v>
          </cell>
          <cell r="K14">
            <v>27913683.447923865</v>
          </cell>
          <cell r="N14">
            <v>0</v>
          </cell>
        </row>
        <row r="15">
          <cell r="D15">
            <v>0.99865700000000002</v>
          </cell>
          <cell r="E15">
            <v>35308</v>
          </cell>
          <cell r="F15">
            <v>28136212.7546</v>
          </cell>
          <cell r="H15">
            <v>0</v>
          </cell>
          <cell r="I15">
            <v>920355.99154533073</v>
          </cell>
          <cell r="J15">
            <v>920355.99154533073</v>
          </cell>
          <cell r="K15">
            <v>28098425.820870571</v>
          </cell>
          <cell r="L15">
            <v>0</v>
          </cell>
          <cell r="M15">
            <v>919119.95344868535</v>
          </cell>
          <cell r="N15">
            <v>919119.95344868535</v>
          </cell>
        </row>
        <row r="16">
          <cell r="D16">
            <v>1.005269</v>
          </cell>
          <cell r="E16">
            <v>35338</v>
          </cell>
          <cell r="F16">
            <v>28136212.7546</v>
          </cell>
          <cell r="J16">
            <v>0</v>
          </cell>
          <cell r="K16">
            <v>28284462.459603988</v>
          </cell>
          <cell r="N16">
            <v>0</v>
          </cell>
        </row>
        <row r="17">
          <cell r="D17">
            <v>1.0123869999999999</v>
          </cell>
          <cell r="E17">
            <v>35369</v>
          </cell>
          <cell r="F17">
            <v>28136212.7546</v>
          </cell>
          <cell r="J17">
            <v>0</v>
          </cell>
          <cell r="K17">
            <v>28484736.021991227</v>
          </cell>
          <cell r="N17">
            <v>0</v>
          </cell>
        </row>
        <row r="18">
          <cell r="D18">
            <v>1.020014</v>
          </cell>
          <cell r="E18">
            <v>35399</v>
          </cell>
          <cell r="F18">
            <v>28136212.7546</v>
          </cell>
          <cell r="J18">
            <v>0</v>
          </cell>
          <cell r="K18">
            <v>28699330.916670565</v>
          </cell>
          <cell r="N18">
            <v>0</v>
          </cell>
        </row>
        <row r="19">
          <cell r="D19">
            <v>1.0288660000000001</v>
          </cell>
          <cell r="E19">
            <v>35430</v>
          </cell>
          <cell r="F19">
            <v>28136212.7546</v>
          </cell>
          <cell r="J19">
            <v>0</v>
          </cell>
          <cell r="K19">
            <v>28948392.671974286</v>
          </cell>
          <cell r="N19">
            <v>0</v>
          </cell>
        </row>
        <row r="20">
          <cell r="D20">
            <v>1.037755</v>
          </cell>
          <cell r="E20">
            <v>35461</v>
          </cell>
          <cell r="F20">
            <v>28136212.7546</v>
          </cell>
          <cell r="J20">
            <v>0</v>
          </cell>
          <cell r="K20">
            <v>29198495.467149921</v>
          </cell>
          <cell r="N20">
            <v>0</v>
          </cell>
        </row>
        <row r="21">
          <cell r="D21">
            <v>1.0453170000000001</v>
          </cell>
          <cell r="E21">
            <v>35489</v>
          </cell>
          <cell r="F21">
            <v>27714169.563299999</v>
          </cell>
          <cell r="G21">
            <v>1.4999999999324714</v>
          </cell>
          <cell r="H21">
            <v>422043.19130000001</v>
          </cell>
          <cell r="I21">
            <v>905113.82810000004</v>
          </cell>
          <cell r="J21">
            <v>1327157.0194000001</v>
          </cell>
          <cell r="K21">
            <v>28970092.585400067</v>
          </cell>
          <cell r="L21">
            <v>441168.92260014213</v>
          </cell>
          <cell r="M21">
            <v>946130.87144800776</v>
          </cell>
          <cell r="N21">
            <v>1387299.7940481501</v>
          </cell>
        </row>
        <row r="22">
          <cell r="D22">
            <v>1.051571</v>
          </cell>
          <cell r="E22">
            <v>35520</v>
          </cell>
          <cell r="F22">
            <v>27714169.563299999</v>
          </cell>
          <cell r="J22">
            <v>0</v>
          </cell>
          <cell r="K22">
            <v>29143417.001848944</v>
          </cell>
          <cell r="N22">
            <v>0</v>
          </cell>
        </row>
        <row r="23">
          <cell r="D23">
            <v>1.05871</v>
          </cell>
          <cell r="E23">
            <v>35550</v>
          </cell>
          <cell r="F23">
            <v>27714169.563299999</v>
          </cell>
          <cell r="J23">
            <v>0</v>
          </cell>
          <cell r="K23">
            <v>29341268.458361343</v>
          </cell>
          <cell r="N23">
            <v>0</v>
          </cell>
        </row>
        <row r="24">
          <cell r="D24">
            <v>1.065116</v>
          </cell>
          <cell r="E24">
            <v>35581</v>
          </cell>
          <cell r="F24">
            <v>27714169.563299999</v>
          </cell>
          <cell r="J24">
            <v>0</v>
          </cell>
          <cell r="K24">
            <v>29518805.428583842</v>
          </cell>
          <cell r="N24">
            <v>0</v>
          </cell>
        </row>
        <row r="25">
          <cell r="D25">
            <v>1.0724</v>
          </cell>
          <cell r="E25">
            <v>35611</v>
          </cell>
          <cell r="F25">
            <v>27714169.563299999</v>
          </cell>
          <cell r="J25">
            <v>0</v>
          </cell>
          <cell r="K25">
            <v>29720675.43968292</v>
          </cell>
          <cell r="N25">
            <v>0</v>
          </cell>
        </row>
        <row r="26">
          <cell r="D26">
            <v>1.079148</v>
          </cell>
          <cell r="E26">
            <v>35642</v>
          </cell>
          <cell r="F26">
            <v>27714169.563299999</v>
          </cell>
          <cell r="J26">
            <v>0</v>
          </cell>
          <cell r="K26">
            <v>29907690.655896068</v>
          </cell>
          <cell r="N26">
            <v>0</v>
          </cell>
        </row>
        <row r="27">
          <cell r="D27">
            <v>1.086565</v>
          </cell>
          <cell r="E27">
            <v>35673</v>
          </cell>
          <cell r="F27">
            <v>27292126.371999998</v>
          </cell>
          <cell r="G27">
            <v>1.5228426395243078</v>
          </cell>
          <cell r="H27">
            <v>422043.19130000001</v>
          </cell>
          <cell r="I27">
            <v>906550.65167277306</v>
          </cell>
          <cell r="J27">
            <v>1328593.8429727731</v>
          </cell>
          <cell r="K27">
            <v>29654669.291392177</v>
          </cell>
          <cell r="L27">
            <v>458577.36015488452</v>
          </cell>
          <cell r="M27">
            <v>985026.20883482671</v>
          </cell>
          <cell r="N27">
            <v>1443603.5689897113</v>
          </cell>
        </row>
        <row r="28">
          <cell r="D28">
            <v>1.0931789999999999</v>
          </cell>
          <cell r="E28">
            <v>35703</v>
          </cell>
          <cell r="F28">
            <v>27292126.371999998</v>
          </cell>
          <cell r="J28">
            <v>0</v>
          </cell>
          <cell r="K28">
            <v>29835179.415216584</v>
          </cell>
          <cell r="N28">
            <v>0</v>
          </cell>
        </row>
        <row r="29">
          <cell r="D29">
            <v>1.1000300000000001</v>
          </cell>
          <cell r="E29">
            <v>35734</v>
          </cell>
          <cell r="F29">
            <v>27292126.371999998</v>
          </cell>
          <cell r="J29">
            <v>0</v>
          </cell>
          <cell r="K29">
            <v>30022157.772991158</v>
          </cell>
          <cell r="N29">
            <v>0</v>
          </cell>
        </row>
        <row r="30">
          <cell r="D30">
            <v>1.1185579999999999</v>
          </cell>
          <cell r="E30">
            <v>35764</v>
          </cell>
          <cell r="F30">
            <v>27292126.371999998</v>
          </cell>
          <cell r="J30">
            <v>0</v>
          </cell>
          <cell r="K30">
            <v>30527826.290411573</v>
          </cell>
          <cell r="N30">
            <v>0</v>
          </cell>
        </row>
        <row r="31">
          <cell r="D31">
            <v>1.1327199999999999</v>
          </cell>
          <cell r="E31">
            <v>35795</v>
          </cell>
          <cell r="F31">
            <v>27292126.371999998</v>
          </cell>
          <cell r="J31">
            <v>0</v>
          </cell>
          <cell r="K31">
            <v>30914337.384091835</v>
          </cell>
          <cell r="N31">
            <v>0</v>
          </cell>
        </row>
        <row r="32">
          <cell r="D32">
            <v>1.146644</v>
          </cell>
          <cell r="E32">
            <v>35825</v>
          </cell>
          <cell r="F32">
            <v>27292126.371999998</v>
          </cell>
          <cell r="J32">
            <v>0</v>
          </cell>
          <cell r="K32">
            <v>31294352.951695565</v>
          </cell>
          <cell r="N32">
            <v>0</v>
          </cell>
        </row>
        <row r="33">
          <cell r="D33">
            <v>1.153619</v>
          </cell>
          <cell r="E33">
            <v>35854</v>
          </cell>
          <cell r="F33">
            <v>26729402.116899997</v>
          </cell>
          <cell r="G33">
            <v>2.0618556701295345</v>
          </cell>
          <cell r="H33">
            <v>562724.25509999995</v>
          </cell>
          <cell r="I33">
            <v>877958.05362817273</v>
          </cell>
          <cell r="J33">
            <v>1440682.3087281727</v>
          </cell>
          <cell r="K33">
            <v>30835546.140696056</v>
          </cell>
          <cell r="L33">
            <v>649169.39244420687</v>
          </cell>
          <cell r="M33">
            <v>1012829.0918684789</v>
          </cell>
          <cell r="N33">
            <v>1661998.4843126857</v>
          </cell>
        </row>
        <row r="34">
          <cell r="D34">
            <v>1.163227</v>
          </cell>
          <cell r="E34">
            <v>35885</v>
          </cell>
          <cell r="F34">
            <v>26729402.116899997</v>
          </cell>
          <cell r="J34">
            <v>0</v>
          </cell>
          <cell r="K34">
            <v>31092362.236235235</v>
          </cell>
          <cell r="N34">
            <v>0</v>
          </cell>
        </row>
        <row r="35">
          <cell r="D35">
            <v>1.1674420000000001</v>
          </cell>
          <cell r="E35">
            <v>35915</v>
          </cell>
          <cell r="F35">
            <v>26729402.116899997</v>
          </cell>
          <cell r="J35">
            <v>0</v>
          </cell>
          <cell r="K35">
            <v>31205026.666157968</v>
          </cell>
          <cell r="N35">
            <v>0</v>
          </cell>
        </row>
        <row r="36">
          <cell r="D36">
            <v>1.1727449999999999</v>
          </cell>
          <cell r="E36">
            <v>35946</v>
          </cell>
          <cell r="F36">
            <v>26729402.116899997</v>
          </cell>
          <cell r="J36">
            <v>0</v>
          </cell>
          <cell r="K36">
            <v>31346772.685583886</v>
          </cell>
          <cell r="N36">
            <v>0</v>
          </cell>
        </row>
        <row r="37">
          <cell r="D37">
            <v>1.1786829999999999</v>
          </cell>
          <cell r="E37">
            <v>35976</v>
          </cell>
          <cell r="F37">
            <v>26729402.116899997</v>
          </cell>
          <cell r="J37">
            <v>0</v>
          </cell>
          <cell r="K37">
            <v>31505491.875354037</v>
          </cell>
          <cell r="N37">
            <v>0</v>
          </cell>
        </row>
        <row r="38">
          <cell r="D38">
            <v>1.1840379999999999</v>
          </cell>
          <cell r="E38">
            <v>36007</v>
          </cell>
          <cell r="F38">
            <v>26729402.116899997</v>
          </cell>
          <cell r="J38">
            <v>0</v>
          </cell>
          <cell r="K38">
            <v>31648627.823690038</v>
          </cell>
          <cell r="N38">
            <v>0</v>
          </cell>
        </row>
        <row r="39">
          <cell r="D39">
            <v>1.1879980000000001</v>
          </cell>
          <cell r="E39">
            <v>36038</v>
          </cell>
          <cell r="F39">
            <v>26166677.861799996</v>
          </cell>
          <cell r="G39">
            <v>2.1052631579223036</v>
          </cell>
          <cell r="H39">
            <v>562724.25509999995</v>
          </cell>
          <cell r="I39">
            <v>874338.19196904451</v>
          </cell>
          <cell r="J39">
            <v>1437062.4470690445</v>
          </cell>
          <cell r="K39">
            <v>31085960.966462675</v>
          </cell>
          <cell r="L39">
            <v>668515.28961028985</v>
          </cell>
          <cell r="M39">
            <v>1038712.023382841</v>
          </cell>
          <cell r="N39">
            <v>1707227.3129931309</v>
          </cell>
        </row>
        <row r="40">
          <cell r="D40">
            <v>1.1944090000000001</v>
          </cell>
          <cell r="E40">
            <v>36068</v>
          </cell>
          <cell r="F40">
            <v>26166677.861799996</v>
          </cell>
          <cell r="J40">
            <v>0</v>
          </cell>
          <cell r="K40">
            <v>31253715.538234673</v>
          </cell>
          <cell r="N40">
            <v>0</v>
          </cell>
        </row>
        <row r="41">
          <cell r="D41">
            <v>1.204545</v>
          </cell>
          <cell r="E41">
            <v>36099</v>
          </cell>
          <cell r="F41">
            <v>26166677.861799996</v>
          </cell>
          <cell r="J41">
            <v>0</v>
          </cell>
          <cell r="K41">
            <v>31518940.985041875</v>
          </cell>
          <cell r="N41">
            <v>0</v>
          </cell>
        </row>
        <row r="42">
          <cell r="D42">
            <v>1.214332</v>
          </cell>
          <cell r="E42">
            <v>36129</v>
          </cell>
          <cell r="F42">
            <v>26166677.861799996</v>
          </cell>
          <cell r="J42">
            <v>0</v>
          </cell>
          <cell r="K42">
            <v>31775034.261275314</v>
          </cell>
          <cell r="N42">
            <v>0</v>
          </cell>
        </row>
        <row r="43">
          <cell r="D43">
            <v>1.2221489999999999</v>
          </cell>
          <cell r="E43">
            <v>36160</v>
          </cell>
          <cell r="F43">
            <v>26166677.861799996</v>
          </cell>
          <cell r="J43">
            <v>0</v>
          </cell>
          <cell r="K43">
            <v>31979579.182121001</v>
          </cell>
          <cell r="N43">
            <v>0</v>
          </cell>
        </row>
        <row r="44">
          <cell r="D44">
            <v>1.22966</v>
          </cell>
          <cell r="E44">
            <v>36191</v>
          </cell>
          <cell r="F44">
            <v>26166677.861799996</v>
          </cell>
          <cell r="J44">
            <v>0</v>
          </cell>
          <cell r="K44">
            <v>32176117.099540982</v>
          </cell>
          <cell r="N44">
            <v>0</v>
          </cell>
        </row>
        <row r="45">
          <cell r="D45">
            <v>1.243776</v>
          </cell>
          <cell r="E45">
            <v>36219</v>
          </cell>
          <cell r="F45">
            <v>25463272.543699995</v>
          </cell>
          <cell r="G45">
            <v>2.6881720400849276</v>
          </cell>
          <cell r="H45">
            <v>703405.31810000003</v>
          </cell>
          <cell r="I45">
            <v>841755.86010798847</v>
          </cell>
          <cell r="J45">
            <v>1545161.1782079884</v>
          </cell>
          <cell r="K45">
            <v>31670607.271313004</v>
          </cell>
          <cell r="L45">
            <v>874878.65292514558</v>
          </cell>
          <cell r="M45">
            <v>1046955.7366616734</v>
          </cell>
          <cell r="N45">
            <v>1921834.3895868189</v>
          </cell>
        </row>
        <row r="46">
          <cell r="D46">
            <v>1.2565980000000001</v>
          </cell>
          <cell r="E46">
            <v>36250</v>
          </cell>
          <cell r="F46">
            <v>25463272.543699995</v>
          </cell>
          <cell r="J46">
            <v>0</v>
          </cell>
          <cell r="K46">
            <v>31997097.351868328</v>
          </cell>
          <cell r="N46">
            <v>0</v>
          </cell>
        </row>
        <row r="47">
          <cell r="D47">
            <v>1.2627269999999999</v>
          </cell>
          <cell r="E47">
            <v>36280</v>
          </cell>
          <cell r="F47">
            <v>25463272.543699995</v>
          </cell>
          <cell r="J47">
            <v>0</v>
          </cell>
          <cell r="K47">
            <v>32153161.749288663</v>
          </cell>
          <cell r="N47">
            <v>0</v>
          </cell>
        </row>
        <row r="48">
          <cell r="D48">
            <v>1.268778</v>
          </cell>
          <cell r="E48">
            <v>36311</v>
          </cell>
          <cell r="F48">
            <v>25463272.543699995</v>
          </cell>
          <cell r="J48">
            <v>0</v>
          </cell>
          <cell r="K48">
            <v>32307240.011450592</v>
          </cell>
          <cell r="N48">
            <v>0</v>
          </cell>
        </row>
        <row r="49">
          <cell r="D49">
            <v>1.271074</v>
          </cell>
          <cell r="E49">
            <v>36341</v>
          </cell>
          <cell r="F49">
            <v>25463272.543699995</v>
          </cell>
          <cell r="J49">
            <v>0</v>
          </cell>
          <cell r="K49">
            <v>32365703.685210928</v>
          </cell>
          <cell r="N49">
            <v>0</v>
          </cell>
        </row>
        <row r="50">
          <cell r="D50">
            <v>1.274802</v>
          </cell>
          <cell r="E50">
            <v>36372</v>
          </cell>
          <cell r="F50">
            <v>25463272.543699995</v>
          </cell>
          <cell r="J50">
            <v>0</v>
          </cell>
          <cell r="K50">
            <v>32460630.765253842</v>
          </cell>
          <cell r="N50">
            <v>0</v>
          </cell>
        </row>
        <row r="51">
          <cell r="D51">
            <v>1.278052</v>
          </cell>
          <cell r="E51">
            <v>36403</v>
          </cell>
          <cell r="F51">
            <v>24759867.224599995</v>
          </cell>
          <cell r="G51">
            <v>2.7624309400640383</v>
          </cell>
          <cell r="H51">
            <v>703405.31909999996</v>
          </cell>
          <cell r="I51">
            <v>832922.17237426713</v>
          </cell>
          <cell r="J51">
            <v>1536327.4914742671</v>
          </cell>
          <cell r="K51">
            <v>31644397.826134473</v>
          </cell>
          <cell r="L51">
            <v>898988.57488639315</v>
          </cell>
          <cell r="M51">
            <v>1064526.71</v>
          </cell>
          <cell r="N51">
            <v>1963515.2848863932</v>
          </cell>
        </row>
        <row r="52">
          <cell r="D52">
            <v>1.2819259999999999</v>
          </cell>
          <cell r="E52">
            <v>36433</v>
          </cell>
          <cell r="F52">
            <v>24759867.224599995</v>
          </cell>
          <cell r="J52">
            <v>0</v>
          </cell>
          <cell r="K52">
            <v>31740317.55176257</v>
          </cell>
          <cell r="N52">
            <v>0</v>
          </cell>
        </row>
        <row r="53">
          <cell r="D53">
            <v>1.2848299999999999</v>
          </cell>
          <cell r="E53">
            <v>36464</v>
          </cell>
          <cell r="F53">
            <v>24759867.224599995</v>
          </cell>
          <cell r="J53">
            <v>0</v>
          </cell>
          <cell r="K53">
            <v>31812220.206182808</v>
          </cell>
          <cell r="N53">
            <v>0</v>
          </cell>
        </row>
        <row r="54">
          <cell r="D54">
            <v>1.2874060000000001</v>
          </cell>
          <cell r="E54">
            <v>36494</v>
          </cell>
          <cell r="F54">
            <v>24759867.224599995</v>
          </cell>
          <cell r="J54">
            <v>0</v>
          </cell>
          <cell r="K54">
            <v>31876001.624153383</v>
          </cell>
          <cell r="N54">
            <v>0</v>
          </cell>
        </row>
        <row r="55">
          <cell r="D55">
            <v>1.29091</v>
          </cell>
          <cell r="E55">
            <v>36525</v>
          </cell>
          <cell r="F55">
            <v>24759867.224599995</v>
          </cell>
          <cell r="J55">
            <v>0</v>
          </cell>
          <cell r="K55">
            <v>31962760.198908377</v>
          </cell>
          <cell r="N55">
            <v>0</v>
          </cell>
        </row>
        <row r="56">
          <cell r="D56">
            <v>1.2936840000000001</v>
          </cell>
          <cell r="E56">
            <v>36556</v>
          </cell>
          <cell r="F56">
            <v>24759867.224599995</v>
          </cell>
          <cell r="J56">
            <v>0</v>
          </cell>
          <cell r="K56">
            <v>32031444.070589419</v>
          </cell>
          <cell r="N56">
            <v>0</v>
          </cell>
        </row>
        <row r="57">
          <cell r="D57">
            <v>1.2970999999999999</v>
          </cell>
          <cell r="E57">
            <v>36585</v>
          </cell>
          <cell r="F57">
            <v>23634418.714399993</v>
          </cell>
          <cell r="G57">
            <v>4.5454545454178295</v>
          </cell>
          <cell r="H57">
            <v>1125448.5101999999</v>
          </cell>
          <cell r="I57">
            <v>800968.99400620162</v>
          </cell>
          <cell r="J57">
            <v>1926417.5042062015</v>
          </cell>
          <cell r="K57">
            <v>30656204.514448229</v>
          </cell>
          <cell r="L57">
            <v>1459819.2625804199</v>
          </cell>
          <cell r="M57">
            <v>1038921.25</v>
          </cell>
          <cell r="N57">
            <v>2498740.5125804199</v>
          </cell>
        </row>
        <row r="58">
          <cell r="D58">
            <v>1.299534</v>
          </cell>
          <cell r="E58">
            <v>36616</v>
          </cell>
          <cell r="F58">
            <v>23634418.714399993</v>
          </cell>
          <cell r="J58">
            <v>0</v>
          </cell>
          <cell r="K58">
            <v>30713730.689599082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1.3014540000000001</v>
          </cell>
          <cell r="E59">
            <v>36646</v>
          </cell>
          <cell r="F59">
            <v>23634418.714399993</v>
          </cell>
          <cell r="J59">
            <v>0</v>
          </cell>
          <cell r="K59">
            <v>30759108.773530733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1.3043359999999999</v>
          </cell>
          <cell r="E60">
            <v>36677</v>
          </cell>
          <cell r="F60">
            <v>23634418.714399993</v>
          </cell>
          <cell r="J60">
            <v>0</v>
          </cell>
          <cell r="K60">
            <v>30827223.16826563</v>
          </cell>
          <cell r="L60">
            <v>0</v>
          </cell>
          <cell r="M60">
            <v>0</v>
          </cell>
          <cell r="N60">
            <v>0</v>
          </cell>
        </row>
        <row r="61">
          <cell r="D61">
            <v>1.307482</v>
          </cell>
          <cell r="E61">
            <v>36707</v>
          </cell>
          <cell r="F61">
            <v>23634418.714399993</v>
          </cell>
          <cell r="J61">
            <v>0</v>
          </cell>
          <cell r="K61">
            <v>30901577.049541134</v>
          </cell>
          <cell r="L61">
            <v>0</v>
          </cell>
          <cell r="M61">
            <v>0</v>
          </cell>
          <cell r="N61">
            <v>0</v>
          </cell>
        </row>
        <row r="62">
          <cell r="D62">
            <v>1.3091090000000001</v>
          </cell>
          <cell r="E62">
            <v>36738</v>
          </cell>
          <cell r="F62">
            <v>23634418.714399993</v>
          </cell>
          <cell r="J62">
            <v>0</v>
          </cell>
          <cell r="K62">
            <v>30940030.248789463</v>
          </cell>
          <cell r="L62">
            <v>0</v>
          </cell>
          <cell r="M62">
            <v>0</v>
          </cell>
          <cell r="N62">
            <v>0</v>
          </cell>
        </row>
        <row r="63">
          <cell r="D63">
            <v>1.3117840000000001</v>
          </cell>
          <cell r="E63">
            <v>36769</v>
          </cell>
          <cell r="F63">
            <v>22508970.204699993</v>
          </cell>
          <cell r="G63">
            <v>4.7619047597489086</v>
          </cell>
          <cell r="H63">
            <v>1125448.5097000001</v>
          </cell>
          <cell r="I63">
            <v>773099.03291561082</v>
          </cell>
          <cell r="J63">
            <v>1898547.5426156109</v>
          </cell>
          <cell r="K63">
            <v>29526906.971002176</v>
          </cell>
          <cell r="L63">
            <v>1476345.347848305</v>
          </cell>
          <cell r="M63">
            <v>1014147.39</v>
          </cell>
          <cell r="N63">
            <v>2490492.7400000002</v>
          </cell>
        </row>
        <row r="64">
          <cell r="D64">
            <v>1.3134509999999999</v>
          </cell>
          <cell r="E64">
            <v>36799</v>
          </cell>
          <cell r="F64">
            <v>22508970.204699993</v>
          </cell>
          <cell r="J64">
            <v>0</v>
          </cell>
          <cell r="K64">
            <v>29564429.424333408</v>
          </cell>
          <cell r="N64">
            <v>0</v>
          </cell>
        </row>
        <row r="65">
          <cell r="D65">
            <v>1.3148919999999999</v>
          </cell>
          <cell r="E65">
            <v>36830</v>
          </cell>
          <cell r="F65">
            <v>22508970.204699993</v>
          </cell>
          <cell r="J65">
            <v>0</v>
          </cell>
          <cell r="K65">
            <v>29596864.850398384</v>
          </cell>
          <cell r="N65">
            <v>0</v>
          </cell>
        </row>
        <row r="66">
          <cell r="D66">
            <v>1.3167519999999999</v>
          </cell>
          <cell r="E66">
            <v>36860</v>
          </cell>
          <cell r="F66">
            <v>22508970.204699993</v>
          </cell>
          <cell r="J66">
            <v>0</v>
          </cell>
          <cell r="K66">
            <v>29638731.534979124</v>
          </cell>
          <cell r="N66">
            <v>0</v>
          </cell>
        </row>
        <row r="67">
          <cell r="D67">
            <v>1.318057</v>
          </cell>
          <cell r="E67">
            <v>36891</v>
          </cell>
          <cell r="F67">
            <v>22508970.204699993</v>
          </cell>
          <cell r="J67">
            <v>0</v>
          </cell>
          <cell r="K67">
            <v>29668105.741096258</v>
          </cell>
          <cell r="N67">
            <v>0</v>
          </cell>
        </row>
        <row r="68">
          <cell r="D68">
            <v>1.3195209999999999</v>
          </cell>
          <cell r="E68">
            <v>36922</v>
          </cell>
          <cell r="F68">
            <v>22508970.204699993</v>
          </cell>
          <cell r="J68">
            <v>0</v>
          </cell>
          <cell r="K68">
            <v>29701058.873475939</v>
          </cell>
          <cell r="N68">
            <v>0</v>
          </cell>
        </row>
        <row r="69">
          <cell r="D69">
            <v>1.3204039999999999</v>
          </cell>
          <cell r="E69">
            <v>36950</v>
          </cell>
          <cell r="F69">
            <v>21102159.566999994</v>
          </cell>
          <cell r="G69">
            <v>6.2499999995835021</v>
          </cell>
          <cell r="H69">
            <v>1406810.6377000001</v>
          </cell>
          <cell r="I69">
            <v>724089.1164261736</v>
          </cell>
          <cell r="J69">
            <v>2130899.7541261734</v>
          </cell>
          <cell r="K69">
            <v>27863375.900905058</v>
          </cell>
          <cell r="L69">
            <v>1857558.3932616308</v>
          </cell>
          <cell r="M69">
            <v>956092.74</v>
          </cell>
          <cell r="N69">
            <v>2813651.13</v>
          </cell>
        </row>
        <row r="70">
          <cell r="D70">
            <v>1.322681</v>
          </cell>
          <cell r="E70">
            <v>36981</v>
          </cell>
          <cell r="F70">
            <v>21102159.566999994</v>
          </cell>
          <cell r="J70">
            <v>0</v>
          </cell>
          <cell r="K70">
            <v>27911425.518239118</v>
          </cell>
          <cell r="N70">
            <v>0</v>
          </cell>
        </row>
        <row r="71">
          <cell r="D71">
            <v>1.3247249999999999</v>
          </cell>
          <cell r="E71">
            <v>37011</v>
          </cell>
          <cell r="F71">
            <v>21102159.566999994</v>
          </cell>
          <cell r="J71">
            <v>0</v>
          </cell>
          <cell r="K71">
            <v>27954558.332394067</v>
          </cell>
          <cell r="N71">
            <v>0</v>
          </cell>
        </row>
        <row r="72">
          <cell r="D72">
            <v>1.326746</v>
          </cell>
          <cell r="E72">
            <v>37042</v>
          </cell>
          <cell r="F72">
            <v>21102159.566999994</v>
          </cell>
          <cell r="J72">
            <v>0</v>
          </cell>
          <cell r="K72">
            <v>27997205.796878975</v>
          </cell>
          <cell r="N72">
            <v>0</v>
          </cell>
        </row>
        <row r="73">
          <cell r="D73">
            <v>1.3287929999999999</v>
          </cell>
          <cell r="E73">
            <v>37072</v>
          </cell>
          <cell r="F73">
            <v>21102159.566999994</v>
          </cell>
          <cell r="J73">
            <v>0</v>
          </cell>
          <cell r="K73">
            <v>28040401.917512622</v>
          </cell>
          <cell r="N73">
            <v>0</v>
          </cell>
        </row>
        <row r="74">
          <cell r="D74">
            <v>1.3316699999999999</v>
          </cell>
          <cell r="E74">
            <v>37103</v>
          </cell>
          <cell r="F74">
            <v>21102159.566999994</v>
          </cell>
          <cell r="J74">
            <v>0</v>
          </cell>
          <cell r="K74">
            <v>28101112.83058688</v>
          </cell>
          <cell r="N74">
            <v>0</v>
          </cell>
        </row>
        <row r="75">
          <cell r="D75">
            <v>1.3360300000000001</v>
          </cell>
          <cell r="E75">
            <v>37134</v>
          </cell>
          <cell r="F75">
            <v>19695348.928599995</v>
          </cell>
          <cell r="G75">
            <v>6.6666666695099792</v>
          </cell>
          <cell r="H75">
            <v>1406810.6384000001</v>
          </cell>
          <cell r="I75">
            <v>690272.7415</v>
          </cell>
          <cell r="J75">
            <v>2097083.3799000001</v>
          </cell>
          <cell r="K75">
            <v>26313577.029077452</v>
          </cell>
          <cell r="L75">
            <v>1879541.217221552</v>
          </cell>
          <cell r="M75">
            <v>922225.09277844802</v>
          </cell>
          <cell r="N75">
            <v>2801766.31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&amp;Macro"/>
      <sheetName val="Input Dívida"/>
      <sheetName val="IFC A Loan"/>
      <sheetName val="IFC A Loan (2)"/>
    </sheetNames>
    <sheetDataSet>
      <sheetData sheetId="0" refreshError="1">
        <row r="56">
          <cell r="A56" t="str">
            <v>IGP-M</v>
          </cell>
          <cell r="F56">
            <v>0.06</v>
          </cell>
          <cell r="G56">
            <v>0.06</v>
          </cell>
          <cell r="H56">
            <v>0.06</v>
          </cell>
          <cell r="I56">
            <v>0.06</v>
          </cell>
          <cell r="J56">
            <v>0.06</v>
          </cell>
          <cell r="K56">
            <v>0.06</v>
          </cell>
          <cell r="L56">
            <v>0.06</v>
          </cell>
          <cell r="M56">
            <v>0.06</v>
          </cell>
          <cell r="N56">
            <v>0.06</v>
          </cell>
          <cell r="O56">
            <v>0.06</v>
          </cell>
          <cell r="P56">
            <v>0.06</v>
          </cell>
          <cell r="Q56">
            <v>0.06</v>
          </cell>
          <cell r="R56">
            <v>0.04</v>
          </cell>
          <cell r="S56">
            <v>0.04</v>
          </cell>
          <cell r="T56">
            <v>0.04</v>
          </cell>
          <cell r="U56">
            <v>0.04</v>
          </cell>
          <cell r="V56">
            <v>0.04</v>
          </cell>
          <cell r="W56">
            <v>0.04</v>
          </cell>
          <cell r="X56">
            <v>0.04</v>
          </cell>
          <cell r="Y56">
            <v>0.04</v>
          </cell>
          <cell r="Z56">
            <v>0.04</v>
          </cell>
          <cell r="AA56">
            <v>0.04</v>
          </cell>
          <cell r="AB56">
            <v>0.04</v>
          </cell>
          <cell r="AC56">
            <v>0.04</v>
          </cell>
          <cell r="AD56">
            <v>0.04</v>
          </cell>
          <cell r="AE56">
            <v>0.04</v>
          </cell>
          <cell r="AF56">
            <v>0.04</v>
          </cell>
          <cell r="AG56">
            <v>0.04</v>
          </cell>
          <cell r="AH56">
            <v>0.04</v>
          </cell>
          <cell r="AI56">
            <v>0.04</v>
          </cell>
          <cell r="AJ56">
            <v>0.04</v>
          </cell>
          <cell r="AK56">
            <v>0.04</v>
          </cell>
          <cell r="AL56">
            <v>0.04</v>
          </cell>
          <cell r="AM56">
            <v>0.04</v>
          </cell>
          <cell r="AN56">
            <v>0.04</v>
          </cell>
          <cell r="AO56">
            <v>0.04</v>
          </cell>
          <cell r="AP56">
            <v>0.04</v>
          </cell>
          <cell r="AQ56">
            <v>0.04</v>
          </cell>
          <cell r="AR56">
            <v>0.04</v>
          </cell>
          <cell r="AS56">
            <v>0.04</v>
          </cell>
          <cell r="AT56">
            <v>0.04</v>
          </cell>
          <cell r="AU56">
            <v>0.04</v>
          </cell>
          <cell r="AV56">
            <v>0.04</v>
          </cell>
          <cell r="AW56">
            <v>0.04</v>
          </cell>
          <cell r="AX56">
            <v>0.04</v>
          </cell>
          <cell r="AY56">
            <v>0.04</v>
          </cell>
          <cell r="AZ56">
            <v>0.04</v>
          </cell>
          <cell r="BA56">
            <v>0.04</v>
          </cell>
          <cell r="BB56">
            <v>0.04</v>
          </cell>
          <cell r="BC56">
            <v>0.04</v>
          </cell>
          <cell r="BD56">
            <v>0.04</v>
          </cell>
          <cell r="BE56">
            <v>0.04</v>
          </cell>
          <cell r="BF56">
            <v>0.04</v>
          </cell>
          <cell r="BG56">
            <v>0.04</v>
          </cell>
          <cell r="BH56">
            <v>0.04</v>
          </cell>
          <cell r="BI56">
            <v>0.04</v>
          </cell>
          <cell r="BJ56">
            <v>0.04</v>
          </cell>
          <cell r="BK56">
            <v>0.04</v>
          </cell>
          <cell r="BL56">
            <v>0.04</v>
          </cell>
          <cell r="BM56">
            <v>0.04</v>
          </cell>
          <cell r="BN56">
            <v>0.04</v>
          </cell>
          <cell r="BO56">
            <v>0.04</v>
          </cell>
          <cell r="BP56">
            <v>0.04</v>
          </cell>
          <cell r="BQ56">
            <v>0.04</v>
          </cell>
          <cell r="BR56">
            <v>0.04</v>
          </cell>
          <cell r="BS56">
            <v>0.04</v>
          </cell>
          <cell r="BT56">
            <v>0.04</v>
          </cell>
          <cell r="BU56">
            <v>0.04</v>
          </cell>
          <cell r="BV56">
            <v>0.04</v>
          </cell>
          <cell r="BW56">
            <v>0.04</v>
          </cell>
          <cell r="BX56">
            <v>0.04</v>
          </cell>
          <cell r="BY56">
            <v>0.04</v>
          </cell>
          <cell r="BZ56">
            <v>0.04</v>
          </cell>
          <cell r="CA56">
            <v>0.04</v>
          </cell>
          <cell r="CB56">
            <v>0.04</v>
          </cell>
          <cell r="CC56">
            <v>0.04</v>
          </cell>
          <cell r="CD56">
            <v>0.04</v>
          </cell>
          <cell r="CE56">
            <v>0.04</v>
          </cell>
          <cell r="CF56">
            <v>0.04</v>
          </cell>
          <cell r="CG56">
            <v>0.04</v>
          </cell>
          <cell r="CH56">
            <v>0.04</v>
          </cell>
          <cell r="CI56">
            <v>0.04</v>
          </cell>
          <cell r="CJ56">
            <v>0.04</v>
          </cell>
          <cell r="CK56">
            <v>0.04</v>
          </cell>
          <cell r="CL56">
            <v>0.04</v>
          </cell>
          <cell r="CM56">
            <v>0.04</v>
          </cell>
          <cell r="CN56">
            <v>0.04</v>
          </cell>
          <cell r="CO56">
            <v>0.04</v>
          </cell>
          <cell r="CP56">
            <v>0.04</v>
          </cell>
          <cell r="CQ56">
            <v>0.04</v>
          </cell>
          <cell r="CR56">
            <v>0.04</v>
          </cell>
          <cell r="CS56">
            <v>0.04</v>
          </cell>
          <cell r="CT56">
            <v>0.04</v>
          </cell>
          <cell r="CU56">
            <v>0.04</v>
          </cell>
          <cell r="CV56">
            <v>0.04</v>
          </cell>
          <cell r="CW56">
            <v>0.04</v>
          </cell>
          <cell r="CX56">
            <v>0.04</v>
          </cell>
          <cell r="CY56">
            <v>0.04</v>
          </cell>
          <cell r="CZ56">
            <v>0.04</v>
          </cell>
          <cell r="DA56">
            <v>0.04</v>
          </cell>
          <cell r="DB56">
            <v>0.04</v>
          </cell>
          <cell r="DC56">
            <v>0.04</v>
          </cell>
          <cell r="DD56">
            <v>0.04</v>
          </cell>
          <cell r="DE56">
            <v>0.04</v>
          </cell>
          <cell r="DF56">
            <v>0.04</v>
          </cell>
          <cell r="DG56">
            <v>0.04</v>
          </cell>
          <cell r="DH56">
            <v>0.04</v>
          </cell>
          <cell r="DI56">
            <v>0.04</v>
          </cell>
          <cell r="DJ56">
            <v>0.04</v>
          </cell>
          <cell r="DK56">
            <v>0.04</v>
          </cell>
          <cell r="DL56">
            <v>0.04</v>
          </cell>
          <cell r="DM56">
            <v>0.04</v>
          </cell>
          <cell r="DN56">
            <v>0.04</v>
          </cell>
          <cell r="DO56">
            <v>0.04</v>
          </cell>
          <cell r="DP56">
            <v>0.04</v>
          </cell>
          <cell r="DQ56">
            <v>0.04</v>
          </cell>
          <cell r="DR56">
            <v>0.04</v>
          </cell>
          <cell r="DS56">
            <v>0.04</v>
          </cell>
          <cell r="DT56">
            <v>0.04</v>
          </cell>
          <cell r="DU56">
            <v>0.04</v>
          </cell>
          <cell r="DV56">
            <v>0.04</v>
          </cell>
          <cell r="DW56">
            <v>0.04</v>
          </cell>
          <cell r="DX56">
            <v>0.04</v>
          </cell>
          <cell r="DY56">
            <v>0.04</v>
          </cell>
          <cell r="DZ56">
            <v>0.04</v>
          </cell>
          <cell r="EA56">
            <v>0.04</v>
          </cell>
          <cell r="EB56">
            <v>0.04</v>
          </cell>
          <cell r="EC56">
            <v>0.04</v>
          </cell>
          <cell r="ED56">
            <v>0.04</v>
          </cell>
          <cell r="EE56">
            <v>0.04</v>
          </cell>
          <cell r="EF56">
            <v>0.04</v>
          </cell>
          <cell r="EG56">
            <v>0.04</v>
          </cell>
          <cell r="EH56">
            <v>0.04</v>
          </cell>
          <cell r="EI56">
            <v>0.04</v>
          </cell>
          <cell r="EJ56">
            <v>0.04</v>
          </cell>
          <cell r="EK56">
            <v>0.04</v>
          </cell>
          <cell r="EL56">
            <v>0.04</v>
          </cell>
          <cell r="EM56">
            <v>0.04</v>
          </cell>
          <cell r="EN56">
            <v>0.04</v>
          </cell>
          <cell r="EO56">
            <v>0.04</v>
          </cell>
          <cell r="EP56">
            <v>0.04</v>
          </cell>
          <cell r="EQ56">
            <v>0.04</v>
          </cell>
          <cell r="ER56">
            <v>0.04</v>
          </cell>
          <cell r="ES56">
            <v>0.04</v>
          </cell>
          <cell r="ET56">
            <v>0.04</v>
          </cell>
          <cell r="EU56">
            <v>0.04</v>
          </cell>
          <cell r="EV56">
            <v>0.04</v>
          </cell>
          <cell r="EW56">
            <v>0.04</v>
          </cell>
          <cell r="EX56">
            <v>0.04</v>
          </cell>
          <cell r="EY56">
            <v>0.04</v>
          </cell>
          <cell r="EZ56">
            <v>0.04</v>
          </cell>
          <cell r="FA56">
            <v>0.04</v>
          </cell>
          <cell r="FB56">
            <v>0.04</v>
          </cell>
          <cell r="FC56">
            <v>0.04</v>
          </cell>
          <cell r="FD56">
            <v>0.04</v>
          </cell>
          <cell r="FE56">
            <v>0.04</v>
          </cell>
          <cell r="FF56">
            <v>0.04</v>
          </cell>
          <cell r="FG56">
            <v>0.04</v>
          </cell>
          <cell r="FH56">
            <v>0.04</v>
          </cell>
          <cell r="FI56">
            <v>0.04</v>
          </cell>
          <cell r="FJ56">
            <v>0.04</v>
          </cell>
          <cell r="FK56">
            <v>0.04</v>
          </cell>
          <cell r="FL56">
            <v>0.04</v>
          </cell>
          <cell r="FM56">
            <v>0.04</v>
          </cell>
          <cell r="FN56">
            <v>0.04</v>
          </cell>
          <cell r="FO56">
            <v>0.04</v>
          </cell>
          <cell r="FP56">
            <v>0.04</v>
          </cell>
          <cell r="FQ56">
            <v>0.04</v>
          </cell>
          <cell r="FR56">
            <v>0.04</v>
          </cell>
        </row>
        <row r="57">
          <cell r="A57" t="str">
            <v>TJLP</v>
          </cell>
          <cell r="F57">
            <v>0.06</v>
          </cell>
          <cell r="G57">
            <v>0.06</v>
          </cell>
          <cell r="H57">
            <v>0.06</v>
          </cell>
          <cell r="I57">
            <v>0.06</v>
          </cell>
          <cell r="J57">
            <v>0.06</v>
          </cell>
          <cell r="K57">
            <v>0.06</v>
          </cell>
          <cell r="L57">
            <v>0.06</v>
          </cell>
          <cell r="M57">
            <v>0.06</v>
          </cell>
          <cell r="N57">
            <v>0.06</v>
          </cell>
          <cell r="O57">
            <v>0.06</v>
          </cell>
          <cell r="P57">
            <v>0.06</v>
          </cell>
          <cell r="Q57">
            <v>0.06</v>
          </cell>
          <cell r="R57">
            <v>0.09</v>
          </cell>
          <cell r="S57">
            <v>0.09</v>
          </cell>
          <cell r="T57">
            <v>0.09</v>
          </cell>
          <cell r="U57">
            <v>0.09</v>
          </cell>
          <cell r="V57">
            <v>0.09</v>
          </cell>
          <cell r="W57">
            <v>0.09</v>
          </cell>
          <cell r="X57">
            <v>0.09</v>
          </cell>
          <cell r="Y57">
            <v>0.09</v>
          </cell>
          <cell r="Z57">
            <v>0.09</v>
          </cell>
          <cell r="AA57">
            <v>0.09</v>
          </cell>
          <cell r="AB57">
            <v>0.09</v>
          </cell>
          <cell r="AC57">
            <v>0.09</v>
          </cell>
          <cell r="AD57">
            <v>0.09</v>
          </cell>
          <cell r="AE57">
            <v>0.09</v>
          </cell>
          <cell r="AF57">
            <v>0.09</v>
          </cell>
          <cell r="AG57">
            <v>0.09</v>
          </cell>
          <cell r="AH57">
            <v>0.09</v>
          </cell>
          <cell r="AI57">
            <v>0.09</v>
          </cell>
          <cell r="AJ57">
            <v>0.09</v>
          </cell>
          <cell r="AK57">
            <v>0.09</v>
          </cell>
          <cell r="AL57">
            <v>0.09</v>
          </cell>
          <cell r="AM57">
            <v>0.09</v>
          </cell>
          <cell r="AN57">
            <v>0.09</v>
          </cell>
          <cell r="AO57">
            <v>0.09</v>
          </cell>
          <cell r="AP57">
            <v>0.09</v>
          </cell>
          <cell r="AQ57">
            <v>0.09</v>
          </cell>
          <cell r="AR57">
            <v>0.09</v>
          </cell>
          <cell r="AS57">
            <v>0.09</v>
          </cell>
          <cell r="AT57">
            <v>0.09</v>
          </cell>
          <cell r="AU57">
            <v>0.09</v>
          </cell>
          <cell r="AV57">
            <v>0.09</v>
          </cell>
          <cell r="AW57">
            <v>0.09</v>
          </cell>
          <cell r="AX57">
            <v>0.09</v>
          </cell>
          <cell r="AY57">
            <v>0.09</v>
          </cell>
          <cell r="AZ57">
            <v>0.09</v>
          </cell>
          <cell r="BA57">
            <v>0.09</v>
          </cell>
          <cell r="BB57">
            <v>0.09</v>
          </cell>
          <cell r="BC57">
            <v>0.09</v>
          </cell>
          <cell r="BD57">
            <v>0.09</v>
          </cell>
          <cell r="BE57">
            <v>0.09</v>
          </cell>
          <cell r="BF57">
            <v>0.09</v>
          </cell>
          <cell r="BG57">
            <v>0.09</v>
          </cell>
          <cell r="BH57">
            <v>0.09</v>
          </cell>
          <cell r="BI57">
            <v>0.09</v>
          </cell>
          <cell r="BJ57">
            <v>0.09</v>
          </cell>
          <cell r="BK57">
            <v>0.09</v>
          </cell>
          <cell r="BL57">
            <v>0.09</v>
          </cell>
          <cell r="BM57">
            <v>0.09</v>
          </cell>
          <cell r="BN57">
            <v>0.09</v>
          </cell>
          <cell r="BO57">
            <v>0.09</v>
          </cell>
          <cell r="BP57">
            <v>0.09</v>
          </cell>
          <cell r="BQ57">
            <v>0.09</v>
          </cell>
          <cell r="BR57">
            <v>0.09</v>
          </cell>
          <cell r="BS57">
            <v>0.09</v>
          </cell>
          <cell r="BT57">
            <v>0.09</v>
          </cell>
          <cell r="BU57">
            <v>0.09</v>
          </cell>
          <cell r="BV57">
            <v>0.09</v>
          </cell>
          <cell r="BW57">
            <v>0.09</v>
          </cell>
          <cell r="BX57">
            <v>0.09</v>
          </cell>
          <cell r="BY57">
            <v>0.09</v>
          </cell>
          <cell r="BZ57">
            <v>0.09</v>
          </cell>
          <cell r="CA57">
            <v>0.09</v>
          </cell>
          <cell r="CB57">
            <v>0.09</v>
          </cell>
          <cell r="CC57">
            <v>0.09</v>
          </cell>
          <cell r="CD57">
            <v>0.09</v>
          </cell>
          <cell r="CE57">
            <v>0.09</v>
          </cell>
          <cell r="CF57">
            <v>0.09</v>
          </cell>
          <cell r="CG57">
            <v>0.09</v>
          </cell>
          <cell r="CH57">
            <v>0.09</v>
          </cell>
          <cell r="CI57">
            <v>0.09</v>
          </cell>
          <cell r="CJ57">
            <v>0.09</v>
          </cell>
          <cell r="CK57">
            <v>0.09</v>
          </cell>
          <cell r="CL57">
            <v>0.09</v>
          </cell>
          <cell r="CM57">
            <v>0.09</v>
          </cell>
          <cell r="CN57">
            <v>0.09</v>
          </cell>
          <cell r="CO57">
            <v>0.09</v>
          </cell>
          <cell r="CP57">
            <v>0.09</v>
          </cell>
          <cell r="CQ57">
            <v>0.09</v>
          </cell>
          <cell r="CR57">
            <v>0.09</v>
          </cell>
          <cell r="CS57">
            <v>0.09</v>
          </cell>
          <cell r="CT57">
            <v>0.09</v>
          </cell>
          <cell r="CU57">
            <v>0.09</v>
          </cell>
          <cell r="CV57">
            <v>0.09</v>
          </cell>
          <cell r="CW57">
            <v>0.09</v>
          </cell>
          <cell r="CX57">
            <v>0.09</v>
          </cell>
          <cell r="CY57">
            <v>0.09</v>
          </cell>
          <cell r="CZ57">
            <v>0.09</v>
          </cell>
          <cell r="DA57">
            <v>0.09</v>
          </cell>
          <cell r="DB57">
            <v>0.09</v>
          </cell>
          <cell r="DC57">
            <v>0.09</v>
          </cell>
          <cell r="DD57">
            <v>0.09</v>
          </cell>
          <cell r="DE57">
            <v>0.09</v>
          </cell>
          <cell r="DF57">
            <v>0.09</v>
          </cell>
          <cell r="DG57">
            <v>0.09</v>
          </cell>
          <cell r="DH57">
            <v>0.09</v>
          </cell>
          <cell r="DI57">
            <v>0.09</v>
          </cell>
          <cell r="DJ57">
            <v>0.09</v>
          </cell>
          <cell r="DK57">
            <v>0.09</v>
          </cell>
          <cell r="DL57">
            <v>0.09</v>
          </cell>
          <cell r="DM57">
            <v>0.09</v>
          </cell>
          <cell r="DN57">
            <v>0.09</v>
          </cell>
          <cell r="DO57">
            <v>0.09</v>
          </cell>
          <cell r="DP57">
            <v>0.09</v>
          </cell>
          <cell r="DQ57">
            <v>0.09</v>
          </cell>
          <cell r="DR57">
            <v>0.09</v>
          </cell>
          <cell r="DS57">
            <v>0.09</v>
          </cell>
          <cell r="DT57">
            <v>0.09</v>
          </cell>
          <cell r="DU57">
            <v>0.09</v>
          </cell>
          <cell r="DV57">
            <v>0.09</v>
          </cell>
          <cell r="DW57">
            <v>0.09</v>
          </cell>
          <cell r="DX57">
            <v>0.09</v>
          </cell>
          <cell r="DY57">
            <v>0.09</v>
          </cell>
          <cell r="DZ57">
            <v>0.09</v>
          </cell>
          <cell r="EA57">
            <v>0.09</v>
          </cell>
          <cell r="EB57">
            <v>0.09</v>
          </cell>
          <cell r="EC57">
            <v>0.09</v>
          </cell>
          <cell r="ED57">
            <v>0.09</v>
          </cell>
          <cell r="EE57">
            <v>0.09</v>
          </cell>
          <cell r="EF57">
            <v>0.09</v>
          </cell>
          <cell r="EG57">
            <v>0.09</v>
          </cell>
          <cell r="EH57">
            <v>0.09</v>
          </cell>
          <cell r="EI57">
            <v>0.09</v>
          </cell>
          <cell r="EJ57">
            <v>0.09</v>
          </cell>
          <cell r="EK57">
            <v>0.09</v>
          </cell>
          <cell r="EL57">
            <v>0.09</v>
          </cell>
          <cell r="EM57">
            <v>0.09</v>
          </cell>
          <cell r="EN57">
            <v>0.09</v>
          </cell>
          <cell r="EO57">
            <v>0.09</v>
          </cell>
          <cell r="EP57">
            <v>0.09</v>
          </cell>
          <cell r="EQ57">
            <v>0.09</v>
          </cell>
          <cell r="ER57">
            <v>0.09</v>
          </cell>
          <cell r="ES57">
            <v>0.09</v>
          </cell>
          <cell r="ET57">
            <v>0.09</v>
          </cell>
          <cell r="EU57">
            <v>0.09</v>
          </cell>
          <cell r="EV57">
            <v>0.09</v>
          </cell>
          <cell r="EW57">
            <v>0.09</v>
          </cell>
          <cell r="EX57">
            <v>0.09</v>
          </cell>
          <cell r="EY57">
            <v>0.09</v>
          </cell>
          <cell r="EZ57">
            <v>0.09</v>
          </cell>
          <cell r="FA57">
            <v>0.09</v>
          </cell>
          <cell r="FB57">
            <v>0.09</v>
          </cell>
          <cell r="FC57">
            <v>0.09</v>
          </cell>
          <cell r="FD57">
            <v>0.09</v>
          </cell>
          <cell r="FE57">
            <v>0.09</v>
          </cell>
          <cell r="FF57">
            <v>0.09</v>
          </cell>
          <cell r="FG57">
            <v>0.09</v>
          </cell>
          <cell r="FH57">
            <v>0.09</v>
          </cell>
          <cell r="FI57">
            <v>0.09</v>
          </cell>
          <cell r="FJ57">
            <v>0.09</v>
          </cell>
          <cell r="FK57">
            <v>0.09</v>
          </cell>
          <cell r="FL57">
            <v>0.09</v>
          </cell>
          <cell r="FM57">
            <v>0.09</v>
          </cell>
          <cell r="FN57">
            <v>0.09</v>
          </cell>
          <cell r="FO57">
            <v>0.09</v>
          </cell>
          <cell r="FP57">
            <v>0.09</v>
          </cell>
          <cell r="FQ57">
            <v>0.09</v>
          </cell>
          <cell r="FR57">
            <v>0.09</v>
          </cell>
        </row>
        <row r="58">
          <cell r="A58" t="str">
            <v>LIBOR</v>
          </cell>
          <cell r="F58">
            <v>4.7399999999999998E-2</v>
          </cell>
          <cell r="G58">
            <v>4.7399999999999998E-2</v>
          </cell>
          <cell r="H58">
            <v>4.7399999999999998E-2</v>
          </cell>
          <cell r="I58">
            <v>4.7399999999999998E-2</v>
          </cell>
          <cell r="J58">
            <v>4.7399999999999998E-2</v>
          </cell>
          <cell r="K58">
            <v>4.7399999999999998E-2</v>
          </cell>
          <cell r="L58">
            <v>4.7399999999999998E-2</v>
          </cell>
          <cell r="M58">
            <v>4.7399999999999998E-2</v>
          </cell>
          <cell r="N58">
            <v>4.7399999999999998E-2</v>
          </cell>
          <cell r="O58">
            <v>4.7399999999999998E-2</v>
          </cell>
          <cell r="P58">
            <v>4.7399999999999998E-2</v>
          </cell>
          <cell r="Q58">
            <v>4.7399999999999998E-2</v>
          </cell>
          <cell r="R58">
            <v>4.7399999999999998E-2</v>
          </cell>
          <cell r="S58">
            <v>4.7399999999999998E-2</v>
          </cell>
          <cell r="T58">
            <v>4.7399999999999998E-2</v>
          </cell>
          <cell r="U58">
            <v>4.7399999999999998E-2</v>
          </cell>
          <cell r="V58">
            <v>4.7399999999999998E-2</v>
          </cell>
          <cell r="W58">
            <v>4.7399999999999998E-2</v>
          </cell>
          <cell r="X58">
            <v>4.7399999999999998E-2</v>
          </cell>
          <cell r="Y58">
            <v>4.7399999999999998E-2</v>
          </cell>
          <cell r="Z58">
            <v>4.7399999999999998E-2</v>
          </cell>
          <cell r="AA58">
            <v>4.7399999999999998E-2</v>
          </cell>
          <cell r="AB58">
            <v>4.7399999999999998E-2</v>
          </cell>
          <cell r="AC58">
            <v>4.7399999999999998E-2</v>
          </cell>
          <cell r="AD58">
            <v>4.7399999999999998E-2</v>
          </cell>
          <cell r="AE58">
            <v>4.7399999999999998E-2</v>
          </cell>
          <cell r="AF58">
            <v>4.7399999999999998E-2</v>
          </cell>
          <cell r="AG58">
            <v>4.7399999999999998E-2</v>
          </cell>
          <cell r="AH58">
            <v>4.7399999999999998E-2</v>
          </cell>
          <cell r="AI58">
            <v>4.7399999999999998E-2</v>
          </cell>
          <cell r="AJ58">
            <v>4.7399999999999998E-2</v>
          </cell>
          <cell r="AK58">
            <v>4.7399999999999998E-2</v>
          </cell>
          <cell r="AL58">
            <v>4.7399999999999998E-2</v>
          </cell>
          <cell r="AM58">
            <v>4.7399999999999998E-2</v>
          </cell>
          <cell r="AN58">
            <v>4.7399999999999998E-2</v>
          </cell>
          <cell r="AO58">
            <v>4.7399999999999998E-2</v>
          </cell>
          <cell r="AP58">
            <v>4.7399999999999998E-2</v>
          </cell>
          <cell r="AQ58">
            <v>4.7399999999999998E-2</v>
          </cell>
          <cell r="AR58">
            <v>4.7399999999999998E-2</v>
          </cell>
          <cell r="AS58">
            <v>4.7399999999999998E-2</v>
          </cell>
          <cell r="AT58">
            <v>4.7399999999999998E-2</v>
          </cell>
          <cell r="AU58">
            <v>4.7399999999999998E-2</v>
          </cell>
          <cell r="AV58">
            <v>4.7399999999999998E-2</v>
          </cell>
          <cell r="AW58">
            <v>4.7399999999999998E-2</v>
          </cell>
          <cell r="AX58">
            <v>4.7399999999999998E-2</v>
          </cell>
          <cell r="AY58">
            <v>4.7399999999999998E-2</v>
          </cell>
          <cell r="AZ58">
            <v>4.7399999999999998E-2</v>
          </cell>
          <cell r="BA58">
            <v>4.7399999999999998E-2</v>
          </cell>
          <cell r="BB58">
            <v>4.7399999999999998E-2</v>
          </cell>
          <cell r="BC58">
            <v>4.7399999999999998E-2</v>
          </cell>
          <cell r="BD58">
            <v>4.7399999999999998E-2</v>
          </cell>
          <cell r="BE58">
            <v>4.7399999999999998E-2</v>
          </cell>
          <cell r="BF58">
            <v>4.7399999999999998E-2</v>
          </cell>
          <cell r="BG58">
            <v>4.7399999999999998E-2</v>
          </cell>
          <cell r="BH58">
            <v>4.7399999999999998E-2</v>
          </cell>
          <cell r="BI58">
            <v>4.7399999999999998E-2</v>
          </cell>
          <cell r="BJ58">
            <v>4.7399999999999998E-2</v>
          </cell>
          <cell r="BK58">
            <v>4.7399999999999998E-2</v>
          </cell>
          <cell r="BL58">
            <v>4.7399999999999998E-2</v>
          </cell>
          <cell r="BM58">
            <v>4.7399999999999998E-2</v>
          </cell>
          <cell r="BN58">
            <v>4.7399999999999998E-2</v>
          </cell>
          <cell r="BO58">
            <v>4.7399999999999998E-2</v>
          </cell>
          <cell r="BP58">
            <v>4.7399999999999998E-2</v>
          </cell>
          <cell r="BQ58">
            <v>4.7399999999999998E-2</v>
          </cell>
          <cell r="BR58">
            <v>4.7399999999999998E-2</v>
          </cell>
          <cell r="BS58">
            <v>4.7399999999999998E-2</v>
          </cell>
          <cell r="BT58">
            <v>4.7399999999999998E-2</v>
          </cell>
          <cell r="BU58">
            <v>4.7399999999999998E-2</v>
          </cell>
          <cell r="BV58">
            <v>4.7399999999999998E-2</v>
          </cell>
          <cell r="BW58">
            <v>4.7399999999999998E-2</v>
          </cell>
          <cell r="BX58">
            <v>4.7399999999999998E-2</v>
          </cell>
          <cell r="BY58">
            <v>4.7399999999999998E-2</v>
          </cell>
          <cell r="BZ58">
            <v>4.7399999999999998E-2</v>
          </cell>
          <cell r="CA58">
            <v>4.7399999999999998E-2</v>
          </cell>
          <cell r="CB58">
            <v>4.7399999999999998E-2</v>
          </cell>
          <cell r="CC58">
            <v>4.7399999999999998E-2</v>
          </cell>
          <cell r="CD58">
            <v>4.7399999999999998E-2</v>
          </cell>
          <cell r="CE58">
            <v>4.7399999999999998E-2</v>
          </cell>
          <cell r="CF58">
            <v>4.7399999999999998E-2</v>
          </cell>
          <cell r="CG58">
            <v>4.7399999999999998E-2</v>
          </cell>
          <cell r="CH58">
            <v>4.7399999999999998E-2</v>
          </cell>
          <cell r="CI58">
            <v>4.7399999999999998E-2</v>
          </cell>
          <cell r="CJ58">
            <v>4.7399999999999998E-2</v>
          </cell>
          <cell r="CK58">
            <v>4.7399999999999998E-2</v>
          </cell>
          <cell r="CL58">
            <v>4.7399999999999998E-2</v>
          </cell>
          <cell r="CM58">
            <v>4.7399999999999998E-2</v>
          </cell>
          <cell r="CN58">
            <v>4.7399999999999998E-2</v>
          </cell>
          <cell r="CO58">
            <v>4.7399999999999998E-2</v>
          </cell>
          <cell r="CP58">
            <v>4.7399999999999998E-2</v>
          </cell>
          <cell r="CQ58">
            <v>4.7399999999999998E-2</v>
          </cell>
          <cell r="CR58">
            <v>4.7399999999999998E-2</v>
          </cell>
          <cell r="CS58">
            <v>4.7399999999999998E-2</v>
          </cell>
          <cell r="CT58">
            <v>4.7399999999999998E-2</v>
          </cell>
          <cell r="CU58">
            <v>4.7399999999999998E-2</v>
          </cell>
          <cell r="CV58">
            <v>4.7399999999999998E-2</v>
          </cell>
          <cell r="CW58">
            <v>4.7399999999999998E-2</v>
          </cell>
          <cell r="CX58">
            <v>4.7399999999999998E-2</v>
          </cell>
          <cell r="CY58">
            <v>4.7399999999999998E-2</v>
          </cell>
          <cell r="CZ58">
            <v>4.7399999999999998E-2</v>
          </cell>
          <cell r="DA58">
            <v>4.7399999999999998E-2</v>
          </cell>
          <cell r="DB58">
            <v>4.7399999999999998E-2</v>
          </cell>
          <cell r="DC58">
            <v>4.7399999999999998E-2</v>
          </cell>
          <cell r="DD58">
            <v>4.7399999999999998E-2</v>
          </cell>
          <cell r="DE58">
            <v>4.7399999999999998E-2</v>
          </cell>
          <cell r="DF58">
            <v>4.7399999999999998E-2</v>
          </cell>
          <cell r="DG58">
            <v>4.7399999999999998E-2</v>
          </cell>
          <cell r="DH58">
            <v>4.7399999999999998E-2</v>
          </cell>
          <cell r="DI58">
            <v>4.7399999999999998E-2</v>
          </cell>
          <cell r="DJ58">
            <v>4.7399999999999998E-2</v>
          </cell>
          <cell r="DK58">
            <v>4.7399999999999998E-2</v>
          </cell>
          <cell r="DL58">
            <v>4.7399999999999998E-2</v>
          </cell>
          <cell r="DM58">
            <v>4.7399999999999998E-2</v>
          </cell>
          <cell r="DN58">
            <v>4.7399999999999998E-2</v>
          </cell>
          <cell r="DO58">
            <v>4.7399999999999998E-2</v>
          </cell>
          <cell r="DP58">
            <v>4.7399999999999998E-2</v>
          </cell>
          <cell r="DQ58">
            <v>4.7399999999999998E-2</v>
          </cell>
          <cell r="DR58">
            <v>4.7399999999999998E-2</v>
          </cell>
          <cell r="DS58">
            <v>4.7399999999999998E-2</v>
          </cell>
          <cell r="DT58">
            <v>4.7399999999999998E-2</v>
          </cell>
          <cell r="DU58">
            <v>4.7399999999999998E-2</v>
          </cell>
          <cell r="DV58">
            <v>4.7399999999999998E-2</v>
          </cell>
          <cell r="DW58">
            <v>4.7399999999999998E-2</v>
          </cell>
          <cell r="DX58">
            <v>4.7399999999999998E-2</v>
          </cell>
          <cell r="DY58">
            <v>4.7399999999999998E-2</v>
          </cell>
          <cell r="DZ58">
            <v>4.7399999999999998E-2</v>
          </cell>
          <cell r="EA58">
            <v>4.7399999999999998E-2</v>
          </cell>
          <cell r="EB58">
            <v>4.7399999999999998E-2</v>
          </cell>
          <cell r="EC58">
            <v>4.7399999999999998E-2</v>
          </cell>
          <cell r="ED58">
            <v>4.7399999999999998E-2</v>
          </cell>
          <cell r="EE58">
            <v>4.7399999999999998E-2</v>
          </cell>
          <cell r="EF58">
            <v>4.7399999999999998E-2</v>
          </cell>
          <cell r="EG58">
            <v>4.7399999999999998E-2</v>
          </cell>
          <cell r="EH58">
            <v>4.7399999999999998E-2</v>
          </cell>
          <cell r="EI58">
            <v>4.7399999999999998E-2</v>
          </cell>
          <cell r="EJ58">
            <v>4.7399999999999998E-2</v>
          </cell>
          <cell r="EK58">
            <v>4.7399999999999998E-2</v>
          </cell>
          <cell r="EL58">
            <v>4.7399999999999998E-2</v>
          </cell>
          <cell r="EM58">
            <v>4.7399999999999998E-2</v>
          </cell>
          <cell r="EN58">
            <v>4.7399999999999998E-2</v>
          </cell>
          <cell r="EO58">
            <v>4.7399999999999998E-2</v>
          </cell>
          <cell r="EP58">
            <v>4.7399999999999998E-2</v>
          </cell>
          <cell r="EQ58">
            <v>4.7399999999999998E-2</v>
          </cell>
          <cell r="ER58">
            <v>4.7399999999999998E-2</v>
          </cell>
          <cell r="ES58">
            <v>4.7399999999999998E-2</v>
          </cell>
          <cell r="ET58">
            <v>4.7399999999999998E-2</v>
          </cell>
          <cell r="EU58">
            <v>4.7399999999999998E-2</v>
          </cell>
          <cell r="EV58">
            <v>4.7399999999999998E-2</v>
          </cell>
          <cell r="EW58">
            <v>4.7399999999999998E-2</v>
          </cell>
          <cell r="EX58">
            <v>4.7399999999999998E-2</v>
          </cell>
          <cell r="EY58">
            <v>4.7399999999999998E-2</v>
          </cell>
          <cell r="EZ58">
            <v>4.7399999999999998E-2</v>
          </cell>
          <cell r="FA58">
            <v>4.7399999999999998E-2</v>
          </cell>
          <cell r="FB58">
            <v>4.7399999999999998E-2</v>
          </cell>
          <cell r="FC58">
            <v>4.7399999999999998E-2</v>
          </cell>
          <cell r="FD58">
            <v>4.7399999999999998E-2</v>
          </cell>
          <cell r="FE58">
            <v>4.7399999999999998E-2</v>
          </cell>
          <cell r="FF58">
            <v>4.7399999999999998E-2</v>
          </cell>
          <cell r="FG58">
            <v>4.7399999999999998E-2</v>
          </cell>
          <cell r="FH58">
            <v>4.7399999999999998E-2</v>
          </cell>
          <cell r="FI58">
            <v>4.7399999999999998E-2</v>
          </cell>
          <cell r="FJ58">
            <v>4.7399999999999998E-2</v>
          </cell>
          <cell r="FK58">
            <v>4.7399999999999998E-2</v>
          </cell>
          <cell r="FL58">
            <v>4.7399999999999998E-2</v>
          </cell>
          <cell r="FM58">
            <v>4.7399999999999998E-2</v>
          </cell>
          <cell r="FN58">
            <v>4.7399999999999998E-2</v>
          </cell>
          <cell r="FO58">
            <v>4.7399999999999998E-2</v>
          </cell>
          <cell r="FP58">
            <v>4.7399999999999998E-2</v>
          </cell>
          <cell r="FQ58">
            <v>4.7399999999999998E-2</v>
          </cell>
          <cell r="FR58">
            <v>4.7399999999999998E-2</v>
          </cell>
        </row>
        <row r="59">
          <cell r="A59" t="str">
            <v>CDI</v>
          </cell>
          <cell r="F59">
            <v>0.16500000000000001</v>
          </cell>
          <cell r="G59">
            <v>0.16500000000000001</v>
          </cell>
          <cell r="H59">
            <v>0.16500000000000001</v>
          </cell>
          <cell r="I59">
            <v>0.16500000000000001</v>
          </cell>
          <cell r="J59">
            <v>0.16500000000000001</v>
          </cell>
          <cell r="K59">
            <v>0.16500000000000001</v>
          </cell>
          <cell r="L59">
            <v>0.16500000000000001</v>
          </cell>
          <cell r="M59">
            <v>0.16500000000000001</v>
          </cell>
          <cell r="N59">
            <v>0.16500000000000001</v>
          </cell>
          <cell r="O59">
            <v>0.16500000000000001</v>
          </cell>
          <cell r="P59">
            <v>0.16500000000000001</v>
          </cell>
          <cell r="Q59">
            <v>0.16500000000000001</v>
          </cell>
          <cell r="R59">
            <v>0.16500000000000001</v>
          </cell>
          <cell r="S59">
            <v>0.16500000000000001</v>
          </cell>
          <cell r="T59">
            <v>0.16500000000000001</v>
          </cell>
          <cell r="U59">
            <v>0.16500000000000001</v>
          </cell>
          <cell r="V59">
            <v>0.16500000000000001</v>
          </cell>
          <cell r="W59">
            <v>0.16500000000000001</v>
          </cell>
          <cell r="X59">
            <v>0.16500000000000001</v>
          </cell>
          <cell r="Y59">
            <v>0.16500000000000001</v>
          </cell>
          <cell r="Z59">
            <v>0.16500000000000001</v>
          </cell>
          <cell r="AA59">
            <v>0.16500000000000001</v>
          </cell>
          <cell r="AB59">
            <v>0.16500000000000001</v>
          </cell>
          <cell r="AC59">
            <v>0.16500000000000001</v>
          </cell>
          <cell r="AD59">
            <v>0.16500000000000001</v>
          </cell>
          <cell r="AE59">
            <v>0.16500000000000001</v>
          </cell>
          <cell r="AF59">
            <v>0.16500000000000001</v>
          </cell>
          <cell r="AG59">
            <v>0.16500000000000001</v>
          </cell>
          <cell r="AH59">
            <v>0.16500000000000001</v>
          </cell>
          <cell r="AI59">
            <v>0.16500000000000001</v>
          </cell>
          <cell r="AJ59">
            <v>0.16500000000000001</v>
          </cell>
          <cell r="AK59">
            <v>0.16500000000000001</v>
          </cell>
          <cell r="AL59">
            <v>0.16500000000000001</v>
          </cell>
          <cell r="AM59">
            <v>0.16500000000000001</v>
          </cell>
          <cell r="AN59">
            <v>0.16500000000000001</v>
          </cell>
          <cell r="AO59">
            <v>0.16500000000000001</v>
          </cell>
          <cell r="AP59">
            <v>0.16500000000000001</v>
          </cell>
          <cell r="AQ59">
            <v>0.16500000000000001</v>
          </cell>
          <cell r="AR59">
            <v>0.16500000000000001</v>
          </cell>
          <cell r="AS59">
            <v>0.16500000000000001</v>
          </cell>
          <cell r="AT59">
            <v>0.16500000000000001</v>
          </cell>
          <cell r="AU59">
            <v>0.16500000000000001</v>
          </cell>
          <cell r="AV59">
            <v>0.16500000000000001</v>
          </cell>
          <cell r="AW59">
            <v>0.16500000000000001</v>
          </cell>
          <cell r="AX59">
            <v>0.16500000000000001</v>
          </cell>
          <cell r="AY59">
            <v>0.16500000000000001</v>
          </cell>
          <cell r="AZ59">
            <v>0.16500000000000001</v>
          </cell>
          <cell r="BA59">
            <v>0.16500000000000001</v>
          </cell>
          <cell r="BB59">
            <v>0.16500000000000001</v>
          </cell>
          <cell r="BC59">
            <v>0.16500000000000001</v>
          </cell>
          <cell r="BD59">
            <v>0.16500000000000001</v>
          </cell>
          <cell r="BE59">
            <v>0.16500000000000001</v>
          </cell>
          <cell r="BF59">
            <v>0.16500000000000001</v>
          </cell>
          <cell r="BG59">
            <v>0.16500000000000001</v>
          </cell>
          <cell r="BH59">
            <v>0.16500000000000001</v>
          </cell>
          <cell r="BI59">
            <v>0.16500000000000001</v>
          </cell>
          <cell r="BJ59">
            <v>0.16500000000000001</v>
          </cell>
          <cell r="BK59">
            <v>0.16500000000000001</v>
          </cell>
          <cell r="BL59">
            <v>0.16500000000000001</v>
          </cell>
          <cell r="BM59">
            <v>0.16500000000000001</v>
          </cell>
          <cell r="BN59">
            <v>0.16500000000000001</v>
          </cell>
          <cell r="BO59">
            <v>0.16500000000000001</v>
          </cell>
          <cell r="BP59">
            <v>0.16500000000000001</v>
          </cell>
          <cell r="BQ59">
            <v>0.16500000000000001</v>
          </cell>
          <cell r="BR59">
            <v>0.16500000000000001</v>
          </cell>
          <cell r="BS59">
            <v>0.16500000000000001</v>
          </cell>
          <cell r="BT59">
            <v>0.16500000000000001</v>
          </cell>
          <cell r="BU59">
            <v>0.16500000000000001</v>
          </cell>
          <cell r="BV59">
            <v>0.16500000000000001</v>
          </cell>
          <cell r="BW59">
            <v>0.16500000000000001</v>
          </cell>
          <cell r="BX59">
            <v>0.16500000000000001</v>
          </cell>
          <cell r="BY59">
            <v>0.16500000000000001</v>
          </cell>
          <cell r="BZ59">
            <v>0.16500000000000001</v>
          </cell>
          <cell r="CA59">
            <v>0.16500000000000001</v>
          </cell>
          <cell r="CB59">
            <v>0.16500000000000001</v>
          </cell>
          <cell r="CC59">
            <v>0.16500000000000001</v>
          </cell>
          <cell r="CD59">
            <v>0.16500000000000001</v>
          </cell>
          <cell r="CE59">
            <v>0.16500000000000001</v>
          </cell>
          <cell r="CF59">
            <v>0.16500000000000001</v>
          </cell>
          <cell r="CG59">
            <v>0.16500000000000001</v>
          </cell>
          <cell r="CH59">
            <v>0.16500000000000001</v>
          </cell>
          <cell r="CI59">
            <v>0.16500000000000001</v>
          </cell>
          <cell r="CJ59">
            <v>0.16500000000000001</v>
          </cell>
          <cell r="CK59">
            <v>0.16500000000000001</v>
          </cell>
          <cell r="CL59">
            <v>0.16500000000000001</v>
          </cell>
          <cell r="CM59">
            <v>0.16500000000000001</v>
          </cell>
          <cell r="CN59">
            <v>0.16500000000000001</v>
          </cell>
          <cell r="CO59">
            <v>0.16500000000000001</v>
          </cell>
          <cell r="CP59">
            <v>0.16500000000000001</v>
          </cell>
          <cell r="CQ59">
            <v>0.16500000000000001</v>
          </cell>
          <cell r="CR59">
            <v>0.16500000000000001</v>
          </cell>
          <cell r="CS59">
            <v>0.16500000000000001</v>
          </cell>
          <cell r="CT59">
            <v>0.16500000000000001</v>
          </cell>
          <cell r="CU59">
            <v>0.16500000000000001</v>
          </cell>
          <cell r="CV59">
            <v>0.16500000000000001</v>
          </cell>
          <cell r="CW59">
            <v>0.16500000000000001</v>
          </cell>
          <cell r="CX59">
            <v>0.16500000000000001</v>
          </cell>
          <cell r="CY59">
            <v>0.16500000000000001</v>
          </cell>
          <cell r="CZ59">
            <v>0.16500000000000001</v>
          </cell>
          <cell r="DA59">
            <v>0.16500000000000001</v>
          </cell>
          <cell r="DB59">
            <v>0.16500000000000001</v>
          </cell>
          <cell r="DC59">
            <v>0.16500000000000001</v>
          </cell>
          <cell r="DD59">
            <v>0.16500000000000001</v>
          </cell>
          <cell r="DE59">
            <v>0.16500000000000001</v>
          </cell>
          <cell r="DF59">
            <v>0.16500000000000001</v>
          </cell>
          <cell r="DG59">
            <v>0.16500000000000001</v>
          </cell>
          <cell r="DH59">
            <v>0.16500000000000001</v>
          </cell>
          <cell r="DI59">
            <v>0.16500000000000001</v>
          </cell>
          <cell r="DJ59">
            <v>0.16500000000000001</v>
          </cell>
          <cell r="DK59">
            <v>0.16500000000000001</v>
          </cell>
          <cell r="DL59">
            <v>0.16500000000000001</v>
          </cell>
          <cell r="DM59">
            <v>0.16500000000000001</v>
          </cell>
          <cell r="DN59">
            <v>0.16500000000000001</v>
          </cell>
          <cell r="DO59">
            <v>0.16500000000000001</v>
          </cell>
          <cell r="DP59">
            <v>0.16500000000000001</v>
          </cell>
          <cell r="DQ59">
            <v>0.16500000000000001</v>
          </cell>
          <cell r="DR59">
            <v>0.16500000000000001</v>
          </cell>
          <cell r="DS59">
            <v>0.16500000000000001</v>
          </cell>
          <cell r="DT59">
            <v>0.16500000000000001</v>
          </cell>
          <cell r="DU59">
            <v>0.16500000000000001</v>
          </cell>
          <cell r="DV59">
            <v>0.16500000000000001</v>
          </cell>
          <cell r="DW59">
            <v>0.16500000000000001</v>
          </cell>
          <cell r="DX59">
            <v>0.16500000000000001</v>
          </cell>
          <cell r="DY59">
            <v>0.16500000000000001</v>
          </cell>
          <cell r="DZ59">
            <v>0.16500000000000001</v>
          </cell>
          <cell r="EA59">
            <v>0.16500000000000001</v>
          </cell>
          <cell r="EB59">
            <v>0.16500000000000001</v>
          </cell>
          <cell r="EC59">
            <v>0.16500000000000001</v>
          </cell>
          <cell r="ED59">
            <v>0.16500000000000001</v>
          </cell>
          <cell r="EE59">
            <v>0.16500000000000001</v>
          </cell>
          <cell r="EF59">
            <v>0.16500000000000001</v>
          </cell>
          <cell r="EG59">
            <v>0.16500000000000001</v>
          </cell>
          <cell r="EH59">
            <v>0.16500000000000001</v>
          </cell>
          <cell r="EI59">
            <v>0.16500000000000001</v>
          </cell>
          <cell r="EJ59">
            <v>0.16500000000000001</v>
          </cell>
          <cell r="EK59">
            <v>0.16500000000000001</v>
          </cell>
          <cell r="EL59">
            <v>0.16500000000000001</v>
          </cell>
          <cell r="EM59">
            <v>0.16500000000000001</v>
          </cell>
          <cell r="EN59">
            <v>0.16500000000000001</v>
          </cell>
          <cell r="EO59">
            <v>0.16500000000000001</v>
          </cell>
          <cell r="EP59">
            <v>0.16500000000000001</v>
          </cell>
          <cell r="EQ59">
            <v>0.16500000000000001</v>
          </cell>
          <cell r="ER59">
            <v>0.16500000000000001</v>
          </cell>
          <cell r="ES59">
            <v>0.16500000000000001</v>
          </cell>
          <cell r="ET59">
            <v>0.16500000000000001</v>
          </cell>
          <cell r="EU59">
            <v>0.16500000000000001</v>
          </cell>
          <cell r="EV59">
            <v>0.16500000000000001</v>
          </cell>
          <cell r="EW59">
            <v>0.16500000000000001</v>
          </cell>
          <cell r="EX59">
            <v>0.16500000000000001</v>
          </cell>
          <cell r="EY59">
            <v>0.16500000000000001</v>
          </cell>
          <cell r="EZ59">
            <v>0.16500000000000001</v>
          </cell>
          <cell r="FA59">
            <v>0.16500000000000001</v>
          </cell>
          <cell r="FB59">
            <v>0.16500000000000001</v>
          </cell>
          <cell r="FC59">
            <v>0.16500000000000001</v>
          </cell>
          <cell r="FD59">
            <v>0.16500000000000001</v>
          </cell>
          <cell r="FE59">
            <v>0.16500000000000001</v>
          </cell>
          <cell r="FF59">
            <v>0.16500000000000001</v>
          </cell>
          <cell r="FG59">
            <v>0.16500000000000001</v>
          </cell>
          <cell r="FH59">
            <v>0.16500000000000001</v>
          </cell>
          <cell r="FI59">
            <v>0.16500000000000001</v>
          </cell>
          <cell r="FJ59">
            <v>0.16500000000000001</v>
          </cell>
          <cell r="FK59">
            <v>0.16500000000000001</v>
          </cell>
          <cell r="FL59">
            <v>0.16500000000000001</v>
          </cell>
          <cell r="FM59">
            <v>0.16500000000000001</v>
          </cell>
          <cell r="FN59">
            <v>0.16500000000000001</v>
          </cell>
          <cell r="FO59">
            <v>0.16500000000000001</v>
          </cell>
          <cell r="FP59">
            <v>0.16500000000000001</v>
          </cell>
          <cell r="FQ59">
            <v>0.16500000000000001</v>
          </cell>
          <cell r="FR59">
            <v>0.16500000000000001</v>
          </cell>
        </row>
        <row r="60">
          <cell r="A60" t="str">
            <v>TR</v>
          </cell>
          <cell r="F60">
            <v>0.06</v>
          </cell>
          <cell r="G60">
            <v>0.06</v>
          </cell>
          <cell r="H60">
            <v>0.06</v>
          </cell>
          <cell r="I60">
            <v>0.06</v>
          </cell>
          <cell r="J60">
            <v>0.06</v>
          </cell>
          <cell r="K60">
            <v>0.06</v>
          </cell>
          <cell r="L60">
            <v>0.06</v>
          </cell>
          <cell r="M60">
            <v>0.06</v>
          </cell>
          <cell r="N60">
            <v>0.06</v>
          </cell>
          <cell r="O60">
            <v>0.06</v>
          </cell>
          <cell r="P60">
            <v>0.06</v>
          </cell>
          <cell r="Q60">
            <v>0.06</v>
          </cell>
          <cell r="R60">
            <v>2.8370350651616194E-2</v>
          </cell>
          <cell r="S60">
            <v>2.8370350651616194E-2</v>
          </cell>
          <cell r="T60">
            <v>2.8370350651616194E-2</v>
          </cell>
          <cell r="U60">
            <v>2.8370350651616194E-2</v>
          </cell>
          <cell r="V60">
            <v>2.8370350651616194E-2</v>
          </cell>
          <cell r="W60">
            <v>2.8370350651616194E-2</v>
          </cell>
          <cell r="X60">
            <v>2.8370350651616194E-2</v>
          </cell>
          <cell r="Y60">
            <v>2.8370350651616194E-2</v>
          </cell>
          <cell r="Z60">
            <v>2.8370350651616194E-2</v>
          </cell>
          <cell r="AA60">
            <v>2.8370350651616194E-2</v>
          </cell>
          <cell r="AB60">
            <v>2.8370350651616194E-2</v>
          </cell>
          <cell r="AC60">
            <v>2.8370350651616194E-2</v>
          </cell>
          <cell r="AD60">
            <v>2.8370350651616194E-2</v>
          </cell>
          <cell r="AE60">
            <v>2.8370350651616194E-2</v>
          </cell>
          <cell r="AF60">
            <v>2.8370350651616194E-2</v>
          </cell>
          <cell r="AG60">
            <v>2.8370350651616194E-2</v>
          </cell>
          <cell r="AH60">
            <v>2.8370350651616194E-2</v>
          </cell>
          <cell r="AI60">
            <v>2.8370350651616194E-2</v>
          </cell>
          <cell r="AJ60">
            <v>2.8370350651616194E-2</v>
          </cell>
          <cell r="AK60">
            <v>2.8370350651616194E-2</v>
          </cell>
          <cell r="AL60">
            <v>2.8370350651616194E-2</v>
          </cell>
          <cell r="AM60">
            <v>2.8370350651616194E-2</v>
          </cell>
          <cell r="AN60">
            <v>2.8370350651616194E-2</v>
          </cell>
          <cell r="AO60">
            <v>2.8370350651616194E-2</v>
          </cell>
          <cell r="AP60">
            <v>2.8370350651616194E-2</v>
          </cell>
          <cell r="AQ60">
            <v>2.8370350651616194E-2</v>
          </cell>
          <cell r="AR60">
            <v>2.8370350651616194E-2</v>
          </cell>
          <cell r="AS60">
            <v>2.8370350651616194E-2</v>
          </cell>
          <cell r="AT60">
            <v>2.8370350651616194E-2</v>
          </cell>
          <cell r="AU60">
            <v>2.8370350651616194E-2</v>
          </cell>
          <cell r="AV60">
            <v>2.8370350651616194E-2</v>
          </cell>
          <cell r="AW60">
            <v>2.8370350651616194E-2</v>
          </cell>
          <cell r="AX60">
            <v>2.8370350651616194E-2</v>
          </cell>
          <cell r="AY60">
            <v>2.8370350651616194E-2</v>
          </cell>
          <cell r="AZ60">
            <v>2.8370350651616194E-2</v>
          </cell>
          <cell r="BA60">
            <v>2.8370350651616194E-2</v>
          </cell>
          <cell r="BB60">
            <v>2.8370350651616194E-2</v>
          </cell>
          <cell r="BC60">
            <v>2.8370350651616194E-2</v>
          </cell>
          <cell r="BD60">
            <v>2.8370350651616194E-2</v>
          </cell>
          <cell r="BE60">
            <v>2.8370350651616194E-2</v>
          </cell>
          <cell r="BF60">
            <v>2.8370350651616194E-2</v>
          </cell>
          <cell r="BG60">
            <v>2.8370350651616194E-2</v>
          </cell>
          <cell r="BH60">
            <v>2.8370350651616194E-2</v>
          </cell>
          <cell r="BI60">
            <v>2.8370350651616194E-2</v>
          </cell>
          <cell r="BJ60">
            <v>2.8370350651616194E-2</v>
          </cell>
          <cell r="BK60">
            <v>2.8370350651616194E-2</v>
          </cell>
          <cell r="BL60">
            <v>2.8370350651616194E-2</v>
          </cell>
          <cell r="BM60">
            <v>2.8370350651616194E-2</v>
          </cell>
          <cell r="BN60">
            <v>2.8370350651616194E-2</v>
          </cell>
          <cell r="BO60">
            <v>2.8370350651616194E-2</v>
          </cell>
          <cell r="BP60">
            <v>2.8370350651616194E-2</v>
          </cell>
          <cell r="BQ60">
            <v>2.8370350651616194E-2</v>
          </cell>
          <cell r="BR60">
            <v>2.8370350651616194E-2</v>
          </cell>
          <cell r="BS60">
            <v>2.8370350651616194E-2</v>
          </cell>
          <cell r="BT60">
            <v>2.8370350651616194E-2</v>
          </cell>
          <cell r="BU60">
            <v>2.8370350651616194E-2</v>
          </cell>
          <cell r="BV60">
            <v>2.8370350651616194E-2</v>
          </cell>
          <cell r="BW60">
            <v>2.8370350651616194E-2</v>
          </cell>
          <cell r="BX60">
            <v>2.8370350651616194E-2</v>
          </cell>
          <cell r="BY60">
            <v>2.8370350651616194E-2</v>
          </cell>
          <cell r="BZ60">
            <v>2.8370350651616194E-2</v>
          </cell>
          <cell r="CA60">
            <v>2.8370350651616194E-2</v>
          </cell>
          <cell r="CB60">
            <v>2.8370350651616194E-2</v>
          </cell>
          <cell r="CC60">
            <v>2.8370350651616194E-2</v>
          </cell>
          <cell r="CD60">
            <v>2.8370350651616194E-2</v>
          </cell>
          <cell r="CE60">
            <v>2.8370350651616194E-2</v>
          </cell>
          <cell r="CF60">
            <v>2.8370350651616194E-2</v>
          </cell>
          <cell r="CG60">
            <v>2.8370350651616194E-2</v>
          </cell>
          <cell r="CH60">
            <v>2.8370350651616194E-2</v>
          </cell>
          <cell r="CI60">
            <v>2.8370350651616194E-2</v>
          </cell>
          <cell r="CJ60">
            <v>2.8370350651616194E-2</v>
          </cell>
          <cell r="CK60">
            <v>2.8370350651616194E-2</v>
          </cell>
          <cell r="CL60">
            <v>2.8370350651616194E-2</v>
          </cell>
          <cell r="CM60">
            <v>2.8370350651616194E-2</v>
          </cell>
          <cell r="CN60">
            <v>2.8370350651616194E-2</v>
          </cell>
          <cell r="CO60">
            <v>2.8370350651616194E-2</v>
          </cell>
          <cell r="CP60">
            <v>2.8370350651616194E-2</v>
          </cell>
          <cell r="CQ60">
            <v>2.8370350651616194E-2</v>
          </cell>
          <cell r="CR60">
            <v>2.8370350651616194E-2</v>
          </cell>
          <cell r="CS60">
            <v>2.8370350651616194E-2</v>
          </cell>
          <cell r="CT60">
            <v>2.8370350651616194E-2</v>
          </cell>
          <cell r="CU60">
            <v>2.8370350651616194E-2</v>
          </cell>
          <cell r="CV60">
            <v>2.8370350651616194E-2</v>
          </cell>
          <cell r="CW60">
            <v>2.8370350651616194E-2</v>
          </cell>
          <cell r="CX60">
            <v>2.8370350651616194E-2</v>
          </cell>
          <cell r="CY60">
            <v>2.8370350651616194E-2</v>
          </cell>
          <cell r="CZ60">
            <v>2.8370350651616194E-2</v>
          </cell>
          <cell r="DA60">
            <v>2.8370350651616194E-2</v>
          </cell>
          <cell r="DB60">
            <v>2.8370350651616194E-2</v>
          </cell>
          <cell r="DC60">
            <v>2.8370350651616194E-2</v>
          </cell>
          <cell r="DD60">
            <v>2.8370350651616194E-2</v>
          </cell>
          <cell r="DE60">
            <v>2.8370350651616194E-2</v>
          </cell>
          <cell r="DF60">
            <v>2.8370350651616194E-2</v>
          </cell>
          <cell r="DG60">
            <v>2.8370350651616194E-2</v>
          </cell>
          <cell r="DH60">
            <v>2.8370350651616194E-2</v>
          </cell>
          <cell r="DI60">
            <v>2.8370350651616194E-2</v>
          </cell>
          <cell r="DJ60">
            <v>2.8370350651616194E-2</v>
          </cell>
          <cell r="DK60">
            <v>2.8370350651616194E-2</v>
          </cell>
          <cell r="DL60">
            <v>2.8370350651616194E-2</v>
          </cell>
          <cell r="DM60">
            <v>2.8370350651616194E-2</v>
          </cell>
          <cell r="DN60">
            <v>2.8370350651616194E-2</v>
          </cell>
          <cell r="DO60">
            <v>2.8370350651616194E-2</v>
          </cell>
          <cell r="DP60">
            <v>2.8370350651616194E-2</v>
          </cell>
          <cell r="DQ60">
            <v>2.8370350651616194E-2</v>
          </cell>
          <cell r="DR60">
            <v>2.8370350651616194E-2</v>
          </cell>
          <cell r="DS60">
            <v>2.8370350651616194E-2</v>
          </cell>
          <cell r="DT60">
            <v>2.8370350651616194E-2</v>
          </cell>
          <cell r="DU60">
            <v>2.8370350651616194E-2</v>
          </cell>
          <cell r="DV60">
            <v>2.8370350651616194E-2</v>
          </cell>
          <cell r="DW60">
            <v>2.8370350651616194E-2</v>
          </cell>
          <cell r="DX60">
            <v>2.8370350651616194E-2</v>
          </cell>
          <cell r="DY60">
            <v>2.8370350651616194E-2</v>
          </cell>
          <cell r="DZ60">
            <v>2.8370350651616194E-2</v>
          </cell>
          <cell r="EA60">
            <v>2.8370350651616194E-2</v>
          </cell>
          <cell r="EB60">
            <v>2.8370350651616194E-2</v>
          </cell>
          <cell r="EC60">
            <v>2.8370350651616194E-2</v>
          </cell>
          <cell r="ED60">
            <v>2.8370350651616194E-2</v>
          </cell>
          <cell r="EE60">
            <v>2.8370350651616194E-2</v>
          </cell>
          <cell r="EF60">
            <v>2.8370350651616194E-2</v>
          </cell>
          <cell r="EG60">
            <v>2.8370350651616194E-2</v>
          </cell>
          <cell r="EH60">
            <v>2.8370350651616194E-2</v>
          </cell>
          <cell r="EI60">
            <v>2.8370350651616194E-2</v>
          </cell>
          <cell r="EJ60">
            <v>2.8370350651616194E-2</v>
          </cell>
          <cell r="EK60">
            <v>2.8370350651616194E-2</v>
          </cell>
          <cell r="EL60">
            <v>2.8370350651616194E-2</v>
          </cell>
          <cell r="EM60">
            <v>2.8370350651616194E-2</v>
          </cell>
          <cell r="EN60">
            <v>2.8370350651616194E-2</v>
          </cell>
          <cell r="EO60">
            <v>2.8370350651616194E-2</v>
          </cell>
          <cell r="EP60">
            <v>2.8370350651616194E-2</v>
          </cell>
          <cell r="EQ60">
            <v>2.8370350651616194E-2</v>
          </cell>
          <cell r="ER60">
            <v>2.8370350651616194E-2</v>
          </cell>
          <cell r="ES60">
            <v>2.8370350651616194E-2</v>
          </cell>
          <cell r="ET60">
            <v>2.8370350651616194E-2</v>
          </cell>
          <cell r="EU60">
            <v>2.8370350651616194E-2</v>
          </cell>
          <cell r="EV60">
            <v>2.8370350651616194E-2</v>
          </cell>
          <cell r="EW60">
            <v>2.8370350651616194E-2</v>
          </cell>
          <cell r="EX60">
            <v>2.8370350651616194E-2</v>
          </cell>
          <cell r="EY60">
            <v>2.8370350651616194E-2</v>
          </cell>
          <cell r="EZ60">
            <v>2.8370350651616194E-2</v>
          </cell>
          <cell r="FA60">
            <v>2.8370350651616194E-2</v>
          </cell>
          <cell r="FB60">
            <v>2.8370350651616194E-2</v>
          </cell>
          <cell r="FC60">
            <v>2.8370350651616194E-2</v>
          </cell>
          <cell r="FD60">
            <v>2.8370350651616194E-2</v>
          </cell>
          <cell r="FE60">
            <v>2.8370350651616194E-2</v>
          </cell>
          <cell r="FF60">
            <v>2.8370350651616194E-2</v>
          </cell>
          <cell r="FG60">
            <v>2.8370350651616194E-2</v>
          </cell>
          <cell r="FH60">
            <v>2.8370350651616194E-2</v>
          </cell>
          <cell r="FI60">
            <v>2.8370350651616194E-2</v>
          </cell>
          <cell r="FJ60">
            <v>2.8370350651616194E-2</v>
          </cell>
          <cell r="FK60">
            <v>2.8370350651616194E-2</v>
          </cell>
          <cell r="FL60">
            <v>2.8370350651616194E-2</v>
          </cell>
          <cell r="FM60">
            <v>2.8370350651616194E-2</v>
          </cell>
          <cell r="FN60">
            <v>2.8370350651616194E-2</v>
          </cell>
          <cell r="FO60">
            <v>2.8370350651616194E-2</v>
          </cell>
          <cell r="FP60">
            <v>2.8370350651616194E-2</v>
          </cell>
          <cell r="FQ60">
            <v>2.8370350651616194E-2</v>
          </cell>
          <cell r="FR60">
            <v>2.8370350651616194E-2</v>
          </cell>
        </row>
        <row r="61">
          <cell r="A61" t="str">
            <v>FIXA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</row>
        <row r="62">
          <cell r="F62">
            <v>2.6543999999999999</v>
          </cell>
          <cell r="G62">
            <v>2.2160000000000002</v>
          </cell>
          <cell r="H62">
            <v>2.1355</v>
          </cell>
          <cell r="I62">
            <v>2.1724000000000001</v>
          </cell>
          <cell r="J62">
            <v>2.5312999999999999</v>
          </cell>
          <cell r="K62">
            <v>2.4037999999999999</v>
          </cell>
          <cell r="L62">
            <v>2.3504</v>
          </cell>
          <cell r="M62">
            <v>2.3904999999999998</v>
          </cell>
          <cell r="N62">
            <v>2.3637000000000001</v>
          </cell>
          <cell r="O62">
            <v>2.2222</v>
          </cell>
          <cell r="P62">
            <v>2.2543000000000002</v>
          </cell>
          <cell r="Q62">
            <v>2.2069999999999999</v>
          </cell>
          <cell r="R62">
            <v>2.3407</v>
          </cell>
          <cell r="S62">
            <v>2.2120000000000002</v>
          </cell>
          <cell r="T62">
            <v>2.38</v>
          </cell>
          <cell r="U62">
            <v>2.39</v>
          </cell>
          <cell r="V62">
            <v>2.42</v>
          </cell>
          <cell r="W62">
            <v>2.4300000000000002</v>
          </cell>
          <cell r="X62">
            <v>2.44</v>
          </cell>
          <cell r="Y62">
            <v>2.44</v>
          </cell>
          <cell r="Z62">
            <v>2.4500000000000002</v>
          </cell>
          <cell r="AA62">
            <v>2.46</v>
          </cell>
          <cell r="AB62">
            <v>2.48</v>
          </cell>
          <cell r="AC62">
            <v>2.4900000000000002</v>
          </cell>
          <cell r="AD62">
            <v>2.4900000000000002</v>
          </cell>
          <cell r="AE62">
            <v>2.4900000000000002</v>
          </cell>
          <cell r="AF62">
            <v>2.6</v>
          </cell>
          <cell r="AG62">
            <v>2.68</v>
          </cell>
          <cell r="AH62">
            <v>2.77</v>
          </cell>
          <cell r="AI62">
            <v>2.77</v>
          </cell>
          <cell r="AJ62">
            <v>2.77</v>
          </cell>
          <cell r="AK62">
            <v>2.77</v>
          </cell>
          <cell r="AL62">
            <v>2.77</v>
          </cell>
          <cell r="AM62">
            <v>2.77</v>
          </cell>
          <cell r="AN62">
            <v>2.77</v>
          </cell>
          <cell r="AO62">
            <v>2.77</v>
          </cell>
          <cell r="AP62">
            <v>2.77</v>
          </cell>
          <cell r="AQ62">
            <v>2.77</v>
          </cell>
          <cell r="AR62">
            <v>2.77</v>
          </cell>
          <cell r="AS62">
            <v>2.77</v>
          </cell>
          <cell r="AT62">
            <v>2.77</v>
          </cell>
          <cell r="AU62">
            <v>2.77</v>
          </cell>
          <cell r="AV62">
            <v>2.77</v>
          </cell>
          <cell r="AW62">
            <v>2.77</v>
          </cell>
          <cell r="AX62">
            <v>2.77</v>
          </cell>
          <cell r="AY62">
            <v>2.77</v>
          </cell>
          <cell r="AZ62">
            <v>2.77</v>
          </cell>
          <cell r="BA62">
            <v>2.77</v>
          </cell>
          <cell r="BB62">
            <v>2.77</v>
          </cell>
          <cell r="BC62">
            <v>2.77</v>
          </cell>
          <cell r="BD62">
            <v>2.77</v>
          </cell>
          <cell r="BE62">
            <v>2.77</v>
          </cell>
          <cell r="BF62">
            <v>2.77</v>
          </cell>
          <cell r="BG62">
            <v>2.77</v>
          </cell>
          <cell r="BH62">
            <v>2.77</v>
          </cell>
          <cell r="BI62">
            <v>2.77</v>
          </cell>
          <cell r="BJ62">
            <v>2.77</v>
          </cell>
          <cell r="BK62">
            <v>2.77</v>
          </cell>
          <cell r="BL62">
            <v>2.77</v>
          </cell>
          <cell r="BM62">
            <v>2.77</v>
          </cell>
          <cell r="BN62">
            <v>2.77</v>
          </cell>
          <cell r="BO62">
            <v>2.77</v>
          </cell>
          <cell r="BP62">
            <v>2.77</v>
          </cell>
          <cell r="BQ62">
            <v>2.77</v>
          </cell>
          <cell r="BR62">
            <v>2.77</v>
          </cell>
          <cell r="BS62">
            <v>2.77</v>
          </cell>
          <cell r="BT62">
            <v>2.77</v>
          </cell>
          <cell r="BU62">
            <v>2.77</v>
          </cell>
          <cell r="BV62">
            <v>2.77</v>
          </cell>
          <cell r="BW62">
            <v>2.77</v>
          </cell>
          <cell r="BX62">
            <v>2.77</v>
          </cell>
          <cell r="BY62">
            <v>2.77</v>
          </cell>
          <cell r="BZ62">
            <v>2.77</v>
          </cell>
          <cell r="CA62">
            <v>2.77</v>
          </cell>
          <cell r="CB62">
            <v>2.77</v>
          </cell>
          <cell r="CC62">
            <v>2.77</v>
          </cell>
          <cell r="CD62">
            <v>2.77</v>
          </cell>
          <cell r="CE62">
            <v>2.77</v>
          </cell>
          <cell r="CF62">
            <v>2.77</v>
          </cell>
          <cell r="CG62">
            <v>2.77</v>
          </cell>
          <cell r="CH62">
            <v>2.77</v>
          </cell>
          <cell r="CI62">
            <v>2.77</v>
          </cell>
          <cell r="CJ62">
            <v>2.77</v>
          </cell>
          <cell r="CK62">
            <v>2.77</v>
          </cell>
          <cell r="CL62">
            <v>2.77</v>
          </cell>
          <cell r="CM62">
            <v>2.77</v>
          </cell>
          <cell r="CN62">
            <v>2.77</v>
          </cell>
          <cell r="CO62">
            <v>2.77</v>
          </cell>
          <cell r="CP62">
            <v>2.77</v>
          </cell>
          <cell r="CQ62">
            <v>2.77</v>
          </cell>
          <cell r="CR62">
            <v>2.77</v>
          </cell>
          <cell r="CS62">
            <v>2.77</v>
          </cell>
          <cell r="CT62">
            <v>2.77</v>
          </cell>
          <cell r="CU62">
            <v>2.77</v>
          </cell>
          <cell r="CV62">
            <v>2.77</v>
          </cell>
          <cell r="CW62">
            <v>2.77</v>
          </cell>
          <cell r="CX62">
            <v>2.77</v>
          </cell>
          <cell r="CY62">
            <v>2.77</v>
          </cell>
          <cell r="CZ62">
            <v>2.77</v>
          </cell>
          <cell r="DA62">
            <v>2.77</v>
          </cell>
          <cell r="DB62">
            <v>2.77</v>
          </cell>
          <cell r="DC62">
            <v>2.77</v>
          </cell>
          <cell r="DD62">
            <v>2.77</v>
          </cell>
          <cell r="DE62">
            <v>2.77</v>
          </cell>
          <cell r="DF62">
            <v>2.77</v>
          </cell>
          <cell r="DG62">
            <v>2.77</v>
          </cell>
          <cell r="DH62">
            <v>2.77</v>
          </cell>
          <cell r="DI62">
            <v>2.77</v>
          </cell>
          <cell r="DJ62">
            <v>2.77</v>
          </cell>
          <cell r="DK62">
            <v>2.77</v>
          </cell>
          <cell r="DL62">
            <v>2.77</v>
          </cell>
          <cell r="DM62">
            <v>2.77</v>
          </cell>
          <cell r="DN62">
            <v>2.77</v>
          </cell>
          <cell r="DO62">
            <v>2.77</v>
          </cell>
          <cell r="DP62">
            <v>2.77</v>
          </cell>
          <cell r="DQ62">
            <v>2.77</v>
          </cell>
          <cell r="DR62">
            <v>2.77</v>
          </cell>
          <cell r="DS62">
            <v>2.77</v>
          </cell>
          <cell r="DT62">
            <v>2.77</v>
          </cell>
          <cell r="DU62">
            <v>2.77</v>
          </cell>
          <cell r="DV62">
            <v>2.77</v>
          </cell>
          <cell r="DW62">
            <v>2.77</v>
          </cell>
          <cell r="DX62">
            <v>2.77</v>
          </cell>
          <cell r="DY62">
            <v>2.77</v>
          </cell>
          <cell r="DZ62">
            <v>2.77</v>
          </cell>
          <cell r="EA62">
            <v>2.77</v>
          </cell>
          <cell r="EB62">
            <v>2.77</v>
          </cell>
          <cell r="EC62">
            <v>2.77</v>
          </cell>
          <cell r="ED62">
            <v>2.77</v>
          </cell>
          <cell r="EE62">
            <v>2.77</v>
          </cell>
          <cell r="EF62">
            <v>2.77</v>
          </cell>
          <cell r="EG62">
            <v>2.77</v>
          </cell>
          <cell r="EH62">
            <v>2.77</v>
          </cell>
          <cell r="EI62">
            <v>2.77</v>
          </cell>
          <cell r="EJ62">
            <v>2.77</v>
          </cell>
          <cell r="EK62">
            <v>2.77</v>
          </cell>
          <cell r="EL62">
            <v>2.77</v>
          </cell>
          <cell r="EM62">
            <v>2.77</v>
          </cell>
          <cell r="EN62">
            <v>2.77</v>
          </cell>
          <cell r="EO62">
            <v>2.77</v>
          </cell>
          <cell r="EP62">
            <v>2.77</v>
          </cell>
          <cell r="EQ62">
            <v>2.77</v>
          </cell>
          <cell r="ER62">
            <v>2.77</v>
          </cell>
          <cell r="ES62">
            <v>2.77</v>
          </cell>
          <cell r="ET62">
            <v>2.77</v>
          </cell>
          <cell r="EU62">
            <v>2.77</v>
          </cell>
          <cell r="EV62">
            <v>2.77</v>
          </cell>
          <cell r="EW62">
            <v>2.77</v>
          </cell>
          <cell r="EX62">
            <v>2.77</v>
          </cell>
          <cell r="EY62">
            <v>2.77</v>
          </cell>
          <cell r="EZ62">
            <v>2.77</v>
          </cell>
          <cell r="FA62">
            <v>2.77</v>
          </cell>
          <cell r="FB62">
            <v>2.77</v>
          </cell>
          <cell r="FC62">
            <v>2.77</v>
          </cell>
          <cell r="FD62">
            <v>2.77</v>
          </cell>
          <cell r="FE62">
            <v>2.77</v>
          </cell>
          <cell r="FF62">
            <v>2.77</v>
          </cell>
          <cell r="FG62">
            <v>2.77</v>
          </cell>
          <cell r="FH62">
            <v>2.77</v>
          </cell>
          <cell r="FI62">
            <v>2.77</v>
          </cell>
          <cell r="FJ62">
            <v>2.77</v>
          </cell>
          <cell r="FK62">
            <v>2.77</v>
          </cell>
          <cell r="FL62">
            <v>2.77</v>
          </cell>
          <cell r="FM62">
            <v>2.77</v>
          </cell>
          <cell r="FN62">
            <v>2.77</v>
          </cell>
          <cell r="FO62">
            <v>2.77</v>
          </cell>
          <cell r="FP62">
            <v>2.77</v>
          </cell>
          <cell r="FQ62">
            <v>2.77</v>
          </cell>
          <cell r="FR62">
            <v>2.77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sumo Negociação (3)"/>
      <sheetName val="Capa"/>
      <sheetName val="01. DRE"/>
      <sheetName val="02. BP"/>
      <sheetName val="03. FC"/>
      <sheetName val="04. EBITDA"/>
      <sheetName val="05. Dívida Líquida"/>
      <sheetName val="06. CI"/>
      <sheetName val="07. Ações"/>
      <sheetName val="08. DRE"/>
      <sheetName val="09. BP"/>
      <sheetName val="10. FC"/>
      <sheetName val="11. EBITDA"/>
      <sheetName val="Movimentação Empréstimos (2)"/>
      <sheetName val="Movimentação Empréstimos"/>
      <sheetName val="Ebitda (2)"/>
      <sheetName val="ações (2)"/>
      <sheetName val="Despesas por natureza"/>
      <sheetName val="grafico fluxo de caixa"/>
      <sheetName val="12. Dívida Líquida"/>
      <sheetName val="Plan3"/>
      <sheetName val="estrutura de capital"/>
      <sheetName val="Plan1"/>
    </sheetNames>
    <sheetDataSet>
      <sheetData sheetId="0"/>
      <sheetData sheetId="1"/>
      <sheetData sheetId="2"/>
      <sheetData sheetId="3">
        <row r="14">
          <cell r="C14">
            <v>773873</v>
          </cell>
        </row>
        <row r="15">
          <cell r="C15">
            <v>706902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14">
          <cell r="C14">
            <v>331051</v>
          </cell>
        </row>
        <row r="15">
          <cell r="C15">
            <v>299640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mpresasNet (ITR)"/>
      <sheetName val="BP release"/>
      <sheetName val="DRE release"/>
      <sheetName val="DRE Ajustado"/>
      <sheetName val="FC release"/>
      <sheetName val="FC release digitado (2)"/>
      <sheetName val="EBITDA"/>
      <sheetName val="Não recorrente (2)"/>
      <sheetName val="Resultado Fin."/>
      <sheetName val="Resultado Fin. (2)"/>
      <sheetName val="Endividamento"/>
      <sheetName val="7.Desempenho Ações"/>
      <sheetName val="Equiv.Patrimonial"/>
      <sheetName val="Outras Receitas(Despesas)"/>
      <sheetName val="Rec MI+ME"/>
      <sheetName val="DCV"/>
    </sheetNames>
    <sheetDataSet>
      <sheetData sheetId="0"/>
      <sheetData sheetId="1"/>
      <sheetData sheetId="2">
        <row r="5">
          <cell r="D5">
            <v>-952864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nants"/>
      <sheetName val="Descrição"/>
      <sheetName val="BRGAAP"/>
      <sheetName val="USGAAP"/>
      <sheetName val="Votorantim"/>
      <sheetName val="BNDES"/>
      <sheetName val="ABN AMRO"/>
      <sheetName val="IFC"/>
      <sheetName val="Definições"/>
      <sheetName val="Datas"/>
      <sheetName val="Plan2"/>
      <sheetName val="Carta IFC"/>
    </sheetNames>
    <sheetDataSet>
      <sheetData sheetId="0" refreshError="1"/>
      <sheetData sheetId="1" refreshError="1"/>
      <sheetData sheetId="2" refreshError="1">
        <row r="17">
          <cell r="E17">
            <v>957322</v>
          </cell>
          <cell r="F17">
            <v>1128131.0009900001</v>
          </cell>
          <cell r="G17">
            <v>1119849.7420099999</v>
          </cell>
          <cell r="H17">
            <v>1205111.5128800001</v>
          </cell>
          <cell r="I17">
            <v>-34778.683399999994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</row>
        <row r="20">
          <cell r="E20">
            <v>983886</v>
          </cell>
          <cell r="F20">
            <v>910385.80491756508</v>
          </cell>
          <cell r="G20">
            <v>911404.61371069716</v>
          </cell>
          <cell r="H20">
            <v>971977.57694591163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</row>
        <row r="37">
          <cell r="E37">
            <v>96431</v>
          </cell>
          <cell r="F37">
            <v>103919.96596</v>
          </cell>
          <cell r="G37">
            <v>116173.69361333334</v>
          </cell>
          <cell r="H37">
            <v>138522.15938666667</v>
          </cell>
        </row>
        <row r="38">
          <cell r="E38">
            <v>20692</v>
          </cell>
          <cell r="F38">
            <v>37190.750160000003</v>
          </cell>
          <cell r="G38">
            <v>41342.325360000003</v>
          </cell>
          <cell r="H38">
            <v>46749.872480000005</v>
          </cell>
        </row>
        <row r="39">
          <cell r="E39">
            <v>71171</v>
          </cell>
          <cell r="F39">
            <v>71670.320240000001</v>
          </cell>
          <cell r="G39">
            <v>71759.470203333331</v>
          </cell>
          <cell r="H39">
            <v>72033.67005666667</v>
          </cell>
        </row>
        <row r="41">
          <cell r="E41">
            <v>115898</v>
          </cell>
          <cell r="F41">
            <v>132260.10344000001</v>
          </cell>
          <cell r="G41">
            <v>144559.89698666666</v>
          </cell>
          <cell r="H41">
            <v>164304.74974333332</v>
          </cell>
        </row>
        <row r="42">
          <cell r="E42">
            <v>-19467</v>
          </cell>
          <cell r="F42">
            <v>-28340.137479999998</v>
          </cell>
          <cell r="G42">
            <v>-28386.20337333333</v>
          </cell>
          <cell r="H42">
            <v>-25782.590356666668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lhe Aplicações (2)"/>
      <sheetName val="teste"/>
      <sheetName val="Cotação"/>
      <sheetName val="Feriados (2)"/>
      <sheetName val="TABELAS"/>
      <sheetName val="Cadastro Banco"/>
      <sheetName val="COMPOSIÇÃO FUNDO SAFRA"/>
      <sheetName val="Rating"/>
      <sheetName val="Memória Aplicações_resgates"/>
      <sheetName val="Demonstrativo "/>
      <sheetName val="Detalhe Aplicações"/>
      <sheetName val="Resumo"/>
      <sheetName val="Posição Diária"/>
      <sheetName val="Posição Aplicações"/>
      <sheetName val="CDI-COTAS FUNDOS"/>
      <sheetName val="Fundo Safra"/>
      <sheetName val="Posição"/>
      <sheetName val="BRANCO CDB"/>
      <sheetName val="Itau_010615"/>
      <sheetName val="Itau_020615"/>
      <sheetName val="Itau_050615"/>
      <sheetName val="Itau_090615"/>
      <sheetName val="Itau_100615"/>
      <sheetName val="Itau_120615"/>
      <sheetName val="Itau_150615"/>
      <sheetName val="Itau_170615"/>
      <sheetName val="Itau_180615"/>
      <sheetName val="Itau_220615"/>
      <sheetName val="Itau_230615"/>
      <sheetName val="Itau_240615"/>
      <sheetName val="Itau_290615"/>
      <sheetName val="Fundo Safra_110215"/>
      <sheetName val="Fundo Safra_180215"/>
      <sheetName val="Fundo Safra_190215"/>
      <sheetName val="Fundo Safra_050315"/>
      <sheetName val="Fundo Safra_310315"/>
      <sheetName val="Fundo Safra_020415"/>
      <sheetName val="Fundo Safra_280415"/>
      <sheetName val="Fundo Safra_060515"/>
      <sheetName val="Fundo Safra_110515"/>
      <sheetName val="Fundo Safra_120515"/>
      <sheetName val="Fundo Safra_130515"/>
      <sheetName val="Fundo Safra_180515"/>
      <sheetName val="Fundo Safra_190515"/>
      <sheetName val="Fundo Safra_210515"/>
      <sheetName val="Fundo Safra_220515"/>
      <sheetName val="Fundo Safra_260515"/>
      <sheetName val="Fundo Safra_270515"/>
      <sheetName val="Fundo Safra_280515"/>
      <sheetName val="Fundo Safra_020615"/>
      <sheetName val="Fundo Safra_030615"/>
      <sheetName val="Fundo Safra_050615"/>
      <sheetName val="Fundo Safra_080615"/>
      <sheetName val="Fundo Safra_090615"/>
      <sheetName val="Fundo Safra_150615"/>
      <sheetName val="Fundo Safra_160615"/>
      <sheetName val="Fundo Safra_170615"/>
      <sheetName val="Fundo Safra_180615"/>
      <sheetName val="Fundo Safra_220615"/>
      <sheetName val="Fundo Safra_240615"/>
      <sheetName val="Fundo Safra_260615"/>
      <sheetName val="Fundo Safra_290615"/>
      <sheetName val="Fundo Bradesco_091214"/>
      <sheetName val="Fundo Bradesco_151214"/>
      <sheetName val="Fundo Bradesco_161214"/>
      <sheetName val="Fundo Bradesco_221214"/>
      <sheetName val="Fundo Bradesco_241214"/>
      <sheetName val="Fundo Bradesco_301214"/>
      <sheetName val="CEF_300813_030818"/>
      <sheetName val="CEF_240315"/>
      <sheetName val="CEF_270315"/>
      <sheetName val="CEF_060415"/>
      <sheetName val="CEF_070415"/>
      <sheetName val="CEF_080415"/>
      <sheetName val="CEF_090415"/>
      <sheetName val="CEF_130415"/>
      <sheetName val="CEF_140415"/>
      <sheetName val="CEF_150415"/>
      <sheetName val="CEF_200415"/>
      <sheetName val="CEF_220415"/>
      <sheetName val="CEF_230415"/>
      <sheetName val="CEF_270415"/>
      <sheetName val="CEF_290415"/>
      <sheetName val="Santander_130114_040116"/>
      <sheetName val="Santander_140114_050116"/>
      <sheetName val="Santander_210114_120116"/>
      <sheetName val="Santander_290414_190416"/>
      <sheetName val="CARTEIRA FUNDOS"/>
      <sheetName val="Santander_040315"/>
      <sheetName val="Santander_060315"/>
      <sheetName val="Santander_050515"/>
      <sheetName val="Santander_140515"/>
      <sheetName val="Santander_150515"/>
      <sheetName val="Santander_230615"/>
      <sheetName val="Votorantim_060315"/>
      <sheetName val="Pan_241114"/>
      <sheetName val="Pan_301214"/>
      <sheetName val="Pan_190115"/>
      <sheetName val="Pan_060315"/>
      <sheetName val="Plan3"/>
      <sheetName val="Detalhe_Aplicações_(2)"/>
      <sheetName val="Feriados_(2)"/>
      <sheetName val="Cadastro_Banco"/>
      <sheetName val="COMPOSIÇÃO_FUNDO_SAFRA"/>
      <sheetName val="Memória_Aplicações_resgates"/>
      <sheetName val="Demonstrativo_"/>
      <sheetName val="Detalhe_Aplicações"/>
      <sheetName val="Posição_Diária"/>
      <sheetName val="Posição_Aplicações"/>
      <sheetName val="CDI-COTAS_FUNDOS"/>
      <sheetName val="Fundo_Safra"/>
      <sheetName val="BRANCO_CDB"/>
      <sheetName val="Fundo_Safra_110215"/>
      <sheetName val="Fundo_Safra_180215"/>
      <sheetName val="Fundo_Safra_190215"/>
      <sheetName val="Fundo_Safra_050315"/>
      <sheetName val="Fundo_Safra_310315"/>
      <sheetName val="Fundo_Safra_020415"/>
      <sheetName val="Fundo_Safra_280415"/>
      <sheetName val="Fundo_Safra_060515"/>
      <sheetName val="Fundo_Safra_110515"/>
      <sheetName val="Fundo_Safra_120515"/>
      <sheetName val="Fundo_Safra_130515"/>
      <sheetName val="Fundo_Safra_180515"/>
      <sheetName val="Fundo_Safra_190515"/>
      <sheetName val="Fundo_Safra_210515"/>
      <sheetName val="Fundo_Safra_220515"/>
      <sheetName val="Fundo_Safra_260515"/>
      <sheetName val="Fundo_Safra_270515"/>
      <sheetName val="Fundo_Safra_280515"/>
      <sheetName val="Fundo_Safra_020615"/>
      <sheetName val="Fundo_Safra_030615"/>
      <sheetName val="Fundo_Safra_050615"/>
      <sheetName val="Fundo_Safra_080615"/>
      <sheetName val="Fundo_Safra_090615"/>
      <sheetName val="Fundo_Safra_150615"/>
      <sheetName val="Fundo_Safra_160615"/>
      <sheetName val="Fundo_Safra_170615"/>
      <sheetName val="Fundo_Safra_180615"/>
      <sheetName val="Fundo_Safra_220615"/>
      <sheetName val="Fundo_Safra_240615"/>
      <sheetName val="Fundo_Safra_260615"/>
      <sheetName val="Fundo_Safra_290615"/>
      <sheetName val="Fundo_Bradesco_091214"/>
      <sheetName val="Fundo_Bradesco_151214"/>
      <sheetName val="Fundo_Bradesco_161214"/>
      <sheetName val="Fundo_Bradesco_221214"/>
      <sheetName val="Fundo_Bradesco_241214"/>
      <sheetName val="Fundo_Bradesco_301214"/>
      <sheetName val="CARTEIRA_FUNDOS"/>
    </sheetNames>
    <sheetDataSet>
      <sheetData sheetId="0"/>
      <sheetData sheetId="1"/>
      <sheetData sheetId="2"/>
      <sheetData sheetId="3">
        <row r="2">
          <cell r="A2">
            <v>36892</v>
          </cell>
          <cell r="B2">
            <v>37257</v>
          </cell>
          <cell r="C2">
            <v>37622</v>
          </cell>
          <cell r="D2">
            <v>37987</v>
          </cell>
          <cell r="E2">
            <v>38390</v>
          </cell>
          <cell r="F2">
            <v>38775</v>
          </cell>
          <cell r="G2">
            <v>39083</v>
          </cell>
          <cell r="H2">
            <v>39448</v>
          </cell>
          <cell r="I2">
            <v>39814</v>
          </cell>
          <cell r="J2">
            <v>40179</v>
          </cell>
          <cell r="K2">
            <v>40609</v>
          </cell>
          <cell r="L2">
            <v>40959</v>
          </cell>
          <cell r="M2">
            <v>41275</v>
          </cell>
          <cell r="N2">
            <v>41640</v>
          </cell>
          <cell r="O2">
            <v>42005</v>
          </cell>
          <cell r="P2">
            <v>42370</v>
          </cell>
          <cell r="Q2">
            <v>42793</v>
          </cell>
          <cell r="R2">
            <v>43101</v>
          </cell>
          <cell r="S2">
            <v>43466</v>
          </cell>
          <cell r="T2">
            <v>43831</v>
          </cell>
          <cell r="U2">
            <v>44197</v>
          </cell>
          <cell r="V2">
            <v>44620</v>
          </cell>
          <cell r="W2">
            <v>44977</v>
          </cell>
          <cell r="X2">
            <v>45292</v>
          </cell>
          <cell r="Y2">
            <v>45658</v>
          </cell>
          <cell r="Z2">
            <v>46023</v>
          </cell>
          <cell r="AA2">
            <v>46388</v>
          </cell>
          <cell r="AB2">
            <v>46811</v>
          </cell>
          <cell r="AC2">
            <v>47119</v>
          </cell>
          <cell r="AD2">
            <v>47484</v>
          </cell>
          <cell r="AE2">
            <v>47849</v>
          </cell>
          <cell r="AF2">
            <v>48214</v>
          </cell>
          <cell r="AG2">
            <v>48580</v>
          </cell>
        </row>
        <row r="3">
          <cell r="A3">
            <v>36948</v>
          </cell>
          <cell r="B3">
            <v>37298</v>
          </cell>
          <cell r="C3">
            <v>37683</v>
          </cell>
          <cell r="D3">
            <v>38040</v>
          </cell>
          <cell r="E3">
            <v>38391</v>
          </cell>
          <cell r="F3">
            <v>38776</v>
          </cell>
          <cell r="G3">
            <v>39132</v>
          </cell>
          <cell r="H3">
            <v>39482</v>
          </cell>
          <cell r="I3">
            <v>39867</v>
          </cell>
          <cell r="J3">
            <v>40224</v>
          </cell>
          <cell r="K3">
            <v>40610</v>
          </cell>
          <cell r="L3">
            <v>40960</v>
          </cell>
          <cell r="M3">
            <v>41316</v>
          </cell>
          <cell r="N3">
            <v>41701</v>
          </cell>
          <cell r="O3">
            <v>42051</v>
          </cell>
          <cell r="P3">
            <v>42408</v>
          </cell>
          <cell r="Q3">
            <v>42794</v>
          </cell>
          <cell r="R3">
            <v>43143</v>
          </cell>
          <cell r="S3">
            <v>43528</v>
          </cell>
          <cell r="T3">
            <v>43885</v>
          </cell>
          <cell r="U3">
            <v>44242</v>
          </cell>
          <cell r="V3">
            <v>44621</v>
          </cell>
          <cell r="W3">
            <v>44978</v>
          </cell>
          <cell r="X3">
            <v>45334</v>
          </cell>
          <cell r="Y3">
            <v>45719</v>
          </cell>
          <cell r="Z3">
            <v>46069</v>
          </cell>
          <cell r="AA3">
            <v>46426</v>
          </cell>
          <cell r="AB3">
            <v>46812</v>
          </cell>
          <cell r="AC3">
            <v>47161</v>
          </cell>
          <cell r="AD3">
            <v>47546</v>
          </cell>
          <cell r="AE3">
            <v>47903</v>
          </cell>
          <cell r="AF3">
            <v>48253</v>
          </cell>
          <cell r="AG3">
            <v>48638</v>
          </cell>
        </row>
        <row r="4">
          <cell r="A4">
            <v>36949</v>
          </cell>
          <cell r="B4">
            <v>37299</v>
          </cell>
          <cell r="C4">
            <v>37684</v>
          </cell>
          <cell r="D4">
            <v>38041</v>
          </cell>
          <cell r="E4">
            <v>38436</v>
          </cell>
          <cell r="F4">
            <v>38821</v>
          </cell>
          <cell r="G4">
            <v>39133</v>
          </cell>
          <cell r="H4">
            <v>39483</v>
          </cell>
          <cell r="I4">
            <v>39868</v>
          </cell>
          <cell r="J4">
            <v>40225</v>
          </cell>
          <cell r="K4">
            <v>40654</v>
          </cell>
          <cell r="L4">
            <v>41005</v>
          </cell>
          <cell r="M4">
            <v>41317</v>
          </cell>
          <cell r="N4">
            <v>41702</v>
          </cell>
          <cell r="O4">
            <v>42052</v>
          </cell>
          <cell r="P4">
            <v>42409</v>
          </cell>
          <cell r="Q4">
            <v>42839</v>
          </cell>
          <cell r="R4">
            <v>43144</v>
          </cell>
          <cell r="S4">
            <v>43529</v>
          </cell>
          <cell r="T4">
            <v>43886</v>
          </cell>
          <cell r="U4">
            <v>44243</v>
          </cell>
          <cell r="V4">
            <v>44666</v>
          </cell>
          <cell r="W4">
            <v>45023</v>
          </cell>
          <cell r="X4">
            <v>45335</v>
          </cell>
          <cell r="Y4">
            <v>45720</v>
          </cell>
          <cell r="Z4">
            <v>46070</v>
          </cell>
          <cell r="AA4">
            <v>46427</v>
          </cell>
          <cell r="AB4">
            <v>46857</v>
          </cell>
          <cell r="AC4">
            <v>47162</v>
          </cell>
          <cell r="AD4">
            <v>47547</v>
          </cell>
          <cell r="AE4">
            <v>47904</v>
          </cell>
          <cell r="AF4">
            <v>48254</v>
          </cell>
          <cell r="AG4">
            <v>48639</v>
          </cell>
        </row>
        <row r="5">
          <cell r="A5">
            <v>36994</v>
          </cell>
          <cell r="B5">
            <v>37344</v>
          </cell>
          <cell r="C5">
            <v>37728</v>
          </cell>
          <cell r="D5">
            <v>38086</v>
          </cell>
          <cell r="E5">
            <v>38463</v>
          </cell>
          <cell r="F5">
            <v>38828</v>
          </cell>
          <cell r="G5">
            <v>39178</v>
          </cell>
          <cell r="H5">
            <v>39528</v>
          </cell>
          <cell r="I5">
            <v>39913</v>
          </cell>
          <cell r="J5">
            <v>40270</v>
          </cell>
          <cell r="K5">
            <v>40655</v>
          </cell>
          <cell r="L5">
            <v>41030</v>
          </cell>
          <cell r="M5">
            <v>41362</v>
          </cell>
          <cell r="N5">
            <v>41747</v>
          </cell>
          <cell r="O5">
            <v>42097</v>
          </cell>
          <cell r="P5">
            <v>42454</v>
          </cell>
          <cell r="Q5">
            <v>42846</v>
          </cell>
          <cell r="R5">
            <v>43189</v>
          </cell>
          <cell r="S5">
            <v>43574</v>
          </cell>
          <cell r="T5">
            <v>43931</v>
          </cell>
          <cell r="U5">
            <v>44288</v>
          </cell>
          <cell r="V5">
            <v>44672</v>
          </cell>
          <cell r="W5">
            <v>45037</v>
          </cell>
          <cell r="X5">
            <v>45380</v>
          </cell>
          <cell r="Y5">
            <v>45765</v>
          </cell>
          <cell r="Z5">
            <v>46115</v>
          </cell>
          <cell r="AA5">
            <v>46472</v>
          </cell>
          <cell r="AB5">
            <v>46864</v>
          </cell>
          <cell r="AC5">
            <v>47207</v>
          </cell>
          <cell r="AD5">
            <v>47592</v>
          </cell>
          <cell r="AE5">
            <v>47949</v>
          </cell>
          <cell r="AF5">
            <v>48299</v>
          </cell>
          <cell r="AG5">
            <v>48684</v>
          </cell>
        </row>
        <row r="6">
          <cell r="A6">
            <v>37012</v>
          </cell>
          <cell r="B6">
            <v>37377</v>
          </cell>
          <cell r="C6">
            <v>37732</v>
          </cell>
          <cell r="D6">
            <v>38098</v>
          </cell>
          <cell r="E6">
            <v>38498</v>
          </cell>
          <cell r="F6">
            <v>38838</v>
          </cell>
          <cell r="G6">
            <v>39203</v>
          </cell>
          <cell r="H6">
            <v>39559</v>
          </cell>
          <cell r="I6">
            <v>39924</v>
          </cell>
          <cell r="J6">
            <v>40289</v>
          </cell>
          <cell r="K6">
            <v>40717</v>
          </cell>
          <cell r="L6">
            <v>41067</v>
          </cell>
          <cell r="M6">
            <v>41395</v>
          </cell>
          <cell r="N6">
            <v>41750</v>
          </cell>
          <cell r="O6">
            <v>42115</v>
          </cell>
          <cell r="P6">
            <v>42481</v>
          </cell>
          <cell r="Q6">
            <v>42856</v>
          </cell>
          <cell r="R6">
            <v>43221</v>
          </cell>
          <cell r="S6">
            <v>43586</v>
          </cell>
          <cell r="T6">
            <v>43942</v>
          </cell>
          <cell r="U6">
            <v>44307</v>
          </cell>
          <cell r="V6">
            <v>44728</v>
          </cell>
          <cell r="W6">
            <v>45047</v>
          </cell>
          <cell r="X6">
            <v>45413</v>
          </cell>
          <cell r="Y6">
            <v>45768</v>
          </cell>
          <cell r="Z6">
            <v>46133</v>
          </cell>
          <cell r="AA6">
            <v>46498</v>
          </cell>
          <cell r="AB6">
            <v>46874</v>
          </cell>
          <cell r="AC6">
            <v>47229</v>
          </cell>
          <cell r="AD6">
            <v>47594</v>
          </cell>
          <cell r="AE6">
            <v>47959</v>
          </cell>
          <cell r="AF6">
            <v>48325</v>
          </cell>
          <cell r="AG6">
            <v>48690</v>
          </cell>
        </row>
        <row r="7">
          <cell r="A7">
            <v>37056</v>
          </cell>
          <cell r="B7">
            <v>37406</v>
          </cell>
          <cell r="C7">
            <v>37742</v>
          </cell>
          <cell r="D7">
            <v>38148</v>
          </cell>
          <cell r="E7">
            <v>38602</v>
          </cell>
          <cell r="F7">
            <v>38883</v>
          </cell>
          <cell r="G7">
            <v>39240</v>
          </cell>
          <cell r="H7">
            <v>39569</v>
          </cell>
          <cell r="I7">
            <v>39934</v>
          </cell>
          <cell r="J7">
            <v>40332</v>
          </cell>
          <cell r="K7">
            <v>40793</v>
          </cell>
          <cell r="L7">
            <v>41159</v>
          </cell>
          <cell r="M7">
            <v>41424</v>
          </cell>
          <cell r="N7">
            <v>41760</v>
          </cell>
          <cell r="O7">
            <v>42125</v>
          </cell>
          <cell r="P7">
            <v>42516</v>
          </cell>
          <cell r="Q7">
            <v>42901</v>
          </cell>
          <cell r="R7">
            <v>43251</v>
          </cell>
          <cell r="S7">
            <v>43636</v>
          </cell>
          <cell r="T7">
            <v>43952</v>
          </cell>
          <cell r="U7">
            <v>44350</v>
          </cell>
          <cell r="V7">
            <v>44811</v>
          </cell>
          <cell r="W7">
            <v>45085</v>
          </cell>
          <cell r="X7">
            <v>45442</v>
          </cell>
          <cell r="Y7">
            <v>45778</v>
          </cell>
          <cell r="Z7">
            <v>46143</v>
          </cell>
          <cell r="AA7">
            <v>46534</v>
          </cell>
          <cell r="AB7">
            <v>46919</v>
          </cell>
          <cell r="AC7">
            <v>47239</v>
          </cell>
          <cell r="AD7">
            <v>47604</v>
          </cell>
          <cell r="AE7">
            <v>47969</v>
          </cell>
          <cell r="AF7">
            <v>48335</v>
          </cell>
          <cell r="AG7">
            <v>48700</v>
          </cell>
        </row>
        <row r="8">
          <cell r="A8">
            <v>37141</v>
          </cell>
          <cell r="B8">
            <v>37575</v>
          </cell>
          <cell r="C8">
            <v>37791</v>
          </cell>
          <cell r="D8">
            <v>38237</v>
          </cell>
          <cell r="E8">
            <v>38637</v>
          </cell>
          <cell r="F8">
            <v>38967</v>
          </cell>
          <cell r="G8">
            <v>39332</v>
          </cell>
          <cell r="H8">
            <v>39590</v>
          </cell>
          <cell r="I8">
            <v>39975</v>
          </cell>
          <cell r="J8">
            <v>40428</v>
          </cell>
          <cell r="K8">
            <v>40828</v>
          </cell>
          <cell r="L8">
            <v>41194</v>
          </cell>
          <cell r="M8">
            <v>41593</v>
          </cell>
          <cell r="N8">
            <v>41809</v>
          </cell>
          <cell r="O8">
            <v>42159</v>
          </cell>
          <cell r="P8">
            <v>42620</v>
          </cell>
          <cell r="Q8">
            <v>42985</v>
          </cell>
          <cell r="R8">
            <v>43350</v>
          </cell>
          <cell r="S8">
            <v>43784</v>
          </cell>
          <cell r="T8">
            <v>43993</v>
          </cell>
          <cell r="U8">
            <v>44446</v>
          </cell>
          <cell r="V8">
            <v>44846</v>
          </cell>
          <cell r="W8">
            <v>45176</v>
          </cell>
          <cell r="X8">
            <v>45577</v>
          </cell>
          <cell r="Y8">
            <v>45827</v>
          </cell>
          <cell r="Z8">
            <v>46177</v>
          </cell>
          <cell r="AA8">
            <v>46637</v>
          </cell>
          <cell r="AB8">
            <v>47003</v>
          </cell>
          <cell r="AC8">
            <v>47269</v>
          </cell>
          <cell r="AD8">
            <v>47654</v>
          </cell>
          <cell r="AE8">
            <v>48011</v>
          </cell>
          <cell r="AF8">
            <v>48361</v>
          </cell>
          <cell r="AG8">
            <v>48746</v>
          </cell>
        </row>
        <row r="9">
          <cell r="A9">
            <v>37176</v>
          </cell>
          <cell r="B9">
            <v>37615</v>
          </cell>
          <cell r="C9">
            <v>37980</v>
          </cell>
          <cell r="D9">
            <v>38272</v>
          </cell>
          <cell r="E9">
            <v>38658</v>
          </cell>
          <cell r="F9">
            <v>39002</v>
          </cell>
          <cell r="G9">
            <v>39367</v>
          </cell>
          <cell r="H9">
            <v>39807</v>
          </cell>
          <cell r="I9">
            <v>40063</v>
          </cell>
          <cell r="J9">
            <v>40463</v>
          </cell>
          <cell r="K9">
            <v>40849</v>
          </cell>
          <cell r="L9">
            <v>41215</v>
          </cell>
          <cell r="M9">
            <v>41633</v>
          </cell>
          <cell r="N9">
            <v>41889</v>
          </cell>
          <cell r="O9">
            <v>42254</v>
          </cell>
          <cell r="P9">
            <v>42655</v>
          </cell>
          <cell r="Q9">
            <v>43020</v>
          </cell>
          <cell r="R9">
            <v>43385</v>
          </cell>
          <cell r="S9">
            <v>43824</v>
          </cell>
          <cell r="T9">
            <v>44081</v>
          </cell>
          <cell r="U9">
            <v>44481</v>
          </cell>
          <cell r="V9">
            <v>44867</v>
          </cell>
          <cell r="W9">
            <v>45211</v>
          </cell>
          <cell r="X9">
            <v>45611</v>
          </cell>
          <cell r="Y9">
            <v>45907</v>
          </cell>
          <cell r="Z9">
            <v>46272</v>
          </cell>
          <cell r="AA9">
            <v>46672</v>
          </cell>
          <cell r="AB9">
            <v>47038</v>
          </cell>
          <cell r="AC9">
            <v>47368</v>
          </cell>
          <cell r="AD9">
            <v>47733</v>
          </cell>
          <cell r="AE9">
            <v>48098</v>
          </cell>
          <cell r="AF9">
            <v>48464</v>
          </cell>
          <cell r="AG9">
            <v>48829</v>
          </cell>
        </row>
        <row r="10">
          <cell r="A10">
            <v>37197</v>
          </cell>
          <cell r="B10">
            <v>0</v>
          </cell>
          <cell r="C10">
            <v>0</v>
          </cell>
          <cell r="D10">
            <v>38293</v>
          </cell>
          <cell r="E10">
            <v>38671</v>
          </cell>
          <cell r="F10">
            <v>39023</v>
          </cell>
          <cell r="G10">
            <v>39388</v>
          </cell>
          <cell r="H10">
            <v>0</v>
          </cell>
          <cell r="I10">
            <v>40098</v>
          </cell>
          <cell r="J10">
            <v>40484</v>
          </cell>
          <cell r="K10">
            <v>40862</v>
          </cell>
          <cell r="L10">
            <v>41228</v>
          </cell>
          <cell r="M10">
            <v>0</v>
          </cell>
          <cell r="N10">
            <v>41924</v>
          </cell>
          <cell r="O10">
            <v>42289</v>
          </cell>
          <cell r="P10">
            <v>42676</v>
          </cell>
          <cell r="Q10">
            <v>43041</v>
          </cell>
          <cell r="R10">
            <v>43406</v>
          </cell>
          <cell r="S10">
            <v>0</v>
          </cell>
          <cell r="T10">
            <v>44116</v>
          </cell>
          <cell r="U10">
            <v>44502</v>
          </cell>
          <cell r="V10">
            <v>44880</v>
          </cell>
          <cell r="W10">
            <v>45232</v>
          </cell>
          <cell r="X10">
            <v>45651</v>
          </cell>
          <cell r="Y10">
            <v>46016</v>
          </cell>
          <cell r="Z10">
            <v>46307</v>
          </cell>
          <cell r="AA10">
            <v>46693</v>
          </cell>
          <cell r="AB10">
            <v>47059</v>
          </cell>
          <cell r="AC10">
            <v>47403</v>
          </cell>
          <cell r="AD10">
            <v>47768</v>
          </cell>
          <cell r="AE10">
            <v>48133</v>
          </cell>
          <cell r="AF10">
            <v>48499</v>
          </cell>
          <cell r="AG10">
            <v>48864</v>
          </cell>
        </row>
        <row r="11">
          <cell r="A11">
            <v>37210</v>
          </cell>
          <cell r="B11">
            <v>0</v>
          </cell>
          <cell r="C11">
            <v>0</v>
          </cell>
          <cell r="D11">
            <v>38306</v>
          </cell>
          <cell r="E11">
            <v>0</v>
          </cell>
          <cell r="F11">
            <v>39036</v>
          </cell>
          <cell r="G11">
            <v>39401</v>
          </cell>
          <cell r="H11">
            <v>0</v>
          </cell>
          <cell r="I11">
            <v>40119</v>
          </cell>
          <cell r="J11">
            <v>40497</v>
          </cell>
          <cell r="K11">
            <v>0</v>
          </cell>
          <cell r="L11">
            <v>41268</v>
          </cell>
          <cell r="M11">
            <v>0</v>
          </cell>
          <cell r="N11">
            <v>41945</v>
          </cell>
          <cell r="O11">
            <v>42310</v>
          </cell>
          <cell r="P11">
            <v>42689</v>
          </cell>
          <cell r="Q11">
            <v>43054</v>
          </cell>
          <cell r="R11">
            <v>43419</v>
          </cell>
          <cell r="S11">
            <v>0</v>
          </cell>
          <cell r="T11">
            <v>44137</v>
          </cell>
          <cell r="U11">
            <v>44515</v>
          </cell>
          <cell r="V11">
            <v>0</v>
          </cell>
          <cell r="W11">
            <v>45245</v>
          </cell>
          <cell r="X11">
            <v>0</v>
          </cell>
          <cell r="Y11">
            <v>0</v>
          </cell>
          <cell r="Z11">
            <v>46328</v>
          </cell>
          <cell r="AA11">
            <v>46706</v>
          </cell>
          <cell r="AB11">
            <v>47072</v>
          </cell>
          <cell r="AC11">
            <v>47424</v>
          </cell>
          <cell r="AD11">
            <v>47789</v>
          </cell>
          <cell r="AE11">
            <v>48154</v>
          </cell>
          <cell r="AF11">
            <v>48520</v>
          </cell>
          <cell r="AG11">
            <v>48885</v>
          </cell>
        </row>
        <row r="12">
          <cell r="A12">
            <v>37250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39076</v>
          </cell>
          <cell r="G12">
            <v>39441</v>
          </cell>
          <cell r="H12">
            <v>0</v>
          </cell>
          <cell r="I12">
            <v>40172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41998</v>
          </cell>
          <cell r="O12">
            <v>42363</v>
          </cell>
          <cell r="P12">
            <v>0</v>
          </cell>
          <cell r="Q12">
            <v>43094</v>
          </cell>
          <cell r="R12">
            <v>43459</v>
          </cell>
          <cell r="S12">
            <v>0</v>
          </cell>
          <cell r="T12">
            <v>44190</v>
          </cell>
          <cell r="U12">
            <v>44555</v>
          </cell>
          <cell r="V12">
            <v>0</v>
          </cell>
          <cell r="W12">
            <v>45285</v>
          </cell>
          <cell r="X12">
            <v>0</v>
          </cell>
          <cell r="Y12">
            <v>0</v>
          </cell>
          <cell r="Z12">
            <v>46381</v>
          </cell>
          <cell r="AA12">
            <v>0</v>
          </cell>
          <cell r="AB12">
            <v>47112</v>
          </cell>
          <cell r="AC12">
            <v>47437</v>
          </cell>
          <cell r="AD12">
            <v>47802</v>
          </cell>
          <cell r="AE12">
            <v>48167</v>
          </cell>
          <cell r="AF12">
            <v>48533</v>
          </cell>
          <cell r="AG12">
            <v>48898</v>
          </cell>
        </row>
        <row r="13">
          <cell r="A13">
            <v>0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47477</v>
          </cell>
          <cell r="AD13">
            <v>47842</v>
          </cell>
          <cell r="AE13">
            <v>48207</v>
          </cell>
          <cell r="AF13">
            <v>48573</v>
          </cell>
          <cell r="AG13">
            <v>48938</v>
          </cell>
        </row>
      </sheetData>
      <sheetData sheetId="4"/>
      <sheetData sheetId="5"/>
      <sheetData sheetId="6"/>
      <sheetData sheetId="7"/>
      <sheetData sheetId="8"/>
      <sheetData sheetId="9">
        <row r="8">
          <cell r="T8">
            <v>47969794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>
        <row r="2">
          <cell r="A2">
            <v>36892</v>
          </cell>
        </row>
      </sheetData>
      <sheetData sheetId="102"/>
      <sheetData sheetId="103"/>
      <sheetData sheetId="104"/>
      <sheetData sheetId="105">
        <row r="8">
          <cell r="T8">
            <v>47969794</v>
          </cell>
        </row>
      </sheetData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"/>
      <sheetName val="Controle"/>
      <sheetName val="Cenários"/>
      <sheetName val="Input"/>
      <sheetName val="MacroInput"/>
      <sheetName val="ProjetoInput"/>
      <sheetName val="NovasDivInput"/>
      <sheetName val="ContratDivInput"/>
      <sheetName val="ReceitaCalc"/>
      <sheetName val="CustoDespCalc"/>
      <sheetName val="ImpostosCalc"/>
      <sheetName val="Acionista&amp;PartCalc"/>
      <sheetName val="InvCalc"/>
      <sheetName val="FinCalc"/>
      <sheetName val="CapGiroCalc"/>
      <sheetName val="PrepCalc"/>
      <sheetName val="DRE_Balanço"/>
      <sheetName val="Fluxo de Caixa"/>
      <sheetName val="Valuation"/>
      <sheetName val="Wacc"/>
      <sheetName val="Plurianual"/>
      <sheetName val="Marge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"/>
      <sheetName val="Controle"/>
      <sheetName val="Cenários"/>
      <sheetName val="MacroInput"/>
      <sheetName val="ProjetoInput"/>
      <sheetName val="NovasDivInput"/>
      <sheetName val="ContratDivInput"/>
      <sheetName val="Input"/>
      <sheetName val="DRE_Balanço"/>
      <sheetName val="ReceitaCalc"/>
      <sheetName val="CustoDespCalc"/>
      <sheetName val="ImpostosCalc"/>
      <sheetName val="Acionista&amp;PartCalc"/>
      <sheetName val="InvCalc"/>
      <sheetName val="FinCalc"/>
      <sheetName val="CapGiroCalc"/>
      <sheetName val="PrepCalc"/>
      <sheetName val="Fluxo de Caixa"/>
      <sheetName val="Valuation"/>
      <sheetName val="Wacc"/>
      <sheetName val="Plurianual"/>
      <sheetName val="Marge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vida Total Mensal"/>
      <sheetName val="Input &amp; Macro"/>
      <sheetName val="Input Divida"/>
      <sheetName val="IFC A Loan"/>
      <sheetName val="IFC B Loan"/>
      <sheetName val="IFC C Loan"/>
      <sheetName val="PPE ABN Amro"/>
      <sheetName val="NCE VOT 60"/>
      <sheetName val="NCE VOT 40"/>
      <sheetName val="NCE Itaú"/>
      <sheetName val="NCE Bradesco"/>
      <sheetName val="NCE BB"/>
      <sheetName val="PPE Santander"/>
      <sheetName val="BNDES A"/>
      <sheetName val="BNDES B"/>
      <sheetName val="BNDES 2006 A"/>
      <sheetName val="BNDES 2006 B"/>
      <sheetName val="BNDES 2006 C"/>
      <sheetName val="BNDES 2006 D"/>
      <sheetName val="Tecnologia"/>
      <sheetName val="Input&amp;Macro"/>
      <sheetName val="Input Dívida"/>
      <sheetName val="UNIBANCO"/>
      <sheetName val="ALFA 1"/>
      <sheetName val="ALFA 2"/>
      <sheetName val="ALFA 3"/>
      <sheetName val="ALFA 4"/>
      <sheetName val="ALFA 5"/>
    </sheetNames>
    <sheetDataSet>
      <sheetData sheetId="0" refreshError="1"/>
      <sheetData sheetId="1" refreshError="1">
        <row r="21">
          <cell r="F21">
            <v>360</v>
          </cell>
        </row>
        <row r="35">
          <cell r="F35">
            <v>38352</v>
          </cell>
          <cell r="G35">
            <v>38383</v>
          </cell>
          <cell r="H35">
            <v>38411</v>
          </cell>
          <cell r="I35">
            <v>38442</v>
          </cell>
          <cell r="J35">
            <v>38472</v>
          </cell>
          <cell r="K35">
            <v>38503</v>
          </cell>
          <cell r="L35">
            <v>38533</v>
          </cell>
          <cell r="M35">
            <v>38564</v>
          </cell>
          <cell r="N35">
            <v>38595</v>
          </cell>
          <cell r="O35">
            <v>38625</v>
          </cell>
          <cell r="P35">
            <v>38656</v>
          </cell>
          <cell r="Q35">
            <v>38686</v>
          </cell>
          <cell r="R35">
            <v>38717</v>
          </cell>
          <cell r="S35">
            <v>38748</v>
          </cell>
          <cell r="T35">
            <v>38776</v>
          </cell>
          <cell r="U35">
            <v>38807</v>
          </cell>
          <cell r="V35">
            <v>38837</v>
          </cell>
          <cell r="W35">
            <v>38868</v>
          </cell>
          <cell r="X35">
            <v>38898</v>
          </cell>
          <cell r="Y35">
            <v>38929</v>
          </cell>
          <cell r="Z35">
            <v>38960</v>
          </cell>
          <cell r="AA35">
            <v>38990</v>
          </cell>
          <cell r="AB35">
            <v>39021</v>
          </cell>
          <cell r="AC35">
            <v>39051</v>
          </cell>
          <cell r="AD35">
            <v>39082</v>
          </cell>
          <cell r="AE35">
            <v>39113</v>
          </cell>
          <cell r="AF35">
            <v>39141</v>
          </cell>
          <cell r="AG35">
            <v>39172</v>
          </cell>
          <cell r="AH35">
            <v>39202</v>
          </cell>
          <cell r="AI35">
            <v>39233</v>
          </cell>
          <cell r="AJ35">
            <v>39263</v>
          </cell>
          <cell r="AK35">
            <v>39294</v>
          </cell>
          <cell r="AL35">
            <v>39325</v>
          </cell>
          <cell r="AM35">
            <v>39355</v>
          </cell>
          <cell r="AN35">
            <v>39386</v>
          </cell>
          <cell r="AO35">
            <v>39416</v>
          </cell>
          <cell r="AP35">
            <v>39447</v>
          </cell>
          <cell r="AQ35">
            <v>39478</v>
          </cell>
          <cell r="AR35">
            <v>39507</v>
          </cell>
          <cell r="AS35">
            <v>39538</v>
          </cell>
          <cell r="AT35">
            <v>39568</v>
          </cell>
          <cell r="AU35">
            <v>39599</v>
          </cell>
          <cell r="AV35">
            <v>39629</v>
          </cell>
          <cell r="AW35">
            <v>39660</v>
          </cell>
          <cell r="AX35">
            <v>39691</v>
          </cell>
          <cell r="AY35">
            <v>39721</v>
          </cell>
          <cell r="AZ35">
            <v>39752</v>
          </cell>
          <cell r="BA35">
            <v>39782</v>
          </cell>
          <cell r="BB35">
            <v>39813</v>
          </cell>
          <cell r="BC35">
            <v>39844</v>
          </cell>
          <cell r="BD35">
            <v>39872</v>
          </cell>
          <cell r="BE35">
            <v>39903</v>
          </cell>
          <cell r="BF35">
            <v>39933</v>
          </cell>
          <cell r="BG35">
            <v>39964</v>
          </cell>
          <cell r="BH35">
            <v>39994</v>
          </cell>
          <cell r="BI35">
            <v>40025</v>
          </cell>
          <cell r="BJ35">
            <v>40056</v>
          </cell>
          <cell r="BK35">
            <v>40086</v>
          </cell>
          <cell r="BL35">
            <v>40117</v>
          </cell>
          <cell r="BM35">
            <v>40147</v>
          </cell>
          <cell r="BN35">
            <v>40178</v>
          </cell>
          <cell r="BO35">
            <v>40209</v>
          </cell>
          <cell r="BP35">
            <v>40237</v>
          </cell>
          <cell r="BQ35">
            <v>40268</v>
          </cell>
          <cell r="BR35">
            <v>40298</v>
          </cell>
          <cell r="BS35">
            <v>40329</v>
          </cell>
          <cell r="BT35">
            <v>40359</v>
          </cell>
          <cell r="BU35">
            <v>40390</v>
          </cell>
          <cell r="BV35">
            <v>40421</v>
          </cell>
          <cell r="BW35">
            <v>40451</v>
          </cell>
          <cell r="BX35">
            <v>40482</v>
          </cell>
          <cell r="BY35">
            <v>40512</v>
          </cell>
          <cell r="BZ35">
            <v>40543</v>
          </cell>
          <cell r="CA35">
            <v>40574</v>
          </cell>
          <cell r="CB35">
            <v>40602</v>
          </cell>
          <cell r="CC35">
            <v>40633</v>
          </cell>
          <cell r="CD35">
            <v>40663</v>
          </cell>
          <cell r="CE35">
            <v>40694</v>
          </cell>
          <cell r="CF35">
            <v>40724</v>
          </cell>
          <cell r="CG35">
            <v>40755</v>
          </cell>
          <cell r="CH35">
            <v>40786</v>
          </cell>
          <cell r="CI35">
            <v>40816</v>
          </cell>
          <cell r="CJ35">
            <v>40847</v>
          </cell>
          <cell r="CK35">
            <v>40877</v>
          </cell>
          <cell r="CL35">
            <v>40908</v>
          </cell>
          <cell r="CM35">
            <v>40939</v>
          </cell>
          <cell r="CN35">
            <v>40968</v>
          </cell>
          <cell r="CO35">
            <v>40999</v>
          </cell>
          <cell r="CP35">
            <v>41029</v>
          </cell>
          <cell r="CQ35">
            <v>41060</v>
          </cell>
          <cell r="CR35">
            <v>41090</v>
          </cell>
          <cell r="CS35">
            <v>41121</v>
          </cell>
          <cell r="CT35">
            <v>41152</v>
          </cell>
          <cell r="CU35">
            <v>41182</v>
          </cell>
          <cell r="CV35">
            <v>41213</v>
          </cell>
          <cell r="CW35">
            <v>41243</v>
          </cell>
          <cell r="CX35">
            <v>41274</v>
          </cell>
          <cell r="CY35">
            <v>41305</v>
          </cell>
          <cell r="CZ35">
            <v>41333</v>
          </cell>
          <cell r="DA35">
            <v>41364</v>
          </cell>
          <cell r="DB35">
            <v>41394</v>
          </cell>
          <cell r="DC35">
            <v>41425</v>
          </cell>
          <cell r="DD35">
            <v>41455</v>
          </cell>
          <cell r="DE35">
            <v>41486</v>
          </cell>
          <cell r="DF35">
            <v>41517</v>
          </cell>
          <cell r="DG35">
            <v>41547</v>
          </cell>
          <cell r="DH35">
            <v>41578</v>
          </cell>
          <cell r="DI35">
            <v>41608</v>
          </cell>
          <cell r="DJ35">
            <v>41639</v>
          </cell>
          <cell r="DK35">
            <v>41670</v>
          </cell>
          <cell r="DL35">
            <v>41698</v>
          </cell>
          <cell r="DM35">
            <v>41729</v>
          </cell>
          <cell r="DN35">
            <v>41759</v>
          </cell>
          <cell r="DO35">
            <v>41790</v>
          </cell>
          <cell r="DP35">
            <v>41820</v>
          </cell>
          <cell r="DQ35">
            <v>41851</v>
          </cell>
          <cell r="DR35">
            <v>41882</v>
          </cell>
          <cell r="DS35">
            <v>41912</v>
          </cell>
          <cell r="DT35">
            <v>41943</v>
          </cell>
          <cell r="DU35">
            <v>41973</v>
          </cell>
          <cell r="DV35">
            <v>42004</v>
          </cell>
          <cell r="DW35">
            <v>42035</v>
          </cell>
          <cell r="DX35">
            <v>42063</v>
          </cell>
          <cell r="DY35">
            <v>42094</v>
          </cell>
          <cell r="DZ35">
            <v>42124</v>
          </cell>
          <cell r="EA35">
            <v>42155</v>
          </cell>
          <cell r="EB35">
            <v>42185</v>
          </cell>
          <cell r="EC35">
            <v>42216</v>
          </cell>
          <cell r="ED35">
            <v>42247</v>
          </cell>
          <cell r="EE35">
            <v>42277</v>
          </cell>
          <cell r="EF35">
            <v>42308</v>
          </cell>
          <cell r="EG35">
            <v>42338</v>
          </cell>
          <cell r="EH35">
            <v>42369</v>
          </cell>
          <cell r="EI35">
            <v>42400</v>
          </cell>
          <cell r="EJ35">
            <v>42429</v>
          </cell>
          <cell r="EK35">
            <v>42460</v>
          </cell>
          <cell r="EL35">
            <v>42490</v>
          </cell>
          <cell r="EM35">
            <v>42521</v>
          </cell>
          <cell r="EN35">
            <v>42551</v>
          </cell>
          <cell r="EO35">
            <v>42582</v>
          </cell>
          <cell r="EP35">
            <v>42613</v>
          </cell>
          <cell r="EQ35">
            <v>42643</v>
          </cell>
          <cell r="ER35">
            <v>42674</v>
          </cell>
          <cell r="ES35">
            <v>42704</v>
          </cell>
          <cell r="ET35">
            <v>42735</v>
          </cell>
          <cell r="EU35">
            <v>42766</v>
          </cell>
          <cell r="EV35">
            <v>42794</v>
          </cell>
          <cell r="EW35">
            <v>42825</v>
          </cell>
          <cell r="EX35">
            <v>42855</v>
          </cell>
          <cell r="EY35">
            <v>42886</v>
          </cell>
          <cell r="EZ35">
            <v>42916</v>
          </cell>
          <cell r="FA35">
            <v>42947</v>
          </cell>
          <cell r="FB35">
            <v>42978</v>
          </cell>
          <cell r="FC35">
            <v>43008</v>
          </cell>
          <cell r="FD35">
            <v>43039</v>
          </cell>
          <cell r="FE35">
            <v>43069</v>
          </cell>
          <cell r="FF35">
            <v>43100</v>
          </cell>
          <cell r="FG35">
            <v>43131</v>
          </cell>
          <cell r="FH35">
            <v>43159</v>
          </cell>
          <cell r="FI35">
            <v>43190</v>
          </cell>
          <cell r="FJ35">
            <v>43220</v>
          </cell>
          <cell r="FK35">
            <v>43251</v>
          </cell>
          <cell r="FL35">
            <v>43281</v>
          </cell>
          <cell r="FM35">
            <v>43312</v>
          </cell>
          <cell r="FN35">
            <v>43343</v>
          </cell>
          <cell r="FO35">
            <v>43373</v>
          </cell>
          <cell r="FP35">
            <v>43404</v>
          </cell>
          <cell r="FQ35">
            <v>43434</v>
          </cell>
          <cell r="FR35">
            <v>43465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EZ13"/>
      <sheetName val="JAN"/>
      <sheetName val="FEV"/>
      <sheetName val="MAR"/>
      <sheetName val="ABR"/>
      <sheetName val="JUN"/>
      <sheetName val="JUL"/>
      <sheetName val="AGO"/>
      <sheetName val="SET"/>
      <sheetName val="OUT"/>
      <sheetName val="NOV"/>
      <sheetName val="DEZ"/>
      <sheetName val="JAN_DVA"/>
      <sheetName val="FEV_DVA"/>
      <sheetName val="MAR_DVA"/>
      <sheetName val="ABR_DVA"/>
      <sheetName val="MAI_DVA"/>
      <sheetName val="JUN_DVA"/>
      <sheetName val="JUL_DVA"/>
      <sheetName val="AGO_DVA"/>
      <sheetName val="SET_DVA"/>
      <sheetName val="OUT_DVA"/>
      <sheetName val="NOV_DVA"/>
      <sheetName val="DEZ_DVA"/>
      <sheetName val="Balanço Analitico"/>
      <sheetName val="Balanço Mensal"/>
      <sheetName val="DRE Acumulado"/>
      <sheetName val="DRE Mensal"/>
      <sheetName val="DFC Acumulado"/>
      <sheetName val="DFC Mensal"/>
      <sheetName val="AUXDFC"/>
      <sheetName val="DVA_Acumualdo"/>
      <sheetName val="BP_2013"/>
      <sheetName val="BP_PUB"/>
      <sheetName val="DRE_PUB"/>
      <sheetName val="DFC_2013"/>
      <sheetName val="DFC_PUB"/>
      <sheetName val="DRA_PUB"/>
      <sheetName val="DMPL_PUB"/>
      <sheetName val="DVA_PUB"/>
      <sheetName val="BP-A CVM"/>
      <sheetName val="BP-P CVM"/>
      <sheetName val="DRE CVM"/>
      <sheetName val="DFC CVM"/>
      <sheetName val="DRA CVM"/>
      <sheetName val="DRA"/>
      <sheetName val="AUX_DRA"/>
      <sheetName val="AUX_DRA1"/>
      <sheetName val="DMPL CVM"/>
      <sheetName val="Exposição CDI_3°TRI"/>
      <sheetName val="Exposição CDI_2° TRI"/>
      <sheetName val="DVA CVM"/>
      <sheetName val="Nota1"/>
      <sheetName val="Nota 5"/>
      <sheetName val="Nota 6"/>
      <sheetName val="Nota 7"/>
      <sheetName val="Nota 8"/>
      <sheetName val="Nota 9"/>
      <sheetName val="Demonstrativo "/>
      <sheetName val="Nota 10"/>
      <sheetName val="Nota 11"/>
      <sheetName val="Nota 12"/>
      <sheetName val="2014 (ajuste final)"/>
      <sheetName val="2013(a)"/>
      <sheetName val="2014(MedDez14)"/>
      <sheetName val="Nota 13"/>
      <sheetName val="Nota 14"/>
      <sheetName val="Nota 15"/>
      <sheetName val="Nota 16"/>
      <sheetName val="Nota 17"/>
      <sheetName val="Nota 18"/>
      <sheetName val="2º ITR 2014"/>
      <sheetName val="3º ITR 2014"/>
      <sheetName val="4º ITR 2014"/>
      <sheetName val="Nota 19"/>
      <sheetName val="Nota 20"/>
      <sheetName val="Nota 21"/>
      <sheetName val="Nota 23"/>
      <sheetName val="Nota 24 VAnual"/>
      <sheetName val="Nota 25"/>
      <sheetName val="Nota 26"/>
      <sheetName val="Nota 27"/>
      <sheetName val="Nota 28"/>
      <sheetName val="Nota 29"/>
      <sheetName val="Nota 30"/>
      <sheetName val="Nota 31"/>
      <sheetName val="Sup_LucrDiluido_Tri"/>
      <sheetName val="Sup_LucrDiluido_Ano"/>
      <sheetName val="Lucro Diluido por Ação"/>
      <sheetName val="Ações_122014"/>
      <sheetName val="Nota 32"/>
      <sheetName val="Nota 34"/>
      <sheetName val="Nota 35"/>
    </sheetNames>
    <sheetDataSet>
      <sheetData sheetId="0"/>
      <sheetData sheetId="1">
        <row r="199">
          <cell r="O199" t="str">
            <v>DEPRECIAÇÃO</v>
          </cell>
          <cell r="P199">
            <v>-547710317.44000006</v>
          </cell>
        </row>
        <row r="200">
          <cell r="O200" t="str">
            <v>Edificações e construções</v>
          </cell>
          <cell r="P200">
            <v>-41633491.729999997</v>
          </cell>
        </row>
        <row r="201">
          <cell r="O201" t="str">
            <v>1740502010 (-)Depreciaçao-Custo dos Edificios</v>
          </cell>
          <cell r="P201">
            <v>-35524818.990000002</v>
          </cell>
        </row>
        <row r="202">
          <cell r="O202" t="str">
            <v>1740502011 (-)Depreciaçao-Mais Valia Edificios</v>
          </cell>
          <cell r="P202">
            <v>-32945.22</v>
          </cell>
        </row>
        <row r="203">
          <cell r="O203" t="str">
            <v>1740502012 (-)Depreciaçao-Mais Valia Combin Neg Edificios</v>
          </cell>
          <cell r="P203">
            <v>-32945.22</v>
          </cell>
        </row>
        <row r="204">
          <cell r="O204" t="str">
            <v>1740502014 (-)Depr-Contrapartida do AVP de Edificios</v>
          </cell>
          <cell r="P204">
            <v>-21893.54</v>
          </cell>
        </row>
        <row r="205">
          <cell r="O205" t="str">
            <v>1740502020 (-)Depreciaçao-Custo das Benfeitorias</v>
          </cell>
          <cell r="P205">
            <v>-5924206.6699999999</v>
          </cell>
        </row>
        <row r="206">
          <cell r="O206" t="str">
            <v>1740502021 (-)Depreciaçao-Mais Valia Benfeitorias</v>
          </cell>
          <cell r="P206">
            <v>-48230.95</v>
          </cell>
        </row>
        <row r="207">
          <cell r="O207" t="str">
            <v>1740502022 (-)Depreciaçao-Mais Valia Combin Neg Benfeitorias</v>
          </cell>
          <cell r="P207">
            <v>-48230.95</v>
          </cell>
        </row>
        <row r="208">
          <cell r="O208" t="str">
            <v>1740502024 (-)Depr-Contrapartida do AVP de Benfeitorias</v>
          </cell>
          <cell r="P208">
            <v>-220.19</v>
          </cell>
        </row>
        <row r="209">
          <cell r="O209" t="str">
            <v>Equipamentos e Instalações</v>
          </cell>
          <cell r="P209">
            <v>-491258069.94999999</v>
          </cell>
        </row>
        <row r="210">
          <cell r="O210" t="str">
            <v>1740503010 (-)Depreciaçao-Custo de Equipamentos</v>
          </cell>
          <cell r="P210">
            <v>-475798269.08999997</v>
          </cell>
        </row>
        <row r="211">
          <cell r="O211" t="str">
            <v>1740503011 (-)Depreciaçao-Mais Valia Equipamentos</v>
          </cell>
          <cell r="P211">
            <v>-2025319.73</v>
          </cell>
        </row>
        <row r="212">
          <cell r="O212" t="str">
            <v>1740503012 (-)Depreciaçao-Mais Valia Combin Neg Equipamentos</v>
          </cell>
          <cell r="P212">
            <v>-2025319.73</v>
          </cell>
        </row>
        <row r="213">
          <cell r="O213" t="str">
            <v>1740503014 (-)Depr-Contrapartida do AVP de Equipamentos</v>
          </cell>
          <cell r="P213">
            <v>-2191216.48</v>
          </cell>
        </row>
        <row r="214">
          <cell r="O214" t="str">
            <v>1740503020 (-)Depreciaçao-Custo dos Sobressalentes</v>
          </cell>
          <cell r="P214">
            <v>-8779797.7300000004</v>
          </cell>
        </row>
        <row r="215">
          <cell r="O215" t="str">
            <v>1740503021 (-)Depreciaçao-Mais Valia Sobressalentes</v>
          </cell>
          <cell r="P215">
            <v>-46990.54</v>
          </cell>
        </row>
        <row r="216">
          <cell r="O216" t="str">
            <v>1740503022 (-)Depreciaçao-Mais Valia Combin Neg Sobressalente</v>
          </cell>
          <cell r="P216">
            <v>-46990.54</v>
          </cell>
        </row>
        <row r="217">
          <cell r="O217" t="str">
            <v>1740505020 (-)Depreciaçao-Custo de Veiculos Fora da Estrada</v>
          </cell>
          <cell r="P217">
            <v>-344166.11</v>
          </cell>
        </row>
        <row r="218">
          <cell r="O218" t="str">
            <v>Veículos</v>
          </cell>
          <cell r="P218">
            <v>-781755.94</v>
          </cell>
        </row>
        <row r="219">
          <cell r="O219" t="str">
            <v>1740505010 (-)Depr-Custo de Veiculos de Passageiros e Carga</v>
          </cell>
          <cell r="P219">
            <v>-780878.83</v>
          </cell>
        </row>
        <row r="220">
          <cell r="O220" t="str">
            <v>1740505011 (-)Depreciaçao-Mais Valia Veiculos</v>
          </cell>
          <cell r="P220">
            <v>-396.67</v>
          </cell>
        </row>
        <row r="221">
          <cell r="O221" t="str">
            <v>1740505012 (-)Depreciaçao-Mais Valia Combin Neg Veiculos</v>
          </cell>
          <cell r="P221">
            <v>-396.67</v>
          </cell>
        </row>
        <row r="222">
          <cell r="O222" t="str">
            <v>1740505014 (-)Depr-Contrapartida do AVP de Veículos</v>
          </cell>
          <cell r="P222">
            <v>-83.77</v>
          </cell>
        </row>
        <row r="223">
          <cell r="O223" t="str">
            <v>Móveis e utensílios</v>
          </cell>
          <cell r="P223">
            <v>-7655957.9100000001</v>
          </cell>
        </row>
        <row r="224">
          <cell r="O224" t="str">
            <v>1740504010 (-)Depreciaçao-Custo dos Móveis, Utens e Inst Com</v>
          </cell>
          <cell r="P224">
            <v>-7647744.25</v>
          </cell>
        </row>
        <row r="225">
          <cell r="O225" t="str">
            <v>1740504014 (-)Depr-Contrapartida do AVP de Móveis, Utens</v>
          </cell>
          <cell r="P225">
            <v>-8213.66</v>
          </cell>
        </row>
        <row r="226">
          <cell r="O226" t="str">
            <v>Demais bens</v>
          </cell>
          <cell r="P226">
            <v>-6381041.9100000001</v>
          </cell>
        </row>
        <row r="227">
          <cell r="O227" t="str">
            <v>1740599070 (-)Depreciaçao-Custo de Computadores e Perifericos</v>
          </cell>
          <cell r="P227">
            <v>-6369084.7699999996</v>
          </cell>
        </row>
        <row r="228">
          <cell r="O228" t="str">
            <v>1740599074 (-)Depr-Contrap do AVP dos Computad Perifericos</v>
          </cell>
          <cell r="P228">
            <v>-11957.14</v>
          </cell>
        </row>
        <row r="229">
          <cell r="O229" t="str">
            <v>INTANGÍVEL</v>
          </cell>
          <cell r="P229">
            <v>273465801.32999998</v>
          </cell>
        </row>
        <row r="230">
          <cell r="O230" t="str">
            <v>INTANGÍVEL EM OPERAÇÃO</v>
          </cell>
          <cell r="P230">
            <v>273465801.32999998</v>
          </cell>
        </row>
        <row r="231">
          <cell r="O231" t="str">
            <v>Ágio - combinação de negócio em estágios</v>
          </cell>
          <cell r="P231">
            <v>195808784.34999999</v>
          </cell>
        </row>
        <row r="232">
          <cell r="O232" t="str">
            <v>1750190012 Intangivel Op-Mais Valia C N Ativ n Alocados</v>
          </cell>
          <cell r="P232">
            <v>195808784.34999999</v>
          </cell>
        </row>
        <row r="233">
          <cell r="O233" t="str">
            <v>Carteira de clientes</v>
          </cell>
          <cell r="P233">
            <v>203166.64</v>
          </cell>
        </row>
        <row r="234">
          <cell r="O234" t="str">
            <v>1750103011 Intangivel Op-Mais Valia de Carteira de Clientes</v>
          </cell>
          <cell r="P234">
            <v>106000</v>
          </cell>
        </row>
        <row r="235">
          <cell r="O235" t="str">
            <v>1750103012 Intangivel Op-Mais Valia de Carteira Clientes C N</v>
          </cell>
          <cell r="P235">
            <v>106000</v>
          </cell>
        </row>
        <row r="236">
          <cell r="O236" t="str">
            <v>1750603011 (-)Amort-Mais Valia Carteira de Clientes</v>
          </cell>
          <cell r="P236">
            <v>-4416.68</v>
          </cell>
        </row>
        <row r="237">
          <cell r="O237" t="str">
            <v>1750603012 (-)Amort-Mais Valia C N Carteira de Clientes</v>
          </cell>
          <cell r="P237">
            <v>-4416.68</v>
          </cell>
        </row>
        <row r="238">
          <cell r="O238" t="str">
            <v>Direito de uso de software e pesquisa e desen</v>
          </cell>
          <cell r="P238">
            <v>462354.05</v>
          </cell>
        </row>
        <row r="239">
          <cell r="O239" t="str">
            <v>1750101010 Intangivel Op-Custo das Marcas e Patentes</v>
          </cell>
          <cell r="P239">
            <v>1385.16</v>
          </cell>
        </row>
        <row r="240">
          <cell r="O240" t="str">
            <v>1750102010 Intangivel Op-Cto das Software ou Prog de Comput</v>
          </cell>
          <cell r="P240">
            <v>3706884.71</v>
          </cell>
        </row>
        <row r="241">
          <cell r="O241" t="str">
            <v>1750102014 Intangivel Op-AV de Software ou Prog de Comput</v>
          </cell>
          <cell r="P241">
            <v>4587.72</v>
          </cell>
        </row>
        <row r="242">
          <cell r="O242" t="str">
            <v>1750602010 (-)Amort-Cto dos Software ou Programas de Comput</v>
          </cell>
          <cell r="P242">
            <v>-3249542.97</v>
          </cell>
        </row>
        <row r="243">
          <cell r="O243" t="str">
            <v>1750602014 (-)Amort-Contrapartida do AVP de Softwares</v>
          </cell>
          <cell r="P243">
            <v>-960.57</v>
          </cell>
        </row>
        <row r="244">
          <cell r="O244" t="str">
            <v>Ágio Goodwill</v>
          </cell>
          <cell r="P244">
            <v>117482443.12</v>
          </cell>
        </row>
        <row r="245">
          <cell r="O245" t="str">
            <v>1750190011 Intangivel Op-Mais Valia Ativ n Alocados</v>
          </cell>
          <cell r="P245">
            <v>117482443.12</v>
          </cell>
        </row>
        <row r="246">
          <cell r="O246" t="str">
            <v>Tributos diferidos s/ágio não alocado</v>
          </cell>
          <cell r="P246">
            <v>-40490946.829999998</v>
          </cell>
        </row>
        <row r="247">
          <cell r="O247" t="str">
            <v>1750190021 Intangivel Op-Tribs Dif S/Mais Valia de Ativos (R)</v>
          </cell>
          <cell r="P247">
            <v>-39756289.259999998</v>
          </cell>
        </row>
        <row r="248">
          <cell r="O248" t="str">
            <v>1754900010 Int const c/Trib Dif s/Mais Valia Ativos(Real)</v>
          </cell>
          <cell r="P248">
            <v>-735408.39</v>
          </cell>
        </row>
        <row r="249">
          <cell r="O249" t="str">
            <v>1754901010 Trib Diferidos s/Mais Valia de Ativos Imob (Realiz</v>
          </cell>
          <cell r="P249">
            <v>375.41</v>
          </cell>
        </row>
        <row r="250">
          <cell r="O250" t="str">
            <v>1754901020 Trib Diferidos s/Mais Valia CN Ativos Imob (Realiz</v>
          </cell>
          <cell r="P250">
            <v>375.41</v>
          </cell>
        </row>
        <row r="251">
          <cell r="O251" t="str">
            <v>PASSIVO E PATRIMÔNIO LÍQUIDO</v>
          </cell>
          <cell r="P251">
            <v>-1660562840.1600001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82">
          <cell r="I282">
            <v>118528.3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19">
          <cell r="E19">
            <v>136290</v>
          </cell>
        </row>
      </sheetData>
      <sheetData sheetId="35"/>
      <sheetData sheetId="36">
        <row r="10">
          <cell r="D10">
            <v>46909</v>
          </cell>
        </row>
      </sheetData>
      <sheetData sheetId="37"/>
      <sheetData sheetId="38"/>
      <sheetData sheetId="39"/>
      <sheetData sheetId="40"/>
      <sheetData sheetId="41">
        <row r="39">
          <cell r="M39">
            <v>24244</v>
          </cell>
        </row>
      </sheetData>
      <sheetData sheetId="42"/>
      <sheetData sheetId="43">
        <row r="15">
          <cell r="O15">
            <v>29153</v>
          </cell>
        </row>
      </sheetData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BB"/>
      <sheetName val="Bradesco"/>
      <sheetName val="SAFRA"/>
      <sheetName val="BES"/>
      <sheetName val="Votorantim"/>
      <sheetName val="Unibanco"/>
      <sheetName val="Fundo"/>
      <sheetName val="ALFA"/>
      <sheetName val="Fundo (2)"/>
      <sheetName val="ABN"/>
      <sheetName val="SANTANDER"/>
      <sheetName val="Demonstrativo"/>
      <sheetName val="Posição Aplicações"/>
      <sheetName val="Resumos"/>
      <sheetName val="IOF"/>
      <sheetName val="Cotação"/>
      <sheetName val="Plan1"/>
      <sheetName val="Fundo_(2)"/>
      <sheetName val="Posição_Aplicaçõ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BB"/>
      <sheetName val="Bradesco"/>
      <sheetName val="SAFRA"/>
      <sheetName val="BES"/>
      <sheetName val="Votorantim"/>
      <sheetName val="Unibanco"/>
      <sheetName val="Fundo"/>
      <sheetName val="ALFA"/>
      <sheetName val="ABN"/>
      <sheetName val="SANTANDER"/>
      <sheetName val="Demonstrativo"/>
      <sheetName val="Posição Aplicações"/>
      <sheetName val="Resumos"/>
      <sheetName val="IOF"/>
      <sheetName val="Cotação"/>
      <sheetName val="Plan1"/>
      <sheetName val="Posição_Aplicaçõ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3">
    <tabColor rgb="FF006E5D"/>
  </sheetPr>
  <dimension ref="B4:I23"/>
  <sheetViews>
    <sheetView showGridLines="0" workbookViewId="0">
      <selection activeCell="B7" sqref="B7"/>
    </sheetView>
  </sheetViews>
  <sheetFormatPr defaultRowHeight="12.75"/>
  <cols>
    <col min="2" max="2" width="38.42578125" customWidth="1"/>
    <col min="3" max="3" width="10.42578125" customWidth="1"/>
    <col min="4" max="4" width="11.28515625" customWidth="1"/>
    <col min="5" max="5" width="11.42578125" customWidth="1"/>
  </cols>
  <sheetData>
    <row r="4" spans="2:9" ht="12.75" customHeight="1">
      <c r="B4" s="435" t="s">
        <v>87</v>
      </c>
      <c r="C4" s="76" t="s">
        <v>72</v>
      </c>
      <c r="D4" s="76" t="s">
        <v>74</v>
      </c>
      <c r="E4" s="76" t="s">
        <v>73</v>
      </c>
      <c r="I4" s="12"/>
    </row>
    <row r="5" spans="2:9" ht="12.75" customHeight="1" thickBot="1">
      <c r="B5" s="436"/>
      <c r="C5" s="77" t="s">
        <v>78</v>
      </c>
      <c r="D5" s="77" t="s">
        <v>79</v>
      </c>
      <c r="E5" s="77" t="s">
        <v>80</v>
      </c>
    </row>
    <row r="6" spans="2:9" ht="20.100000000000001" customHeight="1" thickTop="1">
      <c r="B6" s="87" t="s">
        <v>141</v>
      </c>
      <c r="C6" s="99">
        <v>5.9</v>
      </c>
      <c r="D6" s="100">
        <v>6.4</v>
      </c>
      <c r="E6" s="100">
        <v>4.4000000000000004</v>
      </c>
    </row>
    <row r="7" spans="2:9" ht="20.100000000000001" customHeight="1">
      <c r="B7" s="88" t="s">
        <v>119</v>
      </c>
      <c r="C7" s="101">
        <v>5.56</v>
      </c>
      <c r="D7" s="102">
        <v>5.25</v>
      </c>
      <c r="E7" s="102">
        <v>4.17</v>
      </c>
    </row>
    <row r="8" spans="2:9" s="94" customFormat="1" ht="20.100000000000001" customHeight="1">
      <c r="B8" s="92" t="s">
        <v>120</v>
      </c>
      <c r="C8" s="93">
        <f>C7/C6-1</f>
        <v>-5.7627118644067887E-2</v>
      </c>
      <c r="D8" s="93">
        <f>D7/D6-1</f>
        <v>-0.1796875</v>
      </c>
      <c r="E8" s="93">
        <f>E7/E6-1</f>
        <v>-5.227272727272736E-2</v>
      </c>
    </row>
    <row r="9" spans="2:9" ht="20.100000000000001" hidden="1" customHeight="1">
      <c r="B9" s="88" t="s">
        <v>86</v>
      </c>
      <c r="C9" s="89">
        <v>0.57999999999999996</v>
      </c>
      <c r="D9" s="75">
        <v>0.62</v>
      </c>
      <c r="E9" s="75">
        <v>0.51</v>
      </c>
    </row>
    <row r="10" spans="2:9" s="94" customFormat="1" ht="20.100000000000001" hidden="1" customHeight="1">
      <c r="B10" s="92" t="s">
        <v>89</v>
      </c>
      <c r="C10" s="93">
        <f>C7/C9-1</f>
        <v>8.5862068965517242</v>
      </c>
      <c r="D10" s="93">
        <f>D7/D9-1</f>
        <v>7.4677419354838719</v>
      </c>
      <c r="E10" s="93">
        <f>E7/E9-1</f>
        <v>7.1764705882352935</v>
      </c>
    </row>
    <row r="11" spans="2:9" ht="20.100000000000001" hidden="1" customHeight="1">
      <c r="B11" s="88" t="s">
        <v>90</v>
      </c>
      <c r="C11" s="101" t="e">
        <f>#REF!</f>
        <v>#REF!</v>
      </c>
      <c r="D11" s="102" t="e">
        <f>#REF!</f>
        <v>#REF!</v>
      </c>
      <c r="E11" s="102" t="e">
        <f>#REF!</f>
        <v>#REF!</v>
      </c>
    </row>
    <row r="12" spans="2:9" s="94" customFormat="1" ht="20.100000000000001" hidden="1" customHeight="1">
      <c r="B12" s="92" t="s">
        <v>91</v>
      </c>
      <c r="C12" s="93" t="e">
        <f>C7/C11-1</f>
        <v>#REF!</v>
      </c>
      <c r="D12" s="93" t="e">
        <f>D7/D11-1</f>
        <v>#REF!</v>
      </c>
      <c r="E12" s="93" t="e">
        <f>E7/E11-1</f>
        <v>#REF!</v>
      </c>
    </row>
    <row r="13" spans="2:9" ht="20.100000000000001" customHeight="1">
      <c r="B13" s="88" t="s">
        <v>127</v>
      </c>
      <c r="C13" s="101">
        <v>6</v>
      </c>
      <c r="D13" s="102">
        <v>5.9</v>
      </c>
      <c r="E13" s="101">
        <v>4.7</v>
      </c>
    </row>
    <row r="14" spans="2:9" ht="20.100000000000001" customHeight="1">
      <c r="B14" s="88" t="s">
        <v>121</v>
      </c>
      <c r="C14" s="89">
        <v>4.55</v>
      </c>
      <c r="D14" s="102">
        <v>4.8</v>
      </c>
      <c r="E14" s="89">
        <v>3.7</v>
      </c>
    </row>
    <row r="15" spans="2:9" ht="20.100000000000001" hidden="1" customHeight="1">
      <c r="B15" s="88" t="s">
        <v>84</v>
      </c>
      <c r="C15" s="75" t="s">
        <v>98</v>
      </c>
      <c r="D15" s="75" t="s">
        <v>99</v>
      </c>
      <c r="E15" s="75" t="s">
        <v>100</v>
      </c>
    </row>
    <row r="16" spans="2:9" ht="20.100000000000001" customHeight="1">
      <c r="B16" s="88" t="s">
        <v>122</v>
      </c>
      <c r="C16" s="75" t="s">
        <v>124</v>
      </c>
      <c r="D16" s="75" t="s">
        <v>125</v>
      </c>
      <c r="E16" s="75" t="s">
        <v>126</v>
      </c>
    </row>
    <row r="17" spans="2:5" ht="20.100000000000001" customHeight="1">
      <c r="B17" s="88" t="s">
        <v>101</v>
      </c>
      <c r="C17" s="75" t="s">
        <v>98</v>
      </c>
      <c r="D17" s="75" t="s">
        <v>99</v>
      </c>
      <c r="E17" s="75" t="s">
        <v>100</v>
      </c>
    </row>
    <row r="18" spans="2:5" ht="20.100000000000001" customHeight="1">
      <c r="B18" s="88" t="s">
        <v>123</v>
      </c>
      <c r="C18" s="90">
        <v>17369.475409836065</v>
      </c>
      <c r="D18" s="90">
        <v>4841.9016393442625</v>
      </c>
      <c r="E18" s="91">
        <v>168249.06557377049</v>
      </c>
    </row>
    <row r="19" spans="2:5" ht="20.100000000000001" customHeight="1">
      <c r="B19" s="88" t="s">
        <v>117</v>
      </c>
      <c r="C19" s="90">
        <v>15228.104838709678</v>
      </c>
      <c r="D19" s="90">
        <v>30078.584677419356</v>
      </c>
      <c r="E19" s="91">
        <v>355732.48790322582</v>
      </c>
    </row>
    <row r="20" spans="2:5" ht="20.100000000000001" hidden="1" customHeight="1">
      <c r="B20" s="88" t="s">
        <v>92</v>
      </c>
      <c r="C20" s="90">
        <v>12704</v>
      </c>
      <c r="D20" s="90">
        <v>34920</v>
      </c>
      <c r="E20" s="91">
        <v>369264</v>
      </c>
    </row>
    <row r="21" spans="2:5" ht="20.100000000000001" hidden="1" customHeight="1">
      <c r="B21" s="88" t="s">
        <v>85</v>
      </c>
      <c r="C21" s="90">
        <v>30000</v>
      </c>
      <c r="D21" s="90">
        <v>38588</v>
      </c>
      <c r="E21" s="91">
        <v>451819</v>
      </c>
    </row>
    <row r="22" spans="2:5" ht="19.5" customHeight="1">
      <c r="B22" s="86" t="s">
        <v>83</v>
      </c>
    </row>
    <row r="23" spans="2:5" ht="21" customHeight="1">
      <c r="B23" s="95" t="s">
        <v>102</v>
      </c>
    </row>
  </sheetData>
  <mergeCells count="1">
    <mergeCell ref="B4:B5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Plan15">
    <tabColor rgb="FFFFFF00"/>
  </sheetPr>
  <dimension ref="B1:H23"/>
  <sheetViews>
    <sheetView showGridLines="0" workbookViewId="0">
      <selection activeCell="I41" sqref="I41"/>
    </sheetView>
  </sheetViews>
  <sheetFormatPr defaultRowHeight="12.75"/>
  <cols>
    <col min="1" max="1" width="9.140625" style="145"/>
    <col min="2" max="2" width="37.7109375" style="145" customWidth="1"/>
    <col min="3" max="3" width="12.7109375" style="145" customWidth="1"/>
    <col min="4" max="4" width="12.7109375" style="146" customWidth="1"/>
    <col min="5" max="5" width="12.7109375" style="145" customWidth="1"/>
    <col min="6" max="6" width="12.7109375" style="146" customWidth="1"/>
    <col min="7" max="9" width="12.7109375" style="145" customWidth="1"/>
    <col min="10" max="257" width="9.140625" style="145"/>
    <col min="258" max="258" width="37.7109375" style="145" customWidth="1"/>
    <col min="259" max="265" width="12.7109375" style="145" customWidth="1"/>
    <col min="266" max="513" width="9.140625" style="145"/>
    <col min="514" max="514" width="37.7109375" style="145" customWidth="1"/>
    <col min="515" max="521" width="12.7109375" style="145" customWidth="1"/>
    <col min="522" max="769" width="9.140625" style="145"/>
    <col min="770" max="770" width="37.7109375" style="145" customWidth="1"/>
    <col min="771" max="777" width="12.7109375" style="145" customWidth="1"/>
    <col min="778" max="1025" width="9.140625" style="145"/>
    <col min="1026" max="1026" width="37.7109375" style="145" customWidth="1"/>
    <col min="1027" max="1033" width="12.7109375" style="145" customWidth="1"/>
    <col min="1034" max="1281" width="9.140625" style="145"/>
    <col min="1282" max="1282" width="37.7109375" style="145" customWidth="1"/>
    <col min="1283" max="1289" width="12.7109375" style="145" customWidth="1"/>
    <col min="1290" max="1537" width="9.140625" style="145"/>
    <col min="1538" max="1538" width="37.7109375" style="145" customWidth="1"/>
    <col min="1539" max="1545" width="12.7109375" style="145" customWidth="1"/>
    <col min="1546" max="1793" width="9.140625" style="145"/>
    <col min="1794" max="1794" width="37.7109375" style="145" customWidth="1"/>
    <col min="1795" max="1801" width="12.7109375" style="145" customWidth="1"/>
    <col min="1802" max="2049" width="9.140625" style="145"/>
    <col min="2050" max="2050" width="37.7109375" style="145" customWidth="1"/>
    <col min="2051" max="2057" width="12.7109375" style="145" customWidth="1"/>
    <col min="2058" max="2305" width="9.140625" style="145"/>
    <col min="2306" max="2306" width="37.7109375" style="145" customWidth="1"/>
    <col min="2307" max="2313" width="12.7109375" style="145" customWidth="1"/>
    <col min="2314" max="2561" width="9.140625" style="145"/>
    <col min="2562" max="2562" width="37.7109375" style="145" customWidth="1"/>
    <col min="2563" max="2569" width="12.7109375" style="145" customWidth="1"/>
    <col min="2570" max="2817" width="9.140625" style="145"/>
    <col min="2818" max="2818" width="37.7109375" style="145" customWidth="1"/>
    <col min="2819" max="2825" width="12.7109375" style="145" customWidth="1"/>
    <col min="2826" max="3073" width="9.140625" style="145"/>
    <col min="3074" max="3074" width="37.7109375" style="145" customWidth="1"/>
    <col min="3075" max="3081" width="12.7109375" style="145" customWidth="1"/>
    <col min="3082" max="3329" width="9.140625" style="145"/>
    <col min="3330" max="3330" width="37.7109375" style="145" customWidth="1"/>
    <col min="3331" max="3337" width="12.7109375" style="145" customWidth="1"/>
    <col min="3338" max="3585" width="9.140625" style="145"/>
    <col min="3586" max="3586" width="37.7109375" style="145" customWidth="1"/>
    <col min="3587" max="3593" width="12.7109375" style="145" customWidth="1"/>
    <col min="3594" max="3841" width="9.140625" style="145"/>
    <col min="3842" max="3842" width="37.7109375" style="145" customWidth="1"/>
    <col min="3843" max="3849" width="12.7109375" style="145" customWidth="1"/>
    <col min="3850" max="4097" width="9.140625" style="145"/>
    <col min="4098" max="4098" width="37.7109375" style="145" customWidth="1"/>
    <col min="4099" max="4105" width="12.7109375" style="145" customWidth="1"/>
    <col min="4106" max="4353" width="9.140625" style="145"/>
    <col min="4354" max="4354" width="37.7109375" style="145" customWidth="1"/>
    <col min="4355" max="4361" width="12.7109375" style="145" customWidth="1"/>
    <col min="4362" max="4609" width="9.140625" style="145"/>
    <col min="4610" max="4610" width="37.7109375" style="145" customWidth="1"/>
    <col min="4611" max="4617" width="12.7109375" style="145" customWidth="1"/>
    <col min="4618" max="4865" width="9.140625" style="145"/>
    <col min="4866" max="4866" width="37.7109375" style="145" customWidth="1"/>
    <col min="4867" max="4873" width="12.7109375" style="145" customWidth="1"/>
    <col min="4874" max="5121" width="9.140625" style="145"/>
    <col min="5122" max="5122" width="37.7109375" style="145" customWidth="1"/>
    <col min="5123" max="5129" width="12.7109375" style="145" customWidth="1"/>
    <col min="5130" max="5377" width="9.140625" style="145"/>
    <col min="5378" max="5378" width="37.7109375" style="145" customWidth="1"/>
    <col min="5379" max="5385" width="12.7109375" style="145" customWidth="1"/>
    <col min="5386" max="5633" width="9.140625" style="145"/>
    <col min="5634" max="5634" width="37.7109375" style="145" customWidth="1"/>
    <col min="5635" max="5641" width="12.7109375" style="145" customWidth="1"/>
    <col min="5642" max="5889" width="9.140625" style="145"/>
    <col min="5890" max="5890" width="37.7109375" style="145" customWidth="1"/>
    <col min="5891" max="5897" width="12.7109375" style="145" customWidth="1"/>
    <col min="5898" max="6145" width="9.140625" style="145"/>
    <col min="6146" max="6146" width="37.7109375" style="145" customWidth="1"/>
    <col min="6147" max="6153" width="12.7109375" style="145" customWidth="1"/>
    <col min="6154" max="6401" width="9.140625" style="145"/>
    <col min="6402" max="6402" width="37.7109375" style="145" customWidth="1"/>
    <col min="6403" max="6409" width="12.7109375" style="145" customWidth="1"/>
    <col min="6410" max="6657" width="9.140625" style="145"/>
    <col min="6658" max="6658" width="37.7109375" style="145" customWidth="1"/>
    <col min="6659" max="6665" width="12.7109375" style="145" customWidth="1"/>
    <col min="6666" max="6913" width="9.140625" style="145"/>
    <col min="6914" max="6914" width="37.7109375" style="145" customWidth="1"/>
    <col min="6915" max="6921" width="12.7109375" style="145" customWidth="1"/>
    <col min="6922" max="7169" width="9.140625" style="145"/>
    <col min="7170" max="7170" width="37.7109375" style="145" customWidth="1"/>
    <col min="7171" max="7177" width="12.7109375" style="145" customWidth="1"/>
    <col min="7178" max="7425" width="9.140625" style="145"/>
    <col min="7426" max="7426" width="37.7109375" style="145" customWidth="1"/>
    <col min="7427" max="7433" width="12.7109375" style="145" customWidth="1"/>
    <col min="7434" max="7681" width="9.140625" style="145"/>
    <col min="7682" max="7682" width="37.7109375" style="145" customWidth="1"/>
    <col min="7683" max="7689" width="12.7109375" style="145" customWidth="1"/>
    <col min="7690" max="7937" width="9.140625" style="145"/>
    <col min="7938" max="7938" width="37.7109375" style="145" customWidth="1"/>
    <col min="7939" max="7945" width="12.7109375" style="145" customWidth="1"/>
    <col min="7946" max="8193" width="9.140625" style="145"/>
    <col min="8194" max="8194" width="37.7109375" style="145" customWidth="1"/>
    <col min="8195" max="8201" width="12.7109375" style="145" customWidth="1"/>
    <col min="8202" max="8449" width="9.140625" style="145"/>
    <col min="8450" max="8450" width="37.7109375" style="145" customWidth="1"/>
    <col min="8451" max="8457" width="12.7109375" style="145" customWidth="1"/>
    <col min="8458" max="8705" width="9.140625" style="145"/>
    <col min="8706" max="8706" width="37.7109375" style="145" customWidth="1"/>
    <col min="8707" max="8713" width="12.7109375" style="145" customWidth="1"/>
    <col min="8714" max="8961" width="9.140625" style="145"/>
    <col min="8962" max="8962" width="37.7109375" style="145" customWidth="1"/>
    <col min="8963" max="8969" width="12.7109375" style="145" customWidth="1"/>
    <col min="8970" max="9217" width="9.140625" style="145"/>
    <col min="9218" max="9218" width="37.7109375" style="145" customWidth="1"/>
    <col min="9219" max="9225" width="12.7109375" style="145" customWidth="1"/>
    <col min="9226" max="9473" width="9.140625" style="145"/>
    <col min="9474" max="9474" width="37.7109375" style="145" customWidth="1"/>
    <col min="9475" max="9481" width="12.7109375" style="145" customWidth="1"/>
    <col min="9482" max="9729" width="9.140625" style="145"/>
    <col min="9730" max="9730" width="37.7109375" style="145" customWidth="1"/>
    <col min="9731" max="9737" width="12.7109375" style="145" customWidth="1"/>
    <col min="9738" max="9985" width="9.140625" style="145"/>
    <col min="9986" max="9986" width="37.7109375" style="145" customWidth="1"/>
    <col min="9987" max="9993" width="12.7109375" style="145" customWidth="1"/>
    <col min="9994" max="10241" width="9.140625" style="145"/>
    <col min="10242" max="10242" width="37.7109375" style="145" customWidth="1"/>
    <col min="10243" max="10249" width="12.7109375" style="145" customWidth="1"/>
    <col min="10250" max="10497" width="9.140625" style="145"/>
    <col min="10498" max="10498" width="37.7109375" style="145" customWidth="1"/>
    <col min="10499" max="10505" width="12.7109375" style="145" customWidth="1"/>
    <col min="10506" max="10753" width="9.140625" style="145"/>
    <col min="10754" max="10754" width="37.7109375" style="145" customWidth="1"/>
    <col min="10755" max="10761" width="12.7109375" style="145" customWidth="1"/>
    <col min="10762" max="11009" width="9.140625" style="145"/>
    <col min="11010" max="11010" width="37.7109375" style="145" customWidth="1"/>
    <col min="11011" max="11017" width="12.7109375" style="145" customWidth="1"/>
    <col min="11018" max="11265" width="9.140625" style="145"/>
    <col min="11266" max="11266" width="37.7109375" style="145" customWidth="1"/>
    <col min="11267" max="11273" width="12.7109375" style="145" customWidth="1"/>
    <col min="11274" max="11521" width="9.140625" style="145"/>
    <col min="11522" max="11522" width="37.7109375" style="145" customWidth="1"/>
    <col min="11523" max="11529" width="12.7109375" style="145" customWidth="1"/>
    <col min="11530" max="11777" width="9.140625" style="145"/>
    <col min="11778" max="11778" width="37.7109375" style="145" customWidth="1"/>
    <col min="11779" max="11785" width="12.7109375" style="145" customWidth="1"/>
    <col min="11786" max="12033" width="9.140625" style="145"/>
    <col min="12034" max="12034" width="37.7109375" style="145" customWidth="1"/>
    <col min="12035" max="12041" width="12.7109375" style="145" customWidth="1"/>
    <col min="12042" max="12289" width="9.140625" style="145"/>
    <col min="12290" max="12290" width="37.7109375" style="145" customWidth="1"/>
    <col min="12291" max="12297" width="12.7109375" style="145" customWidth="1"/>
    <col min="12298" max="12545" width="9.140625" style="145"/>
    <col min="12546" max="12546" width="37.7109375" style="145" customWidth="1"/>
    <col min="12547" max="12553" width="12.7109375" style="145" customWidth="1"/>
    <col min="12554" max="12801" width="9.140625" style="145"/>
    <col min="12802" max="12802" width="37.7109375" style="145" customWidth="1"/>
    <col min="12803" max="12809" width="12.7109375" style="145" customWidth="1"/>
    <col min="12810" max="13057" width="9.140625" style="145"/>
    <col min="13058" max="13058" width="37.7109375" style="145" customWidth="1"/>
    <col min="13059" max="13065" width="12.7109375" style="145" customWidth="1"/>
    <col min="13066" max="13313" width="9.140625" style="145"/>
    <col min="13314" max="13314" width="37.7109375" style="145" customWidth="1"/>
    <col min="13315" max="13321" width="12.7109375" style="145" customWidth="1"/>
    <col min="13322" max="13569" width="9.140625" style="145"/>
    <col min="13570" max="13570" width="37.7109375" style="145" customWidth="1"/>
    <col min="13571" max="13577" width="12.7109375" style="145" customWidth="1"/>
    <col min="13578" max="13825" width="9.140625" style="145"/>
    <col min="13826" max="13826" width="37.7109375" style="145" customWidth="1"/>
    <col min="13827" max="13833" width="12.7109375" style="145" customWidth="1"/>
    <col min="13834" max="14081" width="9.140625" style="145"/>
    <col min="14082" max="14082" width="37.7109375" style="145" customWidth="1"/>
    <col min="14083" max="14089" width="12.7109375" style="145" customWidth="1"/>
    <col min="14090" max="14337" width="9.140625" style="145"/>
    <col min="14338" max="14338" width="37.7109375" style="145" customWidth="1"/>
    <col min="14339" max="14345" width="12.7109375" style="145" customWidth="1"/>
    <col min="14346" max="14593" width="9.140625" style="145"/>
    <col min="14594" max="14594" width="37.7109375" style="145" customWidth="1"/>
    <col min="14595" max="14601" width="12.7109375" style="145" customWidth="1"/>
    <col min="14602" max="14849" width="9.140625" style="145"/>
    <col min="14850" max="14850" width="37.7109375" style="145" customWidth="1"/>
    <col min="14851" max="14857" width="12.7109375" style="145" customWidth="1"/>
    <col min="14858" max="15105" width="9.140625" style="145"/>
    <col min="15106" max="15106" width="37.7109375" style="145" customWidth="1"/>
    <col min="15107" max="15113" width="12.7109375" style="145" customWidth="1"/>
    <col min="15114" max="15361" width="9.140625" style="145"/>
    <col min="15362" max="15362" width="37.7109375" style="145" customWidth="1"/>
    <col min="15363" max="15369" width="12.7109375" style="145" customWidth="1"/>
    <col min="15370" max="15617" width="9.140625" style="145"/>
    <col min="15618" max="15618" width="37.7109375" style="145" customWidth="1"/>
    <col min="15619" max="15625" width="12.7109375" style="145" customWidth="1"/>
    <col min="15626" max="15873" width="9.140625" style="145"/>
    <col min="15874" max="15874" width="37.7109375" style="145" customWidth="1"/>
    <col min="15875" max="15881" width="12.7109375" style="145" customWidth="1"/>
    <col min="15882" max="16129" width="9.140625" style="145"/>
    <col min="16130" max="16130" width="37.7109375" style="145" customWidth="1"/>
    <col min="16131" max="16137" width="12.7109375" style="145" customWidth="1"/>
    <col min="16138" max="16384" width="9.140625" style="145"/>
  </cols>
  <sheetData>
    <row r="1" spans="2:8" ht="20.100000000000001" customHeight="1"/>
    <row r="2" spans="2:8" ht="20.100000000000001" customHeight="1">
      <c r="B2" s="147" t="s">
        <v>128</v>
      </c>
      <c r="C2" s="148" t="s">
        <v>118</v>
      </c>
      <c r="D2" s="147" t="s">
        <v>129</v>
      </c>
      <c r="E2" s="149" t="s">
        <v>93</v>
      </c>
      <c r="F2" s="147" t="s">
        <v>129</v>
      </c>
      <c r="G2" s="149" t="s">
        <v>5</v>
      </c>
      <c r="H2" s="149" t="s">
        <v>129</v>
      </c>
    </row>
    <row r="3" spans="2:8" ht="20.100000000000001" customHeight="1">
      <c r="B3" s="50" t="s">
        <v>130</v>
      </c>
      <c r="C3" s="173">
        <f>310735+648912</f>
        <v>959647</v>
      </c>
      <c r="D3" s="174">
        <f>C3/C5*100</f>
        <v>54.826006227325962</v>
      </c>
      <c r="E3" s="175">
        <f>286026+562675</f>
        <v>848701</v>
      </c>
      <c r="F3" s="174">
        <f>E3/E5*100</f>
        <v>52.209408263311786</v>
      </c>
      <c r="G3" s="175">
        <f>269276+653560</f>
        <v>922836</v>
      </c>
      <c r="H3" s="174">
        <f>G3/G5*100</f>
        <v>54.433843458667461</v>
      </c>
    </row>
    <row r="4" spans="2:8" ht="20.100000000000001" customHeight="1">
      <c r="B4" s="50" t="s">
        <v>131</v>
      </c>
      <c r="C4" s="173">
        <v>790703</v>
      </c>
      <c r="D4" s="176">
        <f>C4/C5*100</f>
        <v>45.173993772674038</v>
      </c>
      <c r="E4" s="173">
        <v>776870</v>
      </c>
      <c r="F4" s="176">
        <f>E4/E5*100</f>
        <v>47.790591736688214</v>
      </c>
      <c r="G4" s="173">
        <v>772499</v>
      </c>
      <c r="H4" s="176">
        <f>G4/G5*100</f>
        <v>45.566156541332539</v>
      </c>
    </row>
    <row r="5" spans="2:8" ht="20.100000000000001" customHeight="1">
      <c r="B5" s="172" t="s">
        <v>132</v>
      </c>
      <c r="C5" s="177">
        <f>SUM(C3:C4)</f>
        <v>1750350</v>
      </c>
      <c r="D5" s="178">
        <f>C5/C5*100</f>
        <v>100</v>
      </c>
      <c r="E5" s="177">
        <v>1625571</v>
      </c>
      <c r="F5" s="178">
        <f>E5/E5*100</f>
        <v>100</v>
      </c>
      <c r="G5" s="177">
        <f>SUM(G3:G4)</f>
        <v>1695335</v>
      </c>
      <c r="H5" s="178">
        <f>G5/G5*100</f>
        <v>100</v>
      </c>
    </row>
    <row r="6" spans="2:8" ht="20.100000000000001" customHeight="1">
      <c r="B6" s="158"/>
      <c r="C6" s="158"/>
      <c r="D6" s="159"/>
      <c r="E6" s="160"/>
      <c r="F6" s="161"/>
      <c r="G6" s="158"/>
      <c r="H6" s="158"/>
    </row>
    <row r="7" spans="2:8">
      <c r="B7" s="162"/>
      <c r="C7" s="163"/>
      <c r="D7" s="164"/>
      <c r="E7" s="163"/>
      <c r="F7" s="164"/>
    </row>
    <row r="8" spans="2:8" ht="13.5" customHeight="1">
      <c r="B8" s="147" t="s">
        <v>133</v>
      </c>
      <c r="C8" s="148">
        <v>2014</v>
      </c>
      <c r="D8" s="147" t="s">
        <v>129</v>
      </c>
      <c r="E8" s="149">
        <v>2013</v>
      </c>
      <c r="F8" s="147" t="s">
        <v>129</v>
      </c>
      <c r="G8" s="149">
        <v>2012</v>
      </c>
      <c r="H8" s="149" t="s">
        <v>129</v>
      </c>
    </row>
    <row r="9" spans="2:8" ht="13.5" customHeight="1">
      <c r="B9" s="165" t="s">
        <v>134</v>
      </c>
      <c r="C9" s="150">
        <v>650203</v>
      </c>
      <c r="D9" s="151">
        <f>C9/C11*100</f>
        <v>45.124595219951892</v>
      </c>
      <c r="E9" s="152">
        <v>740816</v>
      </c>
      <c r="F9" s="151">
        <f>E9/E11*100</f>
        <v>48.812204896137935</v>
      </c>
      <c r="G9" s="152">
        <v>219151</v>
      </c>
      <c r="H9" s="151">
        <f>G9/G11*100</f>
        <v>22.099631926587001</v>
      </c>
    </row>
    <row r="10" spans="2:8" ht="13.5" customHeight="1">
      <c r="B10" s="153" t="s">
        <v>131</v>
      </c>
      <c r="C10" s="150">
        <f>C4</f>
        <v>790703</v>
      </c>
      <c r="D10" s="154">
        <f>C10/C11*100</f>
        <v>54.875404780048108</v>
      </c>
      <c r="E10" s="150">
        <f>E4</f>
        <v>776870</v>
      </c>
      <c r="F10" s="154">
        <f>E10/E11*100</f>
        <v>51.187795103862065</v>
      </c>
      <c r="G10" s="150">
        <f>G4</f>
        <v>772499</v>
      </c>
      <c r="H10" s="154">
        <f>G10/G11*100</f>
        <v>77.900368073412992</v>
      </c>
    </row>
    <row r="11" spans="2:8" ht="13.5" customHeight="1">
      <c r="B11" s="155" t="s">
        <v>135</v>
      </c>
      <c r="C11" s="156">
        <f>SUM(C9:C10)</f>
        <v>1440906</v>
      </c>
      <c r="D11" s="157">
        <f>C11/C11*100</f>
        <v>100</v>
      </c>
      <c r="E11" s="156">
        <f>SUM(E9:E10)</f>
        <v>1517686</v>
      </c>
      <c r="F11" s="157">
        <f>E11/E11*100</f>
        <v>100</v>
      </c>
      <c r="G11" s="156">
        <f>SUM(G9:G10)</f>
        <v>991650</v>
      </c>
      <c r="H11" s="157">
        <f>G11/G11*100</f>
        <v>100</v>
      </c>
    </row>
    <row r="12" spans="2:8">
      <c r="B12" s="158"/>
      <c r="C12" s="158"/>
      <c r="D12" s="159"/>
      <c r="E12" s="160"/>
      <c r="F12" s="161"/>
      <c r="G12" s="158"/>
      <c r="H12" s="158"/>
    </row>
    <row r="16" spans="2:8">
      <c r="B16" s="147" t="s">
        <v>136</v>
      </c>
      <c r="C16" s="148">
        <v>2014</v>
      </c>
      <c r="D16" s="147" t="s">
        <v>129</v>
      </c>
      <c r="E16" s="149">
        <v>2013</v>
      </c>
      <c r="F16" s="147" t="s">
        <v>129</v>
      </c>
      <c r="G16" s="149">
        <v>2012</v>
      </c>
      <c r="H16" s="149" t="s">
        <v>129</v>
      </c>
    </row>
    <row r="17" spans="2:8">
      <c r="B17" s="165" t="s">
        <v>137</v>
      </c>
      <c r="C17" s="166">
        <v>286026</v>
      </c>
      <c r="D17" s="167">
        <f t="shared" ref="D17:D23" si="0">C17/$C$23*100</f>
        <v>33.701621654740599</v>
      </c>
      <c r="E17" s="168">
        <v>248007</v>
      </c>
      <c r="F17" s="167">
        <f t="shared" ref="F17:F22" si="1">E17/$E$23*100</f>
        <v>27.308854425891589</v>
      </c>
      <c r="G17" s="168">
        <v>118190</v>
      </c>
      <c r="H17" s="167">
        <f t="shared" ref="H17:H22" si="2">G17/$G$23*100</f>
        <v>50.821074900778719</v>
      </c>
    </row>
    <row r="18" spans="2:8">
      <c r="B18" s="169" t="s">
        <v>138</v>
      </c>
      <c r="C18" s="150">
        <v>182505</v>
      </c>
      <c r="D18" s="151">
        <f t="shared" si="0"/>
        <v>21.504039703028511</v>
      </c>
      <c r="E18" s="152">
        <v>149482</v>
      </c>
      <c r="F18" s="151">
        <f t="shared" si="1"/>
        <v>16.45994740991636</v>
      </c>
      <c r="G18" s="152">
        <v>107624</v>
      </c>
      <c r="H18" s="151">
        <f t="shared" si="2"/>
        <v>46.277750783665361</v>
      </c>
    </row>
    <row r="19" spans="2:8">
      <c r="B19" s="169" t="s">
        <v>30</v>
      </c>
      <c r="C19" s="150">
        <f>C17-C18</f>
        <v>103521</v>
      </c>
      <c r="D19" s="151">
        <f t="shared" si="0"/>
        <v>12.197581951712086</v>
      </c>
      <c r="E19" s="152">
        <f>E17-E18</f>
        <v>98525</v>
      </c>
      <c r="F19" s="151">
        <f t="shared" si="1"/>
        <v>10.848907015975229</v>
      </c>
      <c r="G19" s="152">
        <f>G17-G18</f>
        <v>10566</v>
      </c>
      <c r="H19" s="151">
        <f t="shared" si="2"/>
        <v>4.5433241171133592</v>
      </c>
    </row>
    <row r="20" spans="2:8">
      <c r="B20" s="165" t="s">
        <v>139</v>
      </c>
      <c r="C20" s="166">
        <v>562675</v>
      </c>
      <c r="D20" s="167">
        <f t="shared" si="0"/>
        <v>66.298378345259408</v>
      </c>
      <c r="E20" s="168">
        <v>660149</v>
      </c>
      <c r="F20" s="167">
        <f t="shared" si="1"/>
        <v>72.691145574108418</v>
      </c>
      <c r="G20" s="168">
        <v>114371</v>
      </c>
      <c r="H20" s="167">
        <f t="shared" si="2"/>
        <v>49.178925099221281</v>
      </c>
    </row>
    <row r="21" spans="2:8">
      <c r="B21" s="169" t="s">
        <v>138</v>
      </c>
      <c r="C21" s="150">
        <v>467698</v>
      </c>
      <c r="D21" s="151">
        <f t="shared" si="0"/>
        <v>55.107511361480668</v>
      </c>
      <c r="E21" s="152">
        <v>591334</v>
      </c>
      <c r="F21" s="151">
        <f t="shared" si="1"/>
        <v>65.113702932095364</v>
      </c>
      <c r="G21" s="152">
        <v>111527</v>
      </c>
      <c r="H21" s="151">
        <f t="shared" si="2"/>
        <v>47.956020140952269</v>
      </c>
    </row>
    <row r="22" spans="2:8">
      <c r="B22" s="169" t="s">
        <v>30</v>
      </c>
      <c r="C22" s="150">
        <f>C20-C21</f>
        <v>94977</v>
      </c>
      <c r="D22" s="151">
        <f t="shared" si="0"/>
        <v>11.19086698377874</v>
      </c>
      <c r="E22" s="152">
        <f>E20-E21</f>
        <v>68815</v>
      </c>
      <c r="F22" s="151">
        <f t="shared" si="1"/>
        <v>7.5774426420130467</v>
      </c>
      <c r="G22" s="152">
        <f>G20-G21</f>
        <v>2844</v>
      </c>
      <c r="H22" s="151">
        <f t="shared" si="2"/>
        <v>1.2229049582690132</v>
      </c>
    </row>
    <row r="23" spans="2:8">
      <c r="B23" s="155" t="s">
        <v>140</v>
      </c>
      <c r="C23" s="170">
        <f>C20+C17</f>
        <v>848701</v>
      </c>
      <c r="D23" s="171">
        <f t="shared" si="0"/>
        <v>100</v>
      </c>
      <c r="E23" s="170">
        <f>E20+E17</f>
        <v>908156</v>
      </c>
      <c r="F23" s="171">
        <f>E23/E23*100</f>
        <v>100</v>
      </c>
      <c r="G23" s="170">
        <f>G20+G17</f>
        <v>232561</v>
      </c>
      <c r="H23" s="171">
        <f>G23/G23*100</f>
        <v>100</v>
      </c>
    </row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E3 G3 G5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515151"/>
  </sheetPr>
  <dimension ref="A1:AX29"/>
  <sheetViews>
    <sheetView zoomScale="90" zoomScaleNormal="9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C22" sqref="C22"/>
    </sheetView>
  </sheetViews>
  <sheetFormatPr defaultColWidth="9.140625" defaultRowHeight="14.25"/>
  <cols>
    <col min="1" max="1" width="1.7109375" style="181" customWidth="1"/>
    <col min="2" max="2" width="66.7109375" style="181" customWidth="1"/>
    <col min="3" max="3" width="12.28515625" style="181" bestFit="1" customWidth="1"/>
    <col min="4" max="4" width="11.5703125" style="181" customWidth="1"/>
    <col min="5" max="8" width="12.28515625" style="181" bestFit="1" customWidth="1"/>
    <col min="9" max="9" width="11.5703125" style="181" customWidth="1"/>
    <col min="10" max="12" width="12.28515625" style="181" bestFit="1" customWidth="1"/>
    <col min="13" max="14" width="11.5703125" style="181" customWidth="1"/>
    <col min="15" max="18" width="12.28515625" style="181" bestFit="1" customWidth="1"/>
    <col min="19" max="19" width="11.5703125" style="181" customWidth="1"/>
    <col min="20" max="23" width="12.28515625" style="181" bestFit="1" customWidth="1"/>
    <col min="24" max="24" width="11.85546875" style="181" bestFit="1" customWidth="1"/>
    <col min="25" max="27" width="12.28515625" style="181" bestFit="1" customWidth="1"/>
    <col min="28" max="29" width="11.85546875" style="181" bestFit="1" customWidth="1"/>
    <col min="30" max="30" width="12.28515625" style="181" bestFit="1" customWidth="1"/>
    <col min="31" max="32" width="11.85546875" style="181" bestFit="1" customWidth="1"/>
    <col min="33" max="33" width="10.7109375" style="181" customWidth="1"/>
    <col min="34" max="34" width="11.85546875" style="181" bestFit="1" customWidth="1"/>
    <col min="35" max="35" width="12.28515625" style="181" bestFit="1" customWidth="1"/>
    <col min="36" max="36" width="11.7109375" style="181" customWidth="1"/>
    <col min="37" max="39" width="10.7109375" style="181" customWidth="1"/>
    <col min="40" max="40" width="12.28515625" style="181" bestFit="1" customWidth="1"/>
    <col min="41" max="41" width="10.85546875" style="181" customWidth="1"/>
    <col min="42" max="42" width="11.85546875" style="181" customWidth="1"/>
    <col min="43" max="44" width="11.85546875" style="183" bestFit="1" customWidth="1"/>
    <col min="45" max="45" width="12.28515625" style="181" bestFit="1" customWidth="1"/>
    <col min="46" max="46" width="11.7109375" style="183" customWidth="1"/>
    <col min="47" max="47" width="11.85546875" style="183" bestFit="1" customWidth="1"/>
    <col min="48" max="49" width="10.5703125" style="183" bestFit="1" customWidth="1"/>
    <col min="50" max="50" width="11.85546875" style="181" bestFit="1" customWidth="1"/>
    <col min="51" max="16384" width="9.140625" style="184"/>
  </cols>
  <sheetData>
    <row r="1" spans="1:50" ht="9" customHeight="1">
      <c r="AQ1" s="182"/>
    </row>
    <row r="2" spans="1:50">
      <c r="AQ2" s="182"/>
    </row>
    <row r="3" spans="1:50">
      <c r="AQ3" s="182"/>
      <c r="AR3" s="185"/>
      <c r="AV3" s="185"/>
    </row>
    <row r="4" spans="1:50"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6"/>
      <c r="AR4" s="187"/>
      <c r="AS4" s="183"/>
      <c r="AV4" s="187"/>
      <c r="AX4" s="183"/>
    </row>
    <row r="5" spans="1:50" ht="15" customHeight="1"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6"/>
      <c r="AR5" s="187"/>
      <c r="AS5" s="183"/>
      <c r="AV5" s="187"/>
      <c r="AX5" s="183"/>
    </row>
    <row r="6" spans="1:50" ht="23.25" customHeight="1"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2"/>
      <c r="AR6" s="185"/>
      <c r="AS6" s="188"/>
      <c r="AV6" s="185"/>
      <c r="AX6" s="188"/>
    </row>
    <row r="7" spans="1:50" ht="15.75" customHeight="1">
      <c r="B7" s="434" t="s">
        <v>370</v>
      </c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441"/>
      <c r="AR7" s="441"/>
      <c r="AS7" s="189"/>
      <c r="AT7" s="190"/>
      <c r="AU7" s="441"/>
      <c r="AV7" s="441"/>
      <c r="AW7" s="441"/>
      <c r="AX7" s="189"/>
    </row>
    <row r="8" spans="1:50" ht="15.75" customHeight="1">
      <c r="B8" s="434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441"/>
      <c r="AR8" s="441"/>
      <c r="AS8" s="189"/>
      <c r="AT8" s="190"/>
      <c r="AU8" s="441"/>
      <c r="AV8" s="441"/>
      <c r="AW8" s="441"/>
      <c r="AX8" s="189"/>
    </row>
    <row r="9" spans="1:50" ht="9" customHeight="1">
      <c r="B9" s="188"/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S9" s="188"/>
      <c r="AX9" s="188"/>
    </row>
    <row r="10" spans="1:50" ht="15.75" customHeight="1">
      <c r="A10" s="191"/>
      <c r="B10" s="442" t="s">
        <v>163</v>
      </c>
      <c r="C10" s="438" t="s">
        <v>459</v>
      </c>
      <c r="D10" s="440" t="s">
        <v>454</v>
      </c>
      <c r="E10" s="439" t="s">
        <v>451</v>
      </c>
      <c r="F10" s="438" t="s">
        <v>450</v>
      </c>
      <c r="G10" s="438" t="s">
        <v>446</v>
      </c>
      <c r="H10" s="438" t="s">
        <v>442</v>
      </c>
      <c r="I10" s="440" t="s">
        <v>439</v>
      </c>
      <c r="J10" s="439" t="s">
        <v>433</v>
      </c>
      <c r="K10" s="438" t="s">
        <v>432</v>
      </c>
      <c r="L10" s="438" t="s">
        <v>428</v>
      </c>
      <c r="M10" s="438" t="s">
        <v>425</v>
      </c>
      <c r="N10" s="440" t="s">
        <v>416</v>
      </c>
      <c r="O10" s="439" t="s">
        <v>405</v>
      </c>
      <c r="P10" s="438" t="s">
        <v>406</v>
      </c>
      <c r="Q10" s="438" t="s">
        <v>400</v>
      </c>
      <c r="R10" s="438" t="s">
        <v>397</v>
      </c>
      <c r="S10" s="440" t="s">
        <v>390</v>
      </c>
      <c r="T10" s="439" t="s">
        <v>386</v>
      </c>
      <c r="U10" s="438" t="s">
        <v>387</v>
      </c>
      <c r="V10" s="438" t="s">
        <v>381</v>
      </c>
      <c r="W10" s="438" t="s">
        <v>361</v>
      </c>
      <c r="X10" s="440" t="s">
        <v>359</v>
      </c>
      <c r="Y10" s="439" t="s">
        <v>354</v>
      </c>
      <c r="Z10" s="438" t="s">
        <v>353</v>
      </c>
      <c r="AA10" s="438" t="s">
        <v>347</v>
      </c>
      <c r="AB10" s="438" t="s">
        <v>343</v>
      </c>
      <c r="AC10" s="440" t="s">
        <v>340</v>
      </c>
      <c r="AD10" s="439" t="s">
        <v>338</v>
      </c>
      <c r="AE10" s="438" t="s">
        <v>337</v>
      </c>
      <c r="AF10" s="438" t="s">
        <v>333</v>
      </c>
      <c r="AG10" s="438" t="s">
        <v>327</v>
      </c>
      <c r="AH10" s="438" t="s">
        <v>325</v>
      </c>
      <c r="AI10" s="439" t="s">
        <v>323</v>
      </c>
      <c r="AJ10" s="438" t="s">
        <v>324</v>
      </c>
      <c r="AK10" s="438" t="s">
        <v>321</v>
      </c>
      <c r="AL10" s="438" t="s">
        <v>311</v>
      </c>
      <c r="AM10" s="438" t="s">
        <v>307</v>
      </c>
      <c r="AN10" s="439" t="s">
        <v>304</v>
      </c>
      <c r="AO10" s="438" t="s">
        <v>303</v>
      </c>
      <c r="AP10" s="438" t="s">
        <v>164</v>
      </c>
      <c r="AQ10" s="438" t="s">
        <v>166</v>
      </c>
      <c r="AR10" s="438" t="s">
        <v>167</v>
      </c>
      <c r="AS10" s="439" t="s">
        <v>161</v>
      </c>
      <c r="AT10" s="438" t="s">
        <v>168</v>
      </c>
      <c r="AU10" s="438" t="s">
        <v>169</v>
      </c>
      <c r="AV10" s="438" t="s">
        <v>171</v>
      </c>
      <c r="AW10" s="438" t="s">
        <v>172</v>
      </c>
      <c r="AX10" s="439" t="s">
        <v>148</v>
      </c>
    </row>
    <row r="11" spans="1:50" ht="15.75" customHeight="1">
      <c r="A11" s="191"/>
      <c r="B11" s="442"/>
      <c r="C11" s="438"/>
      <c r="D11" s="440"/>
      <c r="E11" s="439"/>
      <c r="F11" s="438"/>
      <c r="G11" s="438"/>
      <c r="H11" s="438"/>
      <c r="I11" s="440"/>
      <c r="J11" s="439"/>
      <c r="K11" s="438"/>
      <c r="L11" s="438"/>
      <c r="M11" s="438"/>
      <c r="N11" s="440"/>
      <c r="O11" s="439"/>
      <c r="P11" s="438"/>
      <c r="Q11" s="438"/>
      <c r="R11" s="438"/>
      <c r="S11" s="440"/>
      <c r="T11" s="439"/>
      <c r="U11" s="438"/>
      <c r="V11" s="438"/>
      <c r="W11" s="438"/>
      <c r="X11" s="440"/>
      <c r="Y11" s="439"/>
      <c r="Z11" s="438"/>
      <c r="AA11" s="438"/>
      <c r="AB11" s="438"/>
      <c r="AC11" s="440"/>
      <c r="AD11" s="439"/>
      <c r="AE11" s="438"/>
      <c r="AF11" s="438"/>
      <c r="AG11" s="438"/>
      <c r="AH11" s="438"/>
      <c r="AI11" s="439"/>
      <c r="AJ11" s="438"/>
      <c r="AK11" s="438"/>
      <c r="AL11" s="438"/>
      <c r="AM11" s="438"/>
      <c r="AN11" s="439"/>
      <c r="AO11" s="438"/>
      <c r="AP11" s="438"/>
      <c r="AQ11" s="438"/>
      <c r="AR11" s="438"/>
      <c r="AS11" s="439"/>
      <c r="AT11" s="438"/>
      <c r="AU11" s="438"/>
      <c r="AV11" s="438"/>
      <c r="AW11" s="438"/>
      <c r="AX11" s="439"/>
    </row>
    <row r="12" spans="1:50" ht="15.75" customHeight="1">
      <c r="B12" s="192" t="s">
        <v>182</v>
      </c>
      <c r="C12" s="193">
        <v>1495676</v>
      </c>
      <c r="D12" s="194">
        <v>1238235</v>
      </c>
      <c r="E12" s="195">
        <v>5142676</v>
      </c>
      <c r="F12" s="193">
        <v>1238970</v>
      </c>
      <c r="G12" s="193">
        <v>1260883</v>
      </c>
      <c r="H12" s="193">
        <v>1273920</v>
      </c>
      <c r="I12" s="194">
        <v>1368901</v>
      </c>
      <c r="J12" s="195">
        <v>5431599</v>
      </c>
      <c r="K12" s="193">
        <v>1635089</v>
      </c>
      <c r="L12" s="193">
        <v>1377009</v>
      </c>
      <c r="M12" s="193">
        <v>1254212</v>
      </c>
      <c r="N12" s="194">
        <v>1165289</v>
      </c>
      <c r="O12" s="195">
        <v>4897288</v>
      </c>
      <c r="P12" s="193">
        <v>643614</v>
      </c>
      <c r="Q12" s="193">
        <v>1366291</v>
      </c>
      <c r="R12" s="193">
        <v>1319629.4898528249</v>
      </c>
      <c r="S12" s="194">
        <v>1567754</v>
      </c>
      <c r="T12" s="195">
        <v>7270406</v>
      </c>
      <c r="U12" s="193">
        <v>1435972</v>
      </c>
      <c r="V12" s="193">
        <v>1942825</v>
      </c>
      <c r="W12" s="193">
        <v>2001140</v>
      </c>
      <c r="X12" s="194">
        <v>1890469</v>
      </c>
      <c r="Y12" s="195">
        <v>6289369</v>
      </c>
      <c r="Z12" s="193">
        <v>2019356</v>
      </c>
      <c r="AA12" s="193">
        <v>1791907</v>
      </c>
      <c r="AB12" s="193">
        <v>1161490</v>
      </c>
      <c r="AC12" s="194">
        <v>1316616</v>
      </c>
      <c r="AD12" s="195">
        <v>3868223</v>
      </c>
      <c r="AE12" s="193">
        <v>1153105</v>
      </c>
      <c r="AF12" s="193">
        <v>1176875</v>
      </c>
      <c r="AG12" s="193">
        <v>736563</v>
      </c>
      <c r="AH12" s="193">
        <v>801680</v>
      </c>
      <c r="AI12" s="195">
        <v>3048730</v>
      </c>
      <c r="AJ12" s="193">
        <v>796340</v>
      </c>
      <c r="AK12" s="193">
        <v>731786</v>
      </c>
      <c r="AL12" s="193">
        <v>749008</v>
      </c>
      <c r="AM12" s="193">
        <v>771597</v>
      </c>
      <c r="AN12" s="195">
        <v>3469133</v>
      </c>
      <c r="AO12" s="193">
        <v>922818</v>
      </c>
      <c r="AP12" s="193">
        <v>791052</v>
      </c>
      <c r="AQ12" s="193">
        <v>880298</v>
      </c>
      <c r="AR12" s="193">
        <v>874965</v>
      </c>
      <c r="AS12" s="195">
        <v>3019592</v>
      </c>
      <c r="AT12" s="193">
        <v>755805</v>
      </c>
      <c r="AU12" s="193">
        <v>799459</v>
      </c>
      <c r="AV12" s="193">
        <v>741609</v>
      </c>
      <c r="AW12" s="193">
        <v>722721</v>
      </c>
      <c r="AX12" s="195">
        <v>889706</v>
      </c>
    </row>
    <row r="13" spans="1:50" ht="15.75" customHeight="1">
      <c r="B13" s="192" t="s">
        <v>183</v>
      </c>
      <c r="C13" s="193">
        <v>-998088</v>
      </c>
      <c r="D13" s="194">
        <v>-984047</v>
      </c>
      <c r="E13" s="195">
        <v>-3677641</v>
      </c>
      <c r="F13" s="193">
        <f>'[13]DRE release'!$D$5</f>
        <v>-952864</v>
      </c>
      <c r="G13" s="193">
        <v>-895503</v>
      </c>
      <c r="H13" s="193">
        <v>-892411</v>
      </c>
      <c r="I13" s="194">
        <v>-936863</v>
      </c>
      <c r="J13" s="195">
        <v>-3958998</v>
      </c>
      <c r="K13" s="193">
        <v>-1144862</v>
      </c>
      <c r="L13" s="193">
        <v>-1016616</v>
      </c>
      <c r="M13" s="193">
        <v>-962982</v>
      </c>
      <c r="N13" s="194">
        <v>-834538</v>
      </c>
      <c r="O13" s="195">
        <v>-3199994</v>
      </c>
      <c r="P13" s="193">
        <v>-474244</v>
      </c>
      <c r="Q13" s="193">
        <v>-943045</v>
      </c>
      <c r="R13" s="193">
        <v>-827401.48985282495</v>
      </c>
      <c r="S13" s="194">
        <v>-955304</v>
      </c>
      <c r="T13" s="195">
        <v>-4015101</v>
      </c>
      <c r="U13" s="193">
        <v>-930279</v>
      </c>
      <c r="V13" s="193">
        <v>-1115842</v>
      </c>
      <c r="W13" s="193">
        <v>-1021013</v>
      </c>
      <c r="X13" s="194">
        <v>-947967</v>
      </c>
      <c r="Y13" s="195">
        <v>-3486604</v>
      </c>
      <c r="Z13" s="193">
        <v>-1082146</v>
      </c>
      <c r="AA13" s="193">
        <v>-1044700</v>
      </c>
      <c r="AB13" s="193">
        <v>-680728</v>
      </c>
      <c r="AC13" s="194">
        <v>-679030</v>
      </c>
      <c r="AD13" s="195">
        <v>-2533636</v>
      </c>
      <c r="AE13" s="193">
        <v>-650249</v>
      </c>
      <c r="AF13" s="193">
        <v>-765138</v>
      </c>
      <c r="AG13" s="193">
        <v>-526406</v>
      </c>
      <c r="AH13" s="193">
        <v>-591843</v>
      </c>
      <c r="AI13" s="195">
        <v>-2231876</v>
      </c>
      <c r="AJ13" s="193">
        <v>-608342</v>
      </c>
      <c r="AK13" s="193">
        <v>-530950</v>
      </c>
      <c r="AL13" s="193">
        <v>-545138</v>
      </c>
      <c r="AM13" s="193">
        <v>-547446</v>
      </c>
      <c r="AN13" s="195">
        <v>-2209155</v>
      </c>
      <c r="AO13" s="193">
        <v>-625337</v>
      </c>
      <c r="AP13" s="193">
        <v>-473489</v>
      </c>
      <c r="AQ13" s="193">
        <v>-553694</v>
      </c>
      <c r="AR13" s="193">
        <v>-556635</v>
      </c>
      <c r="AS13" s="195">
        <v>-2114627</v>
      </c>
      <c r="AT13" s="193">
        <v>-518742</v>
      </c>
      <c r="AU13" s="193">
        <v>-571788</v>
      </c>
      <c r="AV13" s="193">
        <v>-510191</v>
      </c>
      <c r="AW13" s="193">
        <v>-513906</v>
      </c>
      <c r="AX13" s="195">
        <v>-502216</v>
      </c>
    </row>
    <row r="14" spans="1:50" ht="15.75" customHeight="1" thickBot="1">
      <c r="A14" s="196"/>
      <c r="B14" s="197" t="s">
        <v>184</v>
      </c>
      <c r="C14" s="198">
        <f t="shared" ref="C14" si="0">SUM(C12:C13)</f>
        <v>497588</v>
      </c>
      <c r="D14" s="199">
        <f t="shared" ref="D14" si="1">SUM(D12:D13)</f>
        <v>254188</v>
      </c>
      <c r="E14" s="200">
        <f t="shared" ref="E14" si="2">SUM(E12:E13)</f>
        <v>1465035</v>
      </c>
      <c r="F14" s="198">
        <f>SUM(F12:F13)</f>
        <v>286106</v>
      </c>
      <c r="G14" s="198">
        <f>SUM(G12:G13)</f>
        <v>365380</v>
      </c>
      <c r="H14" s="198">
        <f>SUM(H12:H13)</f>
        <v>381509</v>
      </c>
      <c r="I14" s="199">
        <f t="shared" ref="I14" si="3">SUM(I12:I13)</f>
        <v>432038</v>
      </c>
      <c r="J14" s="200">
        <f t="shared" ref="J14" si="4">SUM(J12:J13)</f>
        <v>1472601</v>
      </c>
      <c r="K14" s="198">
        <f>SUM(K12:K13)</f>
        <v>490227</v>
      </c>
      <c r="L14" s="198">
        <f>SUM(L12:L13)</f>
        <v>360393</v>
      </c>
      <c r="M14" s="198">
        <f>SUM(M12:M13)</f>
        <v>291230</v>
      </c>
      <c r="N14" s="199">
        <f t="shared" ref="N14" si="5">SUM(N12:N13)</f>
        <v>330751</v>
      </c>
      <c r="O14" s="200">
        <f t="shared" ref="O14" si="6">SUM(O12:O13)</f>
        <v>1697294</v>
      </c>
      <c r="P14" s="198">
        <f>SUM(P12:P13)</f>
        <v>169370</v>
      </c>
      <c r="Q14" s="198">
        <f>SUM(Q12:Q13)</f>
        <v>423246</v>
      </c>
      <c r="R14" s="198">
        <f>SUM(R12:R13)</f>
        <v>492228</v>
      </c>
      <c r="S14" s="199">
        <f t="shared" ref="S14" si="7">SUM(S12:S13)</f>
        <v>612450</v>
      </c>
      <c r="T14" s="200">
        <f t="shared" ref="T14" si="8">SUM(T12:T13)</f>
        <v>3255305</v>
      </c>
      <c r="U14" s="198">
        <f>SUM(U12:U13)</f>
        <v>505693</v>
      </c>
      <c r="V14" s="198">
        <f>SUM(V12:V13)</f>
        <v>826983</v>
      </c>
      <c r="W14" s="198">
        <f>SUM(W12:W13)</f>
        <v>980127</v>
      </c>
      <c r="X14" s="199">
        <f t="shared" ref="X14" si="9">SUM(X12:X13)</f>
        <v>942502</v>
      </c>
      <c r="Y14" s="200">
        <v>2802765</v>
      </c>
      <c r="Z14" s="198">
        <v>937210</v>
      </c>
      <c r="AA14" s="198">
        <f>SUM(AA12:AA13)</f>
        <v>747207</v>
      </c>
      <c r="AB14" s="198">
        <f>SUM(AB12:AB13)</f>
        <v>480762</v>
      </c>
      <c r="AC14" s="199">
        <f t="shared" ref="AC14" si="10">SUM(AC12:AC13)</f>
        <v>637586</v>
      </c>
      <c r="AD14" s="200">
        <f t="shared" ref="AD14:AP14" si="11">SUM(AD12:AD13)</f>
        <v>1334587</v>
      </c>
      <c r="AE14" s="198">
        <f>SUM(AE12:AE13)</f>
        <v>502856</v>
      </c>
      <c r="AF14" s="198">
        <f>SUM(AF12:AF13)</f>
        <v>411737</v>
      </c>
      <c r="AG14" s="198">
        <f t="shared" si="11"/>
        <v>210157</v>
      </c>
      <c r="AH14" s="198">
        <f t="shared" si="11"/>
        <v>209837</v>
      </c>
      <c r="AI14" s="200">
        <f t="shared" si="11"/>
        <v>816854</v>
      </c>
      <c r="AJ14" s="198">
        <f t="shared" si="11"/>
        <v>187998</v>
      </c>
      <c r="AK14" s="198">
        <f t="shared" si="11"/>
        <v>200836</v>
      </c>
      <c r="AL14" s="198">
        <f t="shared" si="11"/>
        <v>203870</v>
      </c>
      <c r="AM14" s="198">
        <f t="shared" si="11"/>
        <v>224151</v>
      </c>
      <c r="AN14" s="200">
        <f t="shared" si="11"/>
        <v>1259978</v>
      </c>
      <c r="AO14" s="198">
        <f t="shared" si="11"/>
        <v>297481</v>
      </c>
      <c r="AP14" s="198">
        <f t="shared" si="11"/>
        <v>317563</v>
      </c>
      <c r="AQ14" s="198">
        <f>SUM(AQ12:AQ13)</f>
        <v>326604</v>
      </c>
      <c r="AR14" s="198">
        <v>318330</v>
      </c>
      <c r="AS14" s="200">
        <v>904965</v>
      </c>
      <c r="AT14" s="198">
        <v>237063</v>
      </c>
      <c r="AU14" s="198">
        <v>227671</v>
      </c>
      <c r="AV14" s="198">
        <v>231418</v>
      </c>
      <c r="AW14" s="198">
        <v>208815</v>
      </c>
      <c r="AX14" s="200">
        <v>387490</v>
      </c>
    </row>
    <row r="15" spans="1:50" ht="15.75" customHeight="1" thickTop="1">
      <c r="B15" s="201" t="s">
        <v>185</v>
      </c>
      <c r="C15" s="193">
        <v>-71272</v>
      </c>
      <c r="D15" s="194">
        <v>-68654</v>
      </c>
      <c r="E15" s="195">
        <v>-240277</v>
      </c>
      <c r="F15" s="193">
        <v>-61328</v>
      </c>
      <c r="G15" s="193">
        <v>-52675</v>
      </c>
      <c r="H15" s="193">
        <v>-58167</v>
      </c>
      <c r="I15" s="194">
        <v>-68108</v>
      </c>
      <c r="J15" s="195">
        <v>-270857</v>
      </c>
      <c r="K15" s="193">
        <v>-76164</v>
      </c>
      <c r="L15" s="193">
        <v>-65801</v>
      </c>
      <c r="M15" s="193">
        <v>-67521</v>
      </c>
      <c r="N15" s="194">
        <v>-61369</v>
      </c>
      <c r="O15" s="195">
        <v>-227927</v>
      </c>
      <c r="P15" s="193">
        <v>-36776</v>
      </c>
      <c r="Q15" s="193">
        <v>-64508</v>
      </c>
      <c r="R15" s="193">
        <v>-65426</v>
      </c>
      <c r="S15" s="194">
        <v>-61217</v>
      </c>
      <c r="T15" s="195">
        <v>-272527</v>
      </c>
      <c r="U15" s="193">
        <v>-69425</v>
      </c>
      <c r="V15" s="193">
        <v>-69438</v>
      </c>
      <c r="W15" s="193">
        <v>-65953</v>
      </c>
      <c r="X15" s="194">
        <v>-67711</v>
      </c>
      <c r="Y15" s="195">
        <v>-197736</v>
      </c>
      <c r="Z15" s="193">
        <v>-61657</v>
      </c>
      <c r="AA15" s="193">
        <v>-56739</v>
      </c>
      <c r="AB15" s="193">
        <v>-40617</v>
      </c>
      <c r="AC15" s="194">
        <v>-38723</v>
      </c>
      <c r="AD15" s="195">
        <v>-175387</v>
      </c>
      <c r="AE15" s="193">
        <v>-32121</v>
      </c>
      <c r="AF15" s="193">
        <v>-50850</v>
      </c>
      <c r="AG15" s="193">
        <v>-44117</v>
      </c>
      <c r="AH15" s="193">
        <v>-48299</v>
      </c>
      <c r="AI15" s="195">
        <v>-153097</v>
      </c>
      <c r="AJ15" s="193">
        <v>-40995</v>
      </c>
      <c r="AK15" s="193">
        <v>-33330</v>
      </c>
      <c r="AL15" s="193">
        <v>-40885</v>
      </c>
      <c r="AM15" s="193">
        <v>-37886</v>
      </c>
      <c r="AN15" s="195">
        <v>-151203</v>
      </c>
      <c r="AO15" s="193">
        <v>-45608</v>
      </c>
      <c r="AP15" s="193">
        <v>-30582</v>
      </c>
      <c r="AQ15" s="193">
        <v>-36135</v>
      </c>
      <c r="AR15" s="193">
        <v>-38879</v>
      </c>
      <c r="AS15" s="195">
        <v>-175040</v>
      </c>
      <c r="AT15" s="193">
        <v>-40598</v>
      </c>
      <c r="AU15" s="193">
        <v>-47840</v>
      </c>
      <c r="AV15" s="193">
        <v>-42883</v>
      </c>
      <c r="AW15" s="193">
        <v>-43731</v>
      </c>
      <c r="AX15" s="195">
        <v>-58995</v>
      </c>
    </row>
    <row r="16" spans="1:50" ht="15.75" customHeight="1">
      <c r="B16" s="201" t="s">
        <v>186</v>
      </c>
      <c r="C16" s="193">
        <v>-108226</v>
      </c>
      <c r="D16" s="194">
        <v>-104813</v>
      </c>
      <c r="E16" s="195">
        <v>-433361</v>
      </c>
      <c r="F16" s="430">
        <v>-141326</v>
      </c>
      <c r="G16" s="193">
        <v>-104930</v>
      </c>
      <c r="H16" s="193">
        <v>-95142</v>
      </c>
      <c r="I16" s="194">
        <v>-91964</v>
      </c>
      <c r="J16" s="195">
        <v>-556901</v>
      </c>
      <c r="K16" s="193">
        <v>-171700</v>
      </c>
      <c r="L16" s="193">
        <v>-129272</v>
      </c>
      <c r="M16" s="193">
        <v>-136541</v>
      </c>
      <c r="N16" s="194">
        <v>-119388</v>
      </c>
      <c r="O16" s="195">
        <v>-445956</v>
      </c>
      <c r="P16" s="193">
        <v>-105982</v>
      </c>
      <c r="Q16" s="193">
        <v>-128186</v>
      </c>
      <c r="R16" s="193">
        <v>-106970</v>
      </c>
      <c r="S16" s="194">
        <v>-104818</v>
      </c>
      <c r="T16" s="195">
        <v>-507986</v>
      </c>
      <c r="U16" s="193">
        <v>-155347</v>
      </c>
      <c r="V16" s="193">
        <v>-160701</v>
      </c>
      <c r="W16" s="193">
        <v>-104325</v>
      </c>
      <c r="X16" s="194">
        <v>-87614</v>
      </c>
      <c r="Y16" s="195">
        <v>-409025</v>
      </c>
      <c r="Z16" s="193">
        <v>-154381</v>
      </c>
      <c r="AA16" s="193">
        <v>-100584</v>
      </c>
      <c r="AB16" s="193">
        <v>-79496</v>
      </c>
      <c r="AC16" s="194">
        <v>-74564</v>
      </c>
      <c r="AD16" s="195">
        <v>-381393</v>
      </c>
      <c r="AE16" s="193">
        <v>-108358</v>
      </c>
      <c r="AF16" s="193">
        <v>-83878</v>
      </c>
      <c r="AG16" s="193">
        <v>-74894</v>
      </c>
      <c r="AH16" s="193">
        <v>-114263</v>
      </c>
      <c r="AI16" s="195">
        <v>-280737</v>
      </c>
      <c r="AJ16" s="193">
        <v>-80072</v>
      </c>
      <c r="AK16" s="193">
        <v>-62840</v>
      </c>
      <c r="AL16" s="193">
        <v>-74482</v>
      </c>
      <c r="AM16" s="193">
        <v>-63335</v>
      </c>
      <c r="AN16" s="195">
        <v>-247578</v>
      </c>
      <c r="AO16" s="193">
        <v>-79249</v>
      </c>
      <c r="AP16" s="193">
        <v>-73106</v>
      </c>
      <c r="AQ16" s="193">
        <v>-49483</v>
      </c>
      <c r="AR16" s="193">
        <v>-45740</v>
      </c>
      <c r="AS16" s="195">
        <v>-198119</v>
      </c>
      <c r="AT16" s="193">
        <v>-56180</v>
      </c>
      <c r="AU16" s="193">
        <v>-45491</v>
      </c>
      <c r="AV16" s="193">
        <v>-47752</v>
      </c>
      <c r="AW16" s="193">
        <v>-48697</v>
      </c>
      <c r="AX16" s="195">
        <v>-99173</v>
      </c>
    </row>
    <row r="17" spans="1:50" ht="15.75" customHeight="1">
      <c r="B17" s="201" t="s">
        <v>187</v>
      </c>
      <c r="C17" s="193">
        <v>-11730</v>
      </c>
      <c r="D17" s="194">
        <v>12181</v>
      </c>
      <c r="E17" s="195">
        <v>9194</v>
      </c>
      <c r="F17" s="430">
        <v>-42617</v>
      </c>
      <c r="G17" s="193">
        <v>-21778</v>
      </c>
      <c r="H17" s="193">
        <v>87546</v>
      </c>
      <c r="I17" s="194">
        <v>-13954</v>
      </c>
      <c r="J17" s="195">
        <v>9729</v>
      </c>
      <c r="K17" s="193">
        <v>113675</v>
      </c>
      <c r="L17" s="193">
        <v>-32689</v>
      </c>
      <c r="M17" s="193">
        <v>-45529</v>
      </c>
      <c r="N17" s="194">
        <v>-25730</v>
      </c>
      <c r="O17" s="195">
        <v>-57278</v>
      </c>
      <c r="P17" s="193">
        <v>-11701</v>
      </c>
      <c r="Q17" s="193">
        <v>-17976</v>
      </c>
      <c r="R17" s="193">
        <v>-14238</v>
      </c>
      <c r="S17" s="194">
        <v>-13363</v>
      </c>
      <c r="T17" s="195">
        <v>-111306</v>
      </c>
      <c r="U17" s="193">
        <v>-58500</v>
      </c>
      <c r="V17" s="193">
        <v>-23721</v>
      </c>
      <c r="W17" s="193">
        <v>-14510</v>
      </c>
      <c r="X17" s="194">
        <v>-14573</v>
      </c>
      <c r="Y17" s="195">
        <f>303047+447971</f>
        <v>751018</v>
      </c>
      <c r="Z17" s="193">
        <f>-79949+447971</f>
        <v>368022</v>
      </c>
      <c r="AA17" s="193">
        <v>375667</v>
      </c>
      <c r="AB17" s="193">
        <v>16117</v>
      </c>
      <c r="AC17" s="194">
        <v>-8788</v>
      </c>
      <c r="AD17" s="195">
        <v>-26945</v>
      </c>
      <c r="AE17" s="193">
        <v>-4137</v>
      </c>
      <c r="AF17" s="193">
        <v>-13160</v>
      </c>
      <c r="AG17" s="193">
        <v>-4514</v>
      </c>
      <c r="AH17" s="193">
        <v>-5134</v>
      </c>
      <c r="AI17" s="195">
        <v>21018</v>
      </c>
      <c r="AJ17" s="193">
        <v>22403</v>
      </c>
      <c r="AK17" s="193">
        <v>12807</v>
      </c>
      <c r="AL17" s="193">
        <v>-4834</v>
      </c>
      <c r="AM17" s="193">
        <v>-9367</v>
      </c>
      <c r="AN17" s="195">
        <f>-80431+48935</f>
        <v>-31496</v>
      </c>
      <c r="AO17" s="193">
        <v>-37691</v>
      </c>
      <c r="AP17" s="193">
        <v>-29847</v>
      </c>
      <c r="AQ17" s="193">
        <v>-977</v>
      </c>
      <c r="AR17" s="193">
        <f>-11013+48935</f>
        <v>37922</v>
      </c>
      <c r="AS17" s="195">
        <f>-75744-27033</f>
        <v>-102777</v>
      </c>
      <c r="AT17" s="193">
        <f>-13283-27033</f>
        <v>-40316</v>
      </c>
      <c r="AU17" s="193">
        <v>-4951</v>
      </c>
      <c r="AV17" s="193">
        <v>-9625</v>
      </c>
      <c r="AW17" s="193">
        <v>-48194</v>
      </c>
      <c r="AX17" s="195">
        <f>-101535+516010</f>
        <v>414475</v>
      </c>
    </row>
    <row r="18" spans="1:50" ht="15.75" customHeight="1">
      <c r="B18" s="202" t="s">
        <v>191</v>
      </c>
      <c r="C18" s="363">
        <v>-5879</v>
      </c>
      <c r="D18" s="204">
        <v>-7932</v>
      </c>
      <c r="E18" s="205">
        <v>-7064</v>
      </c>
      <c r="F18" s="431">
        <v>-827</v>
      </c>
      <c r="G18" s="363">
        <v>63</v>
      </c>
      <c r="H18" s="363">
        <v>-3970</v>
      </c>
      <c r="I18" s="204">
        <v>-2331</v>
      </c>
      <c r="J18" s="205">
        <v>-29553</v>
      </c>
      <c r="K18" s="363">
        <v>-13743</v>
      </c>
      <c r="L18" s="363">
        <v>-2812</v>
      </c>
      <c r="M18" s="363">
        <v>-6005</v>
      </c>
      <c r="N18" s="204">
        <v>-6993</v>
      </c>
      <c r="O18" s="205">
        <v>13501</v>
      </c>
      <c r="P18" s="203">
        <v>5256</v>
      </c>
      <c r="Q18" s="203">
        <v>2261</v>
      </c>
      <c r="R18" s="203">
        <v>5725</v>
      </c>
      <c r="S18" s="204">
        <v>259</v>
      </c>
      <c r="T18" s="205">
        <v>16772</v>
      </c>
      <c r="U18" s="203">
        <v>1115</v>
      </c>
      <c r="V18" s="203">
        <v>13852</v>
      </c>
      <c r="W18" s="203">
        <v>4049</v>
      </c>
      <c r="X18" s="204">
        <v>-2245</v>
      </c>
      <c r="Y18" s="205">
        <v>-2534</v>
      </c>
      <c r="Z18" s="203">
        <v>-90</v>
      </c>
      <c r="AA18" s="203">
        <v>-1222</v>
      </c>
      <c r="AB18" s="203">
        <v>-616</v>
      </c>
      <c r="AC18" s="204">
        <v>-606</v>
      </c>
      <c r="AD18" s="205">
        <v>-2342</v>
      </c>
      <c r="AE18" s="193">
        <v>-1086</v>
      </c>
      <c r="AF18" s="193">
        <v>-386</v>
      </c>
      <c r="AG18" s="193">
        <v>-290</v>
      </c>
      <c r="AH18" s="193">
        <v>-580</v>
      </c>
      <c r="AI18" s="205">
        <v>-6507</v>
      </c>
      <c r="AJ18" s="193">
        <v>-7052</v>
      </c>
      <c r="AK18" s="193">
        <v>93</v>
      </c>
      <c r="AL18" s="193">
        <v>176</v>
      </c>
      <c r="AM18" s="193">
        <v>277</v>
      </c>
      <c r="AN18" s="205">
        <v>941</v>
      </c>
      <c r="AO18" s="193">
        <v>434</v>
      </c>
      <c r="AP18" s="193">
        <v>-685</v>
      </c>
      <c r="AQ18" s="193">
        <v>-194</v>
      </c>
      <c r="AR18" s="193">
        <v>483</v>
      </c>
      <c r="AS18" s="195">
        <v>1668</v>
      </c>
      <c r="AT18" s="193">
        <v>25400</v>
      </c>
      <c r="AU18" s="193">
        <v>21097</v>
      </c>
      <c r="AV18" s="193">
        <v>-34576</v>
      </c>
      <c r="AW18" s="193">
        <v>-9933</v>
      </c>
      <c r="AX18" s="195">
        <v>-75431</v>
      </c>
    </row>
    <row r="19" spans="1:50" ht="15.75" customHeight="1" thickBot="1">
      <c r="A19" s="196"/>
      <c r="B19" s="197" t="s">
        <v>192</v>
      </c>
      <c r="C19" s="198">
        <f t="shared" ref="C19:AQ19" si="12">SUM(C14:C18)</f>
        <v>300481</v>
      </c>
      <c r="D19" s="199">
        <f t="shared" si="12"/>
        <v>84970</v>
      </c>
      <c r="E19" s="200">
        <f t="shared" si="12"/>
        <v>793527</v>
      </c>
      <c r="F19" s="432">
        <f t="shared" si="12"/>
        <v>40008</v>
      </c>
      <c r="G19" s="198">
        <f t="shared" si="12"/>
        <v>186060</v>
      </c>
      <c r="H19" s="198">
        <f t="shared" si="12"/>
        <v>311776</v>
      </c>
      <c r="I19" s="199">
        <f t="shared" si="12"/>
        <v>255681</v>
      </c>
      <c r="J19" s="200">
        <f t="shared" si="12"/>
        <v>625019</v>
      </c>
      <c r="K19" s="198">
        <f t="shared" si="12"/>
        <v>342295</v>
      </c>
      <c r="L19" s="198">
        <f t="shared" si="12"/>
        <v>129819</v>
      </c>
      <c r="M19" s="198">
        <f t="shared" si="12"/>
        <v>35634</v>
      </c>
      <c r="N19" s="199">
        <f t="shared" si="12"/>
        <v>117271</v>
      </c>
      <c r="O19" s="200">
        <f t="shared" si="12"/>
        <v>979634</v>
      </c>
      <c r="P19" s="198">
        <f t="shared" si="12"/>
        <v>20167</v>
      </c>
      <c r="Q19" s="198">
        <f t="shared" si="12"/>
        <v>214837</v>
      </c>
      <c r="R19" s="198">
        <f t="shared" si="12"/>
        <v>311319</v>
      </c>
      <c r="S19" s="199">
        <f t="shared" si="12"/>
        <v>433311</v>
      </c>
      <c r="T19" s="200">
        <f t="shared" si="12"/>
        <v>2380258</v>
      </c>
      <c r="U19" s="198">
        <f t="shared" si="12"/>
        <v>223536</v>
      </c>
      <c r="V19" s="198">
        <f t="shared" si="12"/>
        <v>586975</v>
      </c>
      <c r="W19" s="198">
        <f t="shared" si="12"/>
        <v>799388</v>
      </c>
      <c r="X19" s="199">
        <f t="shared" si="12"/>
        <v>770359</v>
      </c>
      <c r="Y19" s="200">
        <f t="shared" si="12"/>
        <v>2944488</v>
      </c>
      <c r="Z19" s="198">
        <f t="shared" si="12"/>
        <v>1089104</v>
      </c>
      <c r="AA19" s="198">
        <f t="shared" si="12"/>
        <v>964329</v>
      </c>
      <c r="AB19" s="198">
        <f t="shared" si="12"/>
        <v>376150</v>
      </c>
      <c r="AC19" s="199">
        <f t="shared" si="12"/>
        <v>514905</v>
      </c>
      <c r="AD19" s="200">
        <f t="shared" si="12"/>
        <v>748520</v>
      </c>
      <c r="AE19" s="198">
        <f t="shared" si="12"/>
        <v>357154</v>
      </c>
      <c r="AF19" s="198">
        <f t="shared" si="12"/>
        <v>263463</v>
      </c>
      <c r="AG19" s="198">
        <f t="shared" si="12"/>
        <v>86342</v>
      </c>
      <c r="AH19" s="198">
        <f t="shared" si="12"/>
        <v>41561</v>
      </c>
      <c r="AI19" s="200">
        <f t="shared" si="12"/>
        <v>397531</v>
      </c>
      <c r="AJ19" s="198">
        <f t="shared" si="12"/>
        <v>82282</v>
      </c>
      <c r="AK19" s="198">
        <f t="shared" si="12"/>
        <v>117566</v>
      </c>
      <c r="AL19" s="198">
        <f t="shared" si="12"/>
        <v>83845</v>
      </c>
      <c r="AM19" s="198">
        <f t="shared" si="12"/>
        <v>113840</v>
      </c>
      <c r="AN19" s="200">
        <f t="shared" si="12"/>
        <v>830642</v>
      </c>
      <c r="AO19" s="198">
        <f t="shared" si="12"/>
        <v>135367</v>
      </c>
      <c r="AP19" s="198">
        <f t="shared" si="12"/>
        <v>183343</v>
      </c>
      <c r="AQ19" s="198">
        <f t="shared" si="12"/>
        <v>239815</v>
      </c>
      <c r="AR19" s="198">
        <v>272116</v>
      </c>
      <c r="AS19" s="200">
        <v>430697</v>
      </c>
      <c r="AT19" s="198">
        <v>125368</v>
      </c>
      <c r="AU19" s="198">
        <v>150486</v>
      </c>
      <c r="AV19" s="198">
        <v>96582</v>
      </c>
      <c r="AW19" s="198">
        <v>58260</v>
      </c>
      <c r="AX19" s="200">
        <v>568366</v>
      </c>
    </row>
    <row r="20" spans="1:50" ht="15.75" customHeight="1" thickTop="1">
      <c r="B20" s="206" t="s">
        <v>286</v>
      </c>
      <c r="C20" s="193">
        <v>-86706</v>
      </c>
      <c r="D20" s="193">
        <v>-32653</v>
      </c>
      <c r="E20" s="195">
        <v>-144807</v>
      </c>
      <c r="F20" s="430">
        <v>-59356</v>
      </c>
      <c r="G20" s="193">
        <v>-55173</v>
      </c>
      <c r="H20" s="193">
        <v>2340</v>
      </c>
      <c r="I20" s="193">
        <v>-32616</v>
      </c>
      <c r="J20" s="195">
        <v>159025</v>
      </c>
      <c r="K20" s="193">
        <v>57318</v>
      </c>
      <c r="L20" s="193">
        <v>25994</v>
      </c>
      <c r="M20" s="193">
        <v>69673</v>
      </c>
      <c r="N20" s="193">
        <v>6041</v>
      </c>
      <c r="O20" s="195">
        <v>185827</v>
      </c>
      <c r="P20" s="193">
        <v>79726</v>
      </c>
      <c r="Q20" s="193">
        <v>34079</v>
      </c>
      <c r="R20" s="193">
        <v>47553.999999999993</v>
      </c>
      <c r="S20" s="193">
        <v>24468</v>
      </c>
      <c r="T20" s="195">
        <v>-328268</v>
      </c>
      <c r="U20" s="193">
        <v>26103</v>
      </c>
      <c r="V20" s="193">
        <v>-316159</v>
      </c>
      <c r="W20" s="193">
        <v>29896</v>
      </c>
      <c r="X20" s="194">
        <v>-68109</v>
      </c>
      <c r="Y20" s="195">
        <v>90835</v>
      </c>
      <c r="Z20" s="193">
        <v>-46038</v>
      </c>
      <c r="AA20" s="193">
        <v>145825</v>
      </c>
      <c r="AB20" s="193">
        <v>76147</v>
      </c>
      <c r="AC20" s="194">
        <v>-85099.000000000015</v>
      </c>
      <c r="AD20" s="195">
        <v>-147363</v>
      </c>
      <c r="AE20" s="193">
        <v>37614</v>
      </c>
      <c r="AF20" s="193">
        <v>-56703</v>
      </c>
      <c r="AG20" s="193">
        <v>-27531</v>
      </c>
      <c r="AH20" s="193">
        <v>-100743</v>
      </c>
      <c r="AI20" s="195">
        <v>-140921</v>
      </c>
      <c r="AJ20" s="193">
        <v>-16207</v>
      </c>
      <c r="AK20" s="193">
        <v>-91984</v>
      </c>
      <c r="AL20" s="193">
        <v>-27020</v>
      </c>
      <c r="AM20" s="193">
        <v>-5712</v>
      </c>
      <c r="AN20" s="195">
        <v>-153905</v>
      </c>
      <c r="AO20" s="193">
        <v>-3646</v>
      </c>
      <c r="AP20" s="193">
        <v>-17829</v>
      </c>
      <c r="AQ20" s="193">
        <v>-104943</v>
      </c>
      <c r="AR20" s="193">
        <v>-27487</v>
      </c>
      <c r="AS20" s="195">
        <v>-93836</v>
      </c>
      <c r="AT20" s="193">
        <v>-50234</v>
      </c>
      <c r="AU20" s="193">
        <v>1081</v>
      </c>
      <c r="AV20" s="193">
        <v>-33003</v>
      </c>
      <c r="AW20" s="193">
        <v>-11680</v>
      </c>
      <c r="AX20" s="195">
        <v>-99759</v>
      </c>
    </row>
    <row r="21" spans="1:50" s="208" customFormat="1" ht="15.75" customHeight="1" thickBot="1">
      <c r="A21" s="196"/>
      <c r="B21" s="207" t="s">
        <v>193</v>
      </c>
      <c r="C21" s="198">
        <f t="shared" ref="C21" si="13">SUM(C19:C20)</f>
        <v>213775</v>
      </c>
      <c r="D21" s="199">
        <f t="shared" ref="D21" si="14">SUM(D19:D20)</f>
        <v>52317</v>
      </c>
      <c r="E21" s="200">
        <f t="shared" ref="E21:X21" si="15">SUM(E19:E20)</f>
        <v>648720</v>
      </c>
      <c r="F21" s="432">
        <f t="shared" si="15"/>
        <v>-19348</v>
      </c>
      <c r="G21" s="198">
        <f t="shared" si="15"/>
        <v>130887</v>
      </c>
      <c r="H21" s="198">
        <f t="shared" si="15"/>
        <v>314116</v>
      </c>
      <c r="I21" s="199">
        <f t="shared" si="15"/>
        <v>223065</v>
      </c>
      <c r="J21" s="200">
        <f t="shared" si="15"/>
        <v>784044</v>
      </c>
      <c r="K21" s="198">
        <f t="shared" si="15"/>
        <v>399613</v>
      </c>
      <c r="L21" s="198">
        <f t="shared" si="15"/>
        <v>155813</v>
      </c>
      <c r="M21" s="198">
        <f t="shared" si="15"/>
        <v>105307</v>
      </c>
      <c r="N21" s="199">
        <f t="shared" si="15"/>
        <v>123312</v>
      </c>
      <c r="O21" s="200">
        <f t="shared" si="15"/>
        <v>1165461</v>
      </c>
      <c r="P21" s="198">
        <f t="shared" si="15"/>
        <v>99893</v>
      </c>
      <c r="Q21" s="198">
        <f t="shared" si="15"/>
        <v>248916</v>
      </c>
      <c r="R21" s="198">
        <f t="shared" si="15"/>
        <v>358873</v>
      </c>
      <c r="S21" s="199">
        <f t="shared" si="15"/>
        <v>457779</v>
      </c>
      <c r="T21" s="200">
        <f t="shared" si="15"/>
        <v>2051990</v>
      </c>
      <c r="U21" s="198">
        <f t="shared" si="15"/>
        <v>249639</v>
      </c>
      <c r="V21" s="198">
        <f t="shared" si="15"/>
        <v>270816</v>
      </c>
      <c r="W21" s="198">
        <f t="shared" si="15"/>
        <v>829284</v>
      </c>
      <c r="X21" s="199">
        <f t="shared" si="15"/>
        <v>702250</v>
      </c>
      <c r="Y21" s="200">
        <v>3035323</v>
      </c>
      <c r="Z21" s="198">
        <v>1043066</v>
      </c>
      <c r="AA21" s="198">
        <f t="shared" ref="AA21:AP21" si="16">SUM(AA19:AA20)</f>
        <v>1110154</v>
      </c>
      <c r="AB21" s="198">
        <f t="shared" si="16"/>
        <v>452297</v>
      </c>
      <c r="AC21" s="199">
        <f t="shared" si="16"/>
        <v>429806</v>
      </c>
      <c r="AD21" s="200">
        <f t="shared" si="16"/>
        <v>601157</v>
      </c>
      <c r="AE21" s="198">
        <f t="shared" si="16"/>
        <v>394768</v>
      </c>
      <c r="AF21" s="198">
        <f t="shared" si="16"/>
        <v>206760</v>
      </c>
      <c r="AG21" s="198">
        <f t="shared" si="16"/>
        <v>58811</v>
      </c>
      <c r="AH21" s="198">
        <f t="shared" si="16"/>
        <v>-59182</v>
      </c>
      <c r="AI21" s="200">
        <f t="shared" si="16"/>
        <v>256610</v>
      </c>
      <c r="AJ21" s="198">
        <f t="shared" si="16"/>
        <v>66075</v>
      </c>
      <c r="AK21" s="198">
        <f t="shared" si="16"/>
        <v>25582</v>
      </c>
      <c r="AL21" s="198">
        <f t="shared" si="16"/>
        <v>56825</v>
      </c>
      <c r="AM21" s="198">
        <f t="shared" si="16"/>
        <v>108128</v>
      </c>
      <c r="AN21" s="200">
        <f t="shared" si="16"/>
        <v>676737</v>
      </c>
      <c r="AO21" s="198">
        <f t="shared" si="16"/>
        <v>131721</v>
      </c>
      <c r="AP21" s="198">
        <f t="shared" si="16"/>
        <v>165514</v>
      </c>
      <c r="AQ21" s="198">
        <v>134872</v>
      </c>
      <c r="AR21" s="198">
        <v>244629</v>
      </c>
      <c r="AS21" s="200">
        <v>336861</v>
      </c>
      <c r="AT21" s="198">
        <v>75134</v>
      </c>
      <c r="AU21" s="198">
        <v>151567</v>
      </c>
      <c r="AV21" s="198">
        <v>63579</v>
      </c>
      <c r="AW21" s="198">
        <v>46580</v>
      </c>
      <c r="AX21" s="200">
        <v>468607</v>
      </c>
    </row>
    <row r="22" spans="1:50" ht="15.75" customHeight="1" thickTop="1">
      <c r="B22" s="206" t="s">
        <v>194</v>
      </c>
      <c r="C22" s="429">
        <v>-90454</v>
      </c>
      <c r="D22" s="416">
        <v>-15069</v>
      </c>
      <c r="E22" s="209">
        <v>-166976</v>
      </c>
      <c r="F22" s="427">
        <v>11982</v>
      </c>
      <c r="G22" s="429">
        <v>-23629</v>
      </c>
      <c r="H22" s="429">
        <v>-82614</v>
      </c>
      <c r="I22" s="416">
        <v>-72713</v>
      </c>
      <c r="J22" s="209">
        <v>-226926</v>
      </c>
      <c r="K22" s="427">
        <v>-106877</v>
      </c>
      <c r="L22" s="424">
        <v>-36865</v>
      </c>
      <c r="M22" s="424">
        <v>-15772</v>
      </c>
      <c r="N22" s="416">
        <v>-67413</v>
      </c>
      <c r="O22" s="209">
        <v>-374188</v>
      </c>
      <c r="P22" s="203">
        <v>61290</v>
      </c>
      <c r="Q22" s="203">
        <v>-58123</v>
      </c>
      <c r="R22" s="203">
        <v>-172537</v>
      </c>
      <c r="S22" s="416">
        <v>-204818</v>
      </c>
      <c r="T22" s="209">
        <v>-717687</v>
      </c>
      <c r="U22" s="203">
        <v>-101309</v>
      </c>
      <c r="V22" s="203">
        <v>-73026</v>
      </c>
      <c r="W22" s="203">
        <v>-290134</v>
      </c>
      <c r="X22" s="204">
        <v>-253220</v>
      </c>
      <c r="Y22" s="209">
        <v>-1031490</v>
      </c>
      <c r="Z22" s="203">
        <v>-355070</v>
      </c>
      <c r="AA22" s="203">
        <v>-322099</v>
      </c>
      <c r="AB22" s="203">
        <v>-205326</v>
      </c>
      <c r="AC22" s="204">
        <v>-148995</v>
      </c>
      <c r="AD22" s="209">
        <v>-230942</v>
      </c>
      <c r="AE22" s="193">
        <v>-105635</v>
      </c>
      <c r="AF22" s="193">
        <v>-50484</v>
      </c>
      <c r="AG22" s="193">
        <v>-39638</v>
      </c>
      <c r="AH22" s="193">
        <v>-35185</v>
      </c>
      <c r="AI22" s="209">
        <v>-84252</v>
      </c>
      <c r="AJ22" s="193">
        <v>71996</v>
      </c>
      <c r="AK22" s="193">
        <v>-47899</v>
      </c>
      <c r="AL22" s="193">
        <v>-56409</v>
      </c>
      <c r="AM22" s="193">
        <v>-51939</v>
      </c>
      <c r="AN22" s="209">
        <v>-129297</v>
      </c>
      <c r="AO22" s="193">
        <v>34131</v>
      </c>
      <c r="AP22" s="193">
        <v>-19195</v>
      </c>
      <c r="AQ22" s="193">
        <v>-64122</v>
      </c>
      <c r="AR22" s="193">
        <v>-80111</v>
      </c>
      <c r="AS22" s="195">
        <v>-30597</v>
      </c>
      <c r="AT22" s="193">
        <v>33183</v>
      </c>
      <c r="AU22" s="193">
        <v>-13221</v>
      </c>
      <c r="AV22" s="193">
        <v>-36824</v>
      </c>
      <c r="AW22" s="193">
        <v>-13735</v>
      </c>
      <c r="AX22" s="195">
        <v>-187771</v>
      </c>
    </row>
    <row r="23" spans="1:50" ht="15.75" customHeight="1">
      <c r="A23" s="196"/>
      <c r="B23" s="210" t="s">
        <v>195</v>
      </c>
      <c r="C23" s="211">
        <f>SUM(C21:C22)</f>
        <v>123321</v>
      </c>
      <c r="D23" s="212">
        <f t="shared" ref="D23" si="17">SUM(D21:D22)</f>
        <v>37248</v>
      </c>
      <c r="E23" s="213">
        <f t="shared" ref="E23" si="18">SUM(E21:E22)</f>
        <v>481744</v>
      </c>
      <c r="F23" s="433">
        <f>SUM(F21:F22)</f>
        <v>-7366</v>
      </c>
      <c r="G23" s="211">
        <f>SUM(G21:G22)</f>
        <v>107258</v>
      </c>
      <c r="H23" s="211">
        <f>SUM(H21:H22)</f>
        <v>231502</v>
      </c>
      <c r="I23" s="212">
        <f t="shared" ref="I23" si="19">SUM(I21:I22)</f>
        <v>150352</v>
      </c>
      <c r="J23" s="213">
        <f t="shared" ref="J23" si="20">SUM(J21:J22)</f>
        <v>557118</v>
      </c>
      <c r="K23" s="211">
        <f>SUM(K21:K22)</f>
        <v>292736</v>
      </c>
      <c r="L23" s="211">
        <f t="shared" ref="L23" si="21">SUM(L21:L22)</f>
        <v>118948</v>
      </c>
      <c r="M23" s="211">
        <f t="shared" ref="M23" si="22">SUM(M21:M22)</f>
        <v>89535</v>
      </c>
      <c r="N23" s="212">
        <f t="shared" ref="N23" si="23">SUM(N21:N22)</f>
        <v>55899</v>
      </c>
      <c r="O23" s="213">
        <f t="shared" ref="O23" si="24">SUM(O21:O22)</f>
        <v>791273</v>
      </c>
      <c r="P23" s="211">
        <f>SUM(P21:P22)</f>
        <v>161183</v>
      </c>
      <c r="Q23" s="211">
        <f>SUM(Q21:Q22)</f>
        <v>190793</v>
      </c>
      <c r="R23" s="211">
        <f>SUM(R21:R22)</f>
        <v>186336</v>
      </c>
      <c r="S23" s="212">
        <f t="shared" ref="S23" si="25">SUM(S21:S22)</f>
        <v>252961</v>
      </c>
      <c r="T23" s="213">
        <f t="shared" ref="T23" si="26">SUM(T21:T22)</f>
        <v>1334303</v>
      </c>
      <c r="U23" s="211">
        <f>SUM(U21:U22)</f>
        <v>148330</v>
      </c>
      <c r="V23" s="211">
        <f>SUM(V21:V22)</f>
        <v>197790</v>
      </c>
      <c r="W23" s="211">
        <f>SUM(W21:W22)</f>
        <v>539150</v>
      </c>
      <c r="X23" s="212">
        <f t="shared" ref="X23" si="27">SUM(X21:X22)</f>
        <v>449030</v>
      </c>
      <c r="Y23" s="213">
        <v>2003833</v>
      </c>
      <c r="Z23" s="211">
        <v>687996</v>
      </c>
      <c r="AA23" s="211">
        <f>SUM(AA21:AA22)</f>
        <v>788055</v>
      </c>
      <c r="AB23" s="211">
        <f>SUM(AB21:AB22)</f>
        <v>246971</v>
      </c>
      <c r="AC23" s="212">
        <f t="shared" ref="AC23" si="28">SUM(AC21:AC22)</f>
        <v>280811</v>
      </c>
      <c r="AD23" s="213">
        <f t="shared" ref="AD23:AP23" si="29">SUM(AD21:AD22)</f>
        <v>370215</v>
      </c>
      <c r="AE23" s="211">
        <f t="shared" si="29"/>
        <v>289133</v>
      </c>
      <c r="AF23" s="211">
        <f t="shared" si="29"/>
        <v>156276</v>
      </c>
      <c r="AG23" s="211">
        <f t="shared" si="29"/>
        <v>19173</v>
      </c>
      <c r="AH23" s="211">
        <f t="shared" si="29"/>
        <v>-94367</v>
      </c>
      <c r="AI23" s="213">
        <f t="shared" si="29"/>
        <v>172358</v>
      </c>
      <c r="AJ23" s="211">
        <f t="shared" si="29"/>
        <v>138071</v>
      </c>
      <c r="AK23" s="211">
        <f t="shared" si="29"/>
        <v>-22317</v>
      </c>
      <c r="AL23" s="211">
        <f t="shared" si="29"/>
        <v>416</v>
      </c>
      <c r="AM23" s="211">
        <f t="shared" si="29"/>
        <v>56189</v>
      </c>
      <c r="AN23" s="213">
        <f t="shared" si="29"/>
        <v>547440</v>
      </c>
      <c r="AO23" s="211">
        <f t="shared" si="29"/>
        <v>165852</v>
      </c>
      <c r="AP23" s="211">
        <f t="shared" si="29"/>
        <v>146319</v>
      </c>
      <c r="AQ23" s="211">
        <v>70750</v>
      </c>
      <c r="AR23" s="211">
        <v>164518</v>
      </c>
      <c r="AS23" s="213">
        <v>306264</v>
      </c>
      <c r="AT23" s="211">
        <v>108317</v>
      </c>
      <c r="AU23" s="211">
        <v>138346</v>
      </c>
      <c r="AV23" s="211">
        <v>26755</v>
      </c>
      <c r="AW23" s="211">
        <v>32845</v>
      </c>
      <c r="AX23" s="213">
        <v>280836</v>
      </c>
    </row>
    <row r="24" spans="1:50">
      <c r="AQ24" s="185"/>
    </row>
    <row r="25" spans="1:50">
      <c r="AQ25" s="214"/>
      <c r="AR25" s="214"/>
      <c r="AV25" s="214"/>
    </row>
    <row r="26" spans="1:50">
      <c r="B26" s="215"/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215"/>
      <c r="W26" s="215"/>
      <c r="X26" s="215"/>
      <c r="Y26" s="215"/>
      <c r="Z26" s="215"/>
      <c r="AA26" s="215"/>
      <c r="AB26" s="215"/>
      <c r="AC26" s="215"/>
      <c r="AD26" s="215"/>
      <c r="AE26" s="215"/>
      <c r="AF26" s="215"/>
      <c r="AG26" s="215"/>
      <c r="AH26" s="215"/>
      <c r="AI26" s="215"/>
      <c r="AJ26" s="215"/>
      <c r="AK26" s="215"/>
      <c r="AL26" s="215"/>
      <c r="AM26" s="215"/>
      <c r="AN26" s="215"/>
      <c r="AO26" s="215"/>
      <c r="AP26" s="215"/>
      <c r="AQ26" s="214"/>
      <c r="AR26" s="185"/>
      <c r="AS26" s="215"/>
      <c r="AT26" s="216"/>
      <c r="AU26" s="216"/>
      <c r="AV26" s="185"/>
      <c r="AW26" s="216"/>
      <c r="AX26" s="215"/>
    </row>
    <row r="27" spans="1:50"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  <c r="R27" s="215"/>
      <c r="S27" s="215"/>
      <c r="T27" s="215"/>
      <c r="U27" s="215"/>
      <c r="V27" s="215"/>
      <c r="W27" s="215"/>
      <c r="X27" s="215"/>
      <c r="Y27" s="215"/>
      <c r="Z27" s="215"/>
      <c r="AA27" s="215"/>
      <c r="AB27" s="215"/>
      <c r="AC27" s="215"/>
      <c r="AD27" s="215"/>
      <c r="AE27" s="215"/>
      <c r="AF27" s="215"/>
      <c r="AG27" s="215"/>
      <c r="AH27" s="215"/>
      <c r="AI27" s="215"/>
      <c r="AJ27" s="215"/>
      <c r="AK27" s="215"/>
      <c r="AL27" s="215"/>
      <c r="AM27" s="215"/>
      <c r="AN27" s="215"/>
      <c r="AO27" s="215"/>
      <c r="AP27" s="215"/>
      <c r="AQ27" s="216"/>
      <c r="AR27" s="185"/>
      <c r="AS27" s="215"/>
      <c r="AT27" s="216"/>
      <c r="AU27" s="216"/>
      <c r="AV27" s="185"/>
      <c r="AW27" s="216"/>
      <c r="AX27" s="215"/>
    </row>
    <row r="28" spans="1:50"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  <c r="R28" s="215"/>
      <c r="S28" s="215"/>
      <c r="T28" s="215"/>
      <c r="U28" s="215"/>
      <c r="V28" s="215"/>
      <c r="W28" s="215"/>
      <c r="X28" s="215"/>
      <c r="Y28" s="215"/>
      <c r="Z28" s="215"/>
      <c r="AA28" s="215"/>
      <c r="AB28" s="215"/>
      <c r="AC28" s="215"/>
      <c r="AD28" s="215"/>
      <c r="AE28" s="215"/>
      <c r="AF28" s="215"/>
      <c r="AG28" s="215"/>
      <c r="AH28" s="215"/>
      <c r="AI28" s="215"/>
      <c r="AJ28" s="215"/>
      <c r="AK28" s="215"/>
      <c r="AL28" s="215"/>
      <c r="AM28" s="215"/>
      <c r="AN28" s="215"/>
      <c r="AO28" s="215"/>
      <c r="AP28" s="215"/>
      <c r="AS28" s="215"/>
      <c r="AX28" s="215"/>
    </row>
    <row r="29" spans="1:50">
      <c r="B29" s="215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  <c r="R29" s="215"/>
      <c r="S29" s="215"/>
      <c r="T29" s="215"/>
      <c r="U29" s="215"/>
      <c r="V29" s="215"/>
      <c r="W29" s="215"/>
      <c r="X29" s="215"/>
      <c r="Y29" s="215"/>
      <c r="Z29" s="215"/>
      <c r="AA29" s="215"/>
      <c r="AB29" s="215"/>
      <c r="AC29" s="215"/>
      <c r="AD29" s="215"/>
      <c r="AE29" s="215"/>
      <c r="AF29" s="215"/>
      <c r="AG29" s="215"/>
      <c r="AH29" s="215"/>
      <c r="AI29" s="215"/>
      <c r="AJ29" s="215"/>
      <c r="AK29" s="215"/>
      <c r="AL29" s="215"/>
      <c r="AM29" s="215"/>
      <c r="AN29" s="215"/>
      <c r="AO29" s="215"/>
      <c r="AP29" s="215"/>
      <c r="AQ29" s="217"/>
      <c r="AR29" s="217"/>
      <c r="AS29" s="215"/>
      <c r="AT29" s="217"/>
      <c r="AU29" s="217"/>
      <c r="AV29" s="217"/>
      <c r="AW29" s="217"/>
      <c r="AX29" s="215"/>
    </row>
  </sheetData>
  <mergeCells count="55">
    <mergeCell ref="Z10:Z11"/>
    <mergeCell ref="R10:R11"/>
    <mergeCell ref="G10:G11"/>
    <mergeCell ref="M10:M11"/>
    <mergeCell ref="H10:H11"/>
    <mergeCell ref="X10:X11"/>
    <mergeCell ref="Y10:Y11"/>
    <mergeCell ref="P10:P11"/>
    <mergeCell ref="Q10:Q11"/>
    <mergeCell ref="O10:O11"/>
    <mergeCell ref="S10:S11"/>
    <mergeCell ref="T10:T11"/>
    <mergeCell ref="N10:N11"/>
    <mergeCell ref="U10:U11"/>
    <mergeCell ref="V10:V11"/>
    <mergeCell ref="I10:I11"/>
    <mergeCell ref="AX10:AX11"/>
    <mergeCell ref="AQ10:AQ11"/>
    <mergeCell ref="AF10:AF11"/>
    <mergeCell ref="AG10:AG11"/>
    <mergeCell ref="AP10:AP11"/>
    <mergeCell ref="AN10:AN11"/>
    <mergeCell ref="AO10:AO11"/>
    <mergeCell ref="AL10:AL11"/>
    <mergeCell ref="AK10:AK11"/>
    <mergeCell ref="AH10:AH11"/>
    <mergeCell ref="AM10:AM11"/>
    <mergeCell ref="B7:B8"/>
    <mergeCell ref="AW7:AW8"/>
    <mergeCell ref="AV7:AV8"/>
    <mergeCell ref="AV10:AV11"/>
    <mergeCell ref="AU7:AU8"/>
    <mergeCell ref="AU10:AU11"/>
    <mergeCell ref="AS10:AS11"/>
    <mergeCell ref="AR7:AR8"/>
    <mergeCell ref="AR10:AR11"/>
    <mergeCell ref="AI10:AI11"/>
    <mergeCell ref="AJ10:AJ11"/>
    <mergeCell ref="AT10:AT11"/>
    <mergeCell ref="B10:B11"/>
    <mergeCell ref="W10:W11"/>
    <mergeCell ref="AW10:AW11"/>
    <mergeCell ref="L10:L11"/>
    <mergeCell ref="AQ7:AQ8"/>
    <mergeCell ref="AA10:AA11"/>
    <mergeCell ref="AB10:AB11"/>
    <mergeCell ref="AC10:AC11"/>
    <mergeCell ref="AE10:AE11"/>
    <mergeCell ref="AD10:AD11"/>
    <mergeCell ref="C10:C11"/>
    <mergeCell ref="J10:J11"/>
    <mergeCell ref="K10:K11"/>
    <mergeCell ref="D10:D11"/>
    <mergeCell ref="E10:E11"/>
    <mergeCell ref="F10:F11"/>
  </mergeCells>
  <phoneticPr fontId="136" type="noConversion"/>
  <pageMargins left="0.511811024" right="0.511811024" top="0.78740157499999996" bottom="0.78740157499999996" header="0.31496062000000002" footer="0.31496062000000002"/>
  <pageSetup paperSize="9" orientation="portrait" r:id="rId1"/>
  <ignoredErrors>
    <ignoredError sqref="AS10 AX10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515151"/>
  </sheetPr>
  <dimension ref="A1:AO64"/>
  <sheetViews>
    <sheetView zoomScale="90" zoomScaleNormal="90" workbookViewId="0">
      <selection activeCell="C33" sqref="C33:C34"/>
    </sheetView>
  </sheetViews>
  <sheetFormatPr defaultColWidth="9.140625" defaultRowHeight="14.25"/>
  <cols>
    <col min="1" max="1" width="1.7109375" style="181" customWidth="1"/>
    <col min="2" max="2" width="50.140625" style="181" bestFit="1" customWidth="1"/>
    <col min="3" max="17" width="12.7109375" style="181" bestFit="1" customWidth="1"/>
    <col min="18" max="24" width="12.28515625" style="181" bestFit="1" customWidth="1"/>
    <col min="25" max="25" width="12.7109375" style="181" bestFit="1" customWidth="1"/>
    <col min="26" max="28" width="12.28515625" style="181" bestFit="1" customWidth="1"/>
    <col min="29" max="29" width="12.7109375" style="181" bestFit="1" customWidth="1"/>
    <col min="30" max="32" width="11.5703125" style="181" bestFit="1" customWidth="1"/>
    <col min="33" max="33" width="12.7109375" style="181" bestFit="1" customWidth="1"/>
    <col min="34" max="35" width="11.5703125" style="181" bestFit="1" customWidth="1"/>
    <col min="36" max="36" width="11.5703125" style="183" bestFit="1" customWidth="1"/>
    <col min="37" max="37" width="12.140625" style="183" customWidth="1"/>
    <col min="38" max="38" width="11.5703125" style="183" bestFit="1" customWidth="1"/>
    <col min="39" max="40" width="12.28515625" style="183" bestFit="1" customWidth="1"/>
    <col min="41" max="41" width="12.7109375" style="183" bestFit="1" customWidth="1"/>
    <col min="42" max="16384" width="9.140625" style="184"/>
  </cols>
  <sheetData>
    <row r="1" spans="1:41" ht="9" customHeight="1"/>
    <row r="2" spans="1:41" ht="15.75" customHeight="1"/>
    <row r="3" spans="1:41" ht="15.75" customHeight="1"/>
    <row r="4" spans="1:41" ht="15.75" customHeight="1"/>
    <row r="5" spans="1:41" ht="15.75" customHeight="1"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</row>
    <row r="6" spans="1:41" ht="9" customHeight="1"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</row>
    <row r="7" spans="1:41" ht="20.25">
      <c r="B7" s="434" t="s">
        <v>369</v>
      </c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232"/>
      <c r="AK7" s="232"/>
      <c r="AL7" s="232"/>
      <c r="AM7" s="232"/>
      <c r="AN7" s="232"/>
      <c r="AO7" s="232"/>
    </row>
    <row r="8" spans="1:41" ht="20.25">
      <c r="B8" s="434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232"/>
      <c r="AK8" s="232"/>
      <c r="AL8" s="232"/>
      <c r="AM8" s="232"/>
      <c r="AN8" s="232"/>
      <c r="AO8" s="232"/>
    </row>
    <row r="9" spans="1:41" ht="9" customHeight="1">
      <c r="B9" s="188"/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</row>
    <row r="10" spans="1:41" ht="15.75" customHeight="1">
      <c r="A10" s="191"/>
      <c r="B10" s="447" t="s">
        <v>371</v>
      </c>
      <c r="C10" s="443" t="s">
        <v>460</v>
      </c>
      <c r="D10" s="443" t="s">
        <v>455</v>
      </c>
      <c r="E10" s="445" t="s">
        <v>452</v>
      </c>
      <c r="F10" s="443" t="s">
        <v>447</v>
      </c>
      <c r="G10" s="443" t="s">
        <v>444</v>
      </c>
      <c r="H10" s="443" t="s">
        <v>440</v>
      </c>
      <c r="I10" s="445" t="s">
        <v>434</v>
      </c>
      <c r="J10" s="443" t="s">
        <v>430</v>
      </c>
      <c r="K10" s="443" t="s">
        <v>427</v>
      </c>
      <c r="L10" s="443" t="s">
        <v>417</v>
      </c>
      <c r="M10" s="445" t="s">
        <v>407</v>
      </c>
      <c r="N10" s="443" t="s">
        <v>401</v>
      </c>
      <c r="O10" s="443" t="s">
        <v>398</v>
      </c>
      <c r="P10" s="443" t="s">
        <v>392</v>
      </c>
      <c r="Q10" s="445" t="s">
        <v>388</v>
      </c>
      <c r="R10" s="443" t="s">
        <v>391</v>
      </c>
      <c r="S10" s="443" t="s">
        <v>364</v>
      </c>
      <c r="T10" s="443" t="s">
        <v>360</v>
      </c>
      <c r="U10" s="446" t="s">
        <v>355</v>
      </c>
      <c r="V10" s="443" t="s">
        <v>348</v>
      </c>
      <c r="W10" s="443" t="s">
        <v>344</v>
      </c>
      <c r="X10" s="443" t="s">
        <v>341</v>
      </c>
      <c r="Y10" s="446">
        <v>44196</v>
      </c>
      <c r="Z10" s="444">
        <v>44104</v>
      </c>
      <c r="AA10" s="443" t="s">
        <v>329</v>
      </c>
      <c r="AB10" s="443" t="s">
        <v>330</v>
      </c>
      <c r="AC10" s="446">
        <v>43830</v>
      </c>
      <c r="AD10" s="444">
        <v>43738</v>
      </c>
      <c r="AE10" s="444">
        <v>43646</v>
      </c>
      <c r="AF10" s="444">
        <v>43555</v>
      </c>
      <c r="AG10" s="446">
        <v>43465</v>
      </c>
      <c r="AH10" s="444">
        <v>43373</v>
      </c>
      <c r="AI10" s="444">
        <v>43281</v>
      </c>
      <c r="AJ10" s="444">
        <v>43190</v>
      </c>
      <c r="AK10" s="446">
        <v>43100</v>
      </c>
      <c r="AL10" s="444">
        <v>43008</v>
      </c>
      <c r="AM10" s="444">
        <v>42916</v>
      </c>
      <c r="AN10" s="444">
        <v>42825</v>
      </c>
      <c r="AO10" s="446">
        <v>42735</v>
      </c>
    </row>
    <row r="11" spans="1:41" ht="15" customHeight="1">
      <c r="A11" s="191"/>
      <c r="B11" s="447"/>
      <c r="C11" s="443"/>
      <c r="D11" s="443"/>
      <c r="E11" s="445"/>
      <c r="F11" s="443"/>
      <c r="G11" s="443"/>
      <c r="H11" s="443"/>
      <c r="I11" s="445"/>
      <c r="J11" s="443"/>
      <c r="K11" s="443"/>
      <c r="L11" s="443"/>
      <c r="M11" s="445"/>
      <c r="N11" s="443"/>
      <c r="O11" s="443"/>
      <c r="P11" s="443"/>
      <c r="Q11" s="445"/>
      <c r="R11" s="443"/>
      <c r="S11" s="443"/>
      <c r="T11" s="443"/>
      <c r="U11" s="446"/>
      <c r="V11" s="443"/>
      <c r="W11" s="443"/>
      <c r="X11" s="443"/>
      <c r="Y11" s="446"/>
      <c r="Z11" s="444"/>
      <c r="AA11" s="443"/>
      <c r="AB11" s="443"/>
      <c r="AC11" s="446"/>
      <c r="AD11" s="444"/>
      <c r="AE11" s="444"/>
      <c r="AF11" s="444"/>
      <c r="AG11" s="446"/>
      <c r="AH11" s="444"/>
      <c r="AI11" s="444"/>
      <c r="AJ11" s="444"/>
      <c r="AK11" s="446"/>
      <c r="AL11" s="444"/>
      <c r="AM11" s="444"/>
      <c r="AN11" s="444"/>
      <c r="AO11" s="446"/>
    </row>
    <row r="12" spans="1:41" ht="15">
      <c r="A12" s="196"/>
      <c r="B12" s="218" t="s">
        <v>196</v>
      </c>
      <c r="C12" s="211">
        <f t="shared" ref="C12" si="0">C13+C21</f>
        <v>7759771</v>
      </c>
      <c r="D12" s="211">
        <f t="shared" ref="D12" si="1">D13+D21</f>
        <v>7460029</v>
      </c>
      <c r="E12" s="213">
        <f t="shared" ref="E12" si="2">E13+E21</f>
        <v>7234816</v>
      </c>
      <c r="F12" s="211">
        <f t="shared" ref="F12" si="3">F13+F21</f>
        <v>7633811</v>
      </c>
      <c r="G12" s="211">
        <f t="shared" ref="G12" si="4">G13+G21</f>
        <v>7539380</v>
      </c>
      <c r="H12" s="211">
        <f t="shared" ref="H12" si="5">H13+H21</f>
        <v>7280912</v>
      </c>
      <c r="I12" s="213">
        <f t="shared" ref="I12" si="6">I13+I21</f>
        <v>7111789</v>
      </c>
      <c r="J12" s="211">
        <f t="shared" ref="J12" si="7">J13+J21</f>
        <v>7582968</v>
      </c>
      <c r="K12" s="211">
        <f t="shared" ref="K12:P12" si="8">K13+K21</f>
        <v>7158097</v>
      </c>
      <c r="L12" s="211">
        <f t="shared" si="8"/>
        <v>7104944</v>
      </c>
      <c r="M12" s="213">
        <f t="shared" si="8"/>
        <v>6396491</v>
      </c>
      <c r="N12" s="211">
        <f t="shared" si="8"/>
        <v>6198664</v>
      </c>
      <c r="O12" s="211">
        <f t="shared" si="8"/>
        <v>5872802</v>
      </c>
      <c r="P12" s="211">
        <f t="shared" si="8"/>
        <v>6038082</v>
      </c>
      <c r="Q12" s="213">
        <f t="shared" ref="Q12" si="9">Q13+Q21</f>
        <v>5994445</v>
      </c>
      <c r="R12" s="211">
        <f>R13+R21</f>
        <v>6454798</v>
      </c>
      <c r="S12" s="211">
        <f>S13+S21</f>
        <v>6875187</v>
      </c>
      <c r="T12" s="211">
        <f>T13+T21</f>
        <v>6456704</v>
      </c>
      <c r="U12" s="213">
        <v>6248208</v>
      </c>
      <c r="V12" s="211">
        <f>V13+V21</f>
        <v>6075096.5211200006</v>
      </c>
      <c r="W12" s="211">
        <f>W13+W21</f>
        <v>4907627.0918099992</v>
      </c>
      <c r="X12" s="211">
        <f>X13+X21</f>
        <v>4841766.7061899994</v>
      </c>
      <c r="Y12" s="213">
        <f>Y13+Y21</f>
        <v>4508297</v>
      </c>
      <c r="Z12" s="211">
        <f t="shared" ref="Z12" si="10">Z13+Z21</f>
        <v>4335046</v>
      </c>
      <c r="AA12" s="211">
        <f t="shared" ref="AA12" si="11">AA13+AA21</f>
        <v>4108310</v>
      </c>
      <c r="AB12" s="211">
        <f t="shared" ref="AB12" si="12">AB13+AB21</f>
        <v>3931388</v>
      </c>
      <c r="AC12" s="213">
        <f t="shared" ref="AC12" si="13">AC13+AC21</f>
        <v>3718821</v>
      </c>
      <c r="AD12" s="211">
        <f t="shared" ref="AD12" si="14">AD13+AD21</f>
        <v>3636257</v>
      </c>
      <c r="AE12" s="211">
        <f t="shared" ref="AE12:AI12" si="15">AE13+AE21</f>
        <v>3727807</v>
      </c>
      <c r="AF12" s="211">
        <f t="shared" si="15"/>
        <v>3926438</v>
      </c>
      <c r="AG12" s="213">
        <f t="shared" si="15"/>
        <v>4042630</v>
      </c>
      <c r="AH12" s="211">
        <f t="shared" si="15"/>
        <v>3978312</v>
      </c>
      <c r="AI12" s="211">
        <f t="shared" si="15"/>
        <v>4094219</v>
      </c>
      <c r="AJ12" s="211">
        <v>4273966</v>
      </c>
      <c r="AK12" s="213">
        <v>3466377</v>
      </c>
      <c r="AL12" s="211">
        <v>3561461</v>
      </c>
      <c r="AM12" s="211">
        <v>3614558</v>
      </c>
      <c r="AN12" s="211">
        <v>3480230</v>
      </c>
      <c r="AO12" s="213">
        <v>3494699</v>
      </c>
    </row>
    <row r="13" spans="1:41" ht="15.75" thickBot="1">
      <c r="A13" s="196"/>
      <c r="B13" s="219" t="s">
        <v>197</v>
      </c>
      <c r="C13" s="198">
        <f t="shared" ref="C13" si="16">SUM(C14:C20)</f>
        <v>2808901</v>
      </c>
      <c r="D13" s="198">
        <f t="shared" ref="D13" si="17">SUM(D14:D20)</f>
        <v>2531771</v>
      </c>
      <c r="E13" s="200">
        <f t="shared" ref="E13" si="18">SUM(E14:E20)</f>
        <v>2460010</v>
      </c>
      <c r="F13" s="198">
        <f t="shared" ref="F13" si="19">SUM(F14:F20)</f>
        <v>3062409</v>
      </c>
      <c r="G13" s="198">
        <f t="shared" ref="G13" si="20">SUM(G14:G20)</f>
        <v>3075524</v>
      </c>
      <c r="H13" s="198">
        <f t="shared" ref="H13" si="21">SUM(H14:H20)</f>
        <v>2862549</v>
      </c>
      <c r="I13" s="200">
        <f t="shared" ref="I13" si="22">SUM(I14:I20)</f>
        <v>2932966</v>
      </c>
      <c r="J13" s="198">
        <f t="shared" ref="J13" si="23">SUM(J14:J20)</f>
        <v>3633307</v>
      </c>
      <c r="K13" s="198">
        <f t="shared" ref="K13:P13" si="24">SUM(K14:K20)</f>
        <v>3374105</v>
      </c>
      <c r="L13" s="198">
        <f t="shared" si="24"/>
        <v>3542973</v>
      </c>
      <c r="M13" s="200">
        <f t="shared" si="24"/>
        <v>3043657</v>
      </c>
      <c r="N13" s="198">
        <f t="shared" si="24"/>
        <v>2650188</v>
      </c>
      <c r="O13" s="198">
        <f t="shared" si="24"/>
        <v>2383709</v>
      </c>
      <c r="P13" s="198">
        <f t="shared" si="24"/>
        <v>2601945</v>
      </c>
      <c r="Q13" s="200">
        <f t="shared" ref="Q13" si="25">SUM(Q14:Q20)</f>
        <v>2603075</v>
      </c>
      <c r="R13" s="198">
        <f>SUM(R14:R20)</f>
        <v>3083689</v>
      </c>
      <c r="S13" s="198">
        <f>SUM(S14:S20)</f>
        <v>3551202</v>
      </c>
      <c r="T13" s="198">
        <f>SUM(T14:T20)</f>
        <v>3227355</v>
      </c>
      <c r="U13" s="200">
        <v>2842827</v>
      </c>
      <c r="V13" s="198">
        <f>SUM(V14:V20)</f>
        <v>2795562.5211200002</v>
      </c>
      <c r="W13" s="198">
        <f>SUM(W14:W20)</f>
        <v>2249447.0918099997</v>
      </c>
      <c r="X13" s="198">
        <f>SUM(X14:X20)</f>
        <v>2181280.7061899998</v>
      </c>
      <c r="Y13" s="200">
        <f>SUM(Y14:Y20)</f>
        <v>1880619</v>
      </c>
      <c r="Z13" s="198">
        <f t="shared" ref="Z13" si="26">SUM(Z14:Z20)</f>
        <v>1698992</v>
      </c>
      <c r="AA13" s="198">
        <f t="shared" ref="AA13" si="27">SUM(AA14:AA20)</f>
        <v>1516114</v>
      </c>
      <c r="AB13" s="198">
        <f t="shared" ref="AB13" si="28">SUM(AB14:AB20)</f>
        <v>1334064</v>
      </c>
      <c r="AC13" s="200">
        <f t="shared" ref="AC13" si="29">SUM(AC14:AC20)</f>
        <v>1207780</v>
      </c>
      <c r="AD13" s="198">
        <f t="shared" ref="AD13" si="30">SUM(AD14:AD20)</f>
        <v>1256603</v>
      </c>
      <c r="AE13" s="198">
        <f t="shared" ref="AE13:AI13" si="31">SUM(AE14:AE20)</f>
        <v>1311461</v>
      </c>
      <c r="AF13" s="198">
        <f t="shared" si="31"/>
        <v>1511411</v>
      </c>
      <c r="AG13" s="200">
        <f t="shared" si="31"/>
        <v>1600103</v>
      </c>
      <c r="AH13" s="198">
        <f t="shared" si="31"/>
        <v>1747846</v>
      </c>
      <c r="AI13" s="198">
        <f t="shared" si="31"/>
        <v>1850045</v>
      </c>
      <c r="AJ13" s="198">
        <v>1957546</v>
      </c>
      <c r="AK13" s="200">
        <v>1109867</v>
      </c>
      <c r="AL13" s="198">
        <v>1191551</v>
      </c>
      <c r="AM13" s="198">
        <v>1242422</v>
      </c>
      <c r="AN13" s="198">
        <v>1090117</v>
      </c>
      <c r="AO13" s="200">
        <v>1108029</v>
      </c>
    </row>
    <row r="14" spans="1:41" ht="15" thickTop="1">
      <c r="B14" s="220" t="s">
        <v>198</v>
      </c>
      <c r="C14" s="193">
        <v>635751</v>
      </c>
      <c r="D14" s="193">
        <v>652933</v>
      </c>
      <c r="E14" s="195">
        <v>520271</v>
      </c>
      <c r="F14" s="193">
        <v>1077384</v>
      </c>
      <c r="G14" s="193">
        <v>1135632</v>
      </c>
      <c r="H14" s="193">
        <v>773873</v>
      </c>
      <c r="I14" s="195">
        <v>845342</v>
      </c>
      <c r="J14" s="193">
        <v>1122845</v>
      </c>
      <c r="K14" s="193">
        <v>1538805</v>
      </c>
      <c r="L14" s="193">
        <v>1876229</v>
      </c>
      <c r="M14" s="195">
        <v>1343204</v>
      </c>
      <c r="N14" s="193">
        <v>869809</v>
      </c>
      <c r="O14" s="193">
        <v>795016</v>
      </c>
      <c r="P14" s="193">
        <v>1101464</v>
      </c>
      <c r="Q14" s="195">
        <v>402122</v>
      </c>
      <c r="R14" s="193">
        <v>415016</v>
      </c>
      <c r="S14" s="193">
        <v>547658</v>
      </c>
      <c r="T14" s="193">
        <v>330672</v>
      </c>
      <c r="U14" s="195">
        <v>331177</v>
      </c>
      <c r="V14" s="193">
        <v>824377</v>
      </c>
      <c r="W14" s="193">
        <v>760350</v>
      </c>
      <c r="X14" s="193">
        <v>845587</v>
      </c>
      <c r="Y14" s="195">
        <v>924852</v>
      </c>
      <c r="Z14" s="193">
        <v>867250</v>
      </c>
      <c r="AA14" s="193">
        <v>743093</v>
      </c>
      <c r="AB14" s="193">
        <v>436372</v>
      </c>
      <c r="AC14" s="195">
        <v>301525</v>
      </c>
      <c r="AD14" s="193">
        <v>170739</v>
      </c>
      <c r="AE14" s="193">
        <v>263848</v>
      </c>
      <c r="AF14" s="193">
        <v>268402</v>
      </c>
      <c r="AG14" s="195">
        <v>201542</v>
      </c>
      <c r="AH14" s="193">
        <v>303933</v>
      </c>
      <c r="AI14" s="193">
        <v>140834</v>
      </c>
      <c r="AJ14" s="193">
        <v>230275</v>
      </c>
      <c r="AK14" s="195">
        <v>78559</v>
      </c>
      <c r="AL14" s="193">
        <v>67473</v>
      </c>
      <c r="AM14" s="193">
        <v>299058</v>
      </c>
      <c r="AN14" s="193">
        <v>170091</v>
      </c>
      <c r="AO14" s="195">
        <v>383346</v>
      </c>
    </row>
    <row r="15" spans="1:41">
      <c r="B15" s="221" t="s">
        <v>199</v>
      </c>
      <c r="C15" s="193">
        <v>735544</v>
      </c>
      <c r="D15" s="193">
        <v>547519</v>
      </c>
      <c r="E15" s="195">
        <v>553952</v>
      </c>
      <c r="F15" s="193">
        <v>638414</v>
      </c>
      <c r="G15" s="193">
        <v>611902</v>
      </c>
      <c r="H15" s="193">
        <v>706902</v>
      </c>
      <c r="I15" s="195">
        <v>739440</v>
      </c>
      <c r="J15" s="193">
        <v>1180586</v>
      </c>
      <c r="K15" s="193">
        <v>479690</v>
      </c>
      <c r="L15" s="193">
        <v>376492</v>
      </c>
      <c r="M15" s="195">
        <v>794837</v>
      </c>
      <c r="N15" s="193">
        <v>725858</v>
      </c>
      <c r="O15" s="193">
        <v>537079</v>
      </c>
      <c r="P15" s="193">
        <v>307141</v>
      </c>
      <c r="Q15" s="195">
        <v>1011847</v>
      </c>
      <c r="R15" s="193">
        <v>1207964</v>
      </c>
      <c r="S15" s="193">
        <v>1530491</v>
      </c>
      <c r="T15" s="193">
        <v>1534768</v>
      </c>
      <c r="U15" s="195">
        <v>1291272</v>
      </c>
      <c r="V15" s="193">
        <v>610296</v>
      </c>
      <c r="W15" s="193">
        <v>324660</v>
      </c>
      <c r="X15" s="193">
        <v>201944</v>
      </c>
      <c r="Y15" s="195">
        <v>188908</v>
      </c>
      <c r="Z15" s="193">
        <v>44293</v>
      </c>
      <c r="AA15" s="193">
        <v>14787</v>
      </c>
      <c r="AB15" s="193">
        <v>42387</v>
      </c>
      <c r="AC15" s="195">
        <v>213158</v>
      </c>
      <c r="AD15" s="193">
        <v>358006</v>
      </c>
      <c r="AE15" s="193">
        <v>311218</v>
      </c>
      <c r="AF15" s="193">
        <v>550483</v>
      </c>
      <c r="AG15" s="195">
        <v>659939</v>
      </c>
      <c r="AH15" s="193">
        <v>603852</v>
      </c>
      <c r="AI15" s="193">
        <v>772439</v>
      </c>
      <c r="AJ15" s="193">
        <v>844641</v>
      </c>
      <c r="AK15" s="195">
        <v>323243</v>
      </c>
      <c r="AL15" s="193">
        <v>361551</v>
      </c>
      <c r="AM15" s="193">
        <v>179786</v>
      </c>
      <c r="AN15" s="193">
        <v>181695</v>
      </c>
      <c r="AO15" s="195">
        <v>96612</v>
      </c>
    </row>
    <row r="16" spans="1:41">
      <c r="B16" s="221" t="s">
        <v>200</v>
      </c>
      <c r="C16" s="193">
        <v>639748</v>
      </c>
      <c r="D16" s="193">
        <v>531120</v>
      </c>
      <c r="E16" s="195">
        <v>500239</v>
      </c>
      <c r="F16" s="193">
        <v>559205</v>
      </c>
      <c r="G16" s="193">
        <v>560126</v>
      </c>
      <c r="H16" s="193">
        <v>582033</v>
      </c>
      <c r="I16" s="195">
        <v>590028</v>
      </c>
      <c r="J16" s="193">
        <v>573835</v>
      </c>
      <c r="K16" s="193">
        <v>521021</v>
      </c>
      <c r="L16" s="193">
        <v>513685</v>
      </c>
      <c r="M16" s="195">
        <v>341044</v>
      </c>
      <c r="N16" s="193">
        <v>472894</v>
      </c>
      <c r="O16" s="193">
        <v>475070</v>
      </c>
      <c r="P16" s="193">
        <v>583246</v>
      </c>
      <c r="Q16" s="195">
        <v>541716</v>
      </c>
      <c r="R16" s="193">
        <v>656955</v>
      </c>
      <c r="S16" s="193">
        <v>798636</v>
      </c>
      <c r="T16" s="193">
        <v>747857</v>
      </c>
      <c r="U16" s="195">
        <v>676256</v>
      </c>
      <c r="V16" s="193">
        <v>788121</v>
      </c>
      <c r="W16" s="193">
        <v>583085.14399999997</v>
      </c>
      <c r="X16" s="193">
        <v>642524</v>
      </c>
      <c r="Y16" s="195">
        <v>534092</v>
      </c>
      <c r="Z16" s="193">
        <v>517355</v>
      </c>
      <c r="AA16" s="193">
        <v>404799</v>
      </c>
      <c r="AB16" s="193">
        <v>480667</v>
      </c>
      <c r="AC16" s="195">
        <v>381822</v>
      </c>
      <c r="AD16" s="193">
        <v>420596</v>
      </c>
      <c r="AE16" s="193">
        <v>450043</v>
      </c>
      <c r="AF16" s="193">
        <v>415932</v>
      </c>
      <c r="AG16" s="195">
        <v>449321</v>
      </c>
      <c r="AH16" s="193">
        <v>547296</v>
      </c>
      <c r="AI16" s="193">
        <v>642138</v>
      </c>
      <c r="AJ16" s="193">
        <v>613590</v>
      </c>
      <c r="AK16" s="195">
        <v>459758</v>
      </c>
      <c r="AL16" s="193">
        <v>514708</v>
      </c>
      <c r="AM16" s="193">
        <v>446954</v>
      </c>
      <c r="AN16" s="193">
        <v>471594</v>
      </c>
      <c r="AO16" s="195">
        <v>353207</v>
      </c>
    </row>
    <row r="17" spans="1:41">
      <c r="B17" s="220" t="s">
        <v>201</v>
      </c>
      <c r="C17" s="193">
        <v>226093</v>
      </c>
      <c r="D17" s="193">
        <v>260832</v>
      </c>
      <c r="E17" s="195">
        <v>266583</v>
      </c>
      <c r="F17" s="193">
        <v>191693</v>
      </c>
      <c r="G17" s="193">
        <v>214864</v>
      </c>
      <c r="H17" s="193">
        <v>252878</v>
      </c>
      <c r="I17" s="195">
        <v>296058</v>
      </c>
      <c r="J17" s="193">
        <v>255561</v>
      </c>
      <c r="K17" s="193">
        <v>267220</v>
      </c>
      <c r="L17" s="193">
        <v>310249</v>
      </c>
      <c r="M17" s="195">
        <v>249869</v>
      </c>
      <c r="N17" s="193">
        <v>192610</v>
      </c>
      <c r="O17" s="193">
        <v>149461</v>
      </c>
      <c r="P17" s="193">
        <v>186207</v>
      </c>
      <c r="Q17" s="195">
        <v>197299</v>
      </c>
      <c r="R17" s="193">
        <v>267941</v>
      </c>
      <c r="S17" s="193">
        <v>126361</v>
      </c>
      <c r="T17" s="193">
        <v>121897</v>
      </c>
      <c r="U17" s="195">
        <v>68187</v>
      </c>
      <c r="V17" s="193">
        <v>127924</v>
      </c>
      <c r="W17" s="193">
        <v>117932</v>
      </c>
      <c r="X17" s="193">
        <v>15731</v>
      </c>
      <c r="Y17" s="195">
        <v>29165</v>
      </c>
      <c r="Z17" s="193">
        <v>23447</v>
      </c>
      <c r="AA17" s="193">
        <v>33260</v>
      </c>
      <c r="AB17" s="193">
        <v>36001</v>
      </c>
      <c r="AC17" s="195">
        <v>48858</v>
      </c>
      <c r="AD17" s="193">
        <v>52373</v>
      </c>
      <c r="AE17" s="193">
        <v>64522</v>
      </c>
      <c r="AF17" s="193">
        <v>64171</v>
      </c>
      <c r="AG17" s="195">
        <v>65201</v>
      </c>
      <c r="AH17" s="193">
        <v>65160</v>
      </c>
      <c r="AI17" s="193">
        <v>52278</v>
      </c>
      <c r="AJ17" s="193">
        <v>52578</v>
      </c>
      <c r="AK17" s="195">
        <v>48701</v>
      </c>
      <c r="AL17" s="193">
        <v>30186</v>
      </c>
      <c r="AM17" s="193">
        <v>31067</v>
      </c>
      <c r="AN17" s="193">
        <v>30879</v>
      </c>
      <c r="AO17" s="195">
        <v>48483</v>
      </c>
    </row>
    <row r="18" spans="1:41">
      <c r="B18" s="221" t="s">
        <v>202</v>
      </c>
      <c r="C18" s="193">
        <v>482447</v>
      </c>
      <c r="D18" s="193">
        <v>452242</v>
      </c>
      <c r="E18" s="195">
        <v>537304</v>
      </c>
      <c r="F18" s="193">
        <v>485644</v>
      </c>
      <c r="G18" s="193">
        <v>439783</v>
      </c>
      <c r="H18" s="193">
        <v>433135</v>
      </c>
      <c r="I18" s="195">
        <v>410075</v>
      </c>
      <c r="J18" s="193">
        <v>396637</v>
      </c>
      <c r="K18" s="193">
        <v>450811</v>
      </c>
      <c r="L18" s="193">
        <v>373325</v>
      </c>
      <c r="M18" s="195">
        <v>281966</v>
      </c>
      <c r="N18" s="193">
        <v>339797</v>
      </c>
      <c r="O18" s="193">
        <v>363532</v>
      </c>
      <c r="P18" s="193">
        <v>370772</v>
      </c>
      <c r="Q18" s="195">
        <v>426704</v>
      </c>
      <c r="R18" s="193">
        <v>508244</v>
      </c>
      <c r="S18" s="193">
        <v>499658</v>
      </c>
      <c r="T18" s="193">
        <v>426139</v>
      </c>
      <c r="U18" s="195">
        <v>442130</v>
      </c>
      <c r="V18" s="193">
        <v>393899</v>
      </c>
      <c r="W18" s="193">
        <v>409248</v>
      </c>
      <c r="X18" s="193">
        <v>420351</v>
      </c>
      <c r="Y18" s="195">
        <v>189238</v>
      </c>
      <c r="Z18" s="193">
        <v>225584</v>
      </c>
      <c r="AA18" s="193">
        <v>286036</v>
      </c>
      <c r="AB18" s="193">
        <v>262137</v>
      </c>
      <c r="AC18" s="195">
        <v>209591</v>
      </c>
      <c r="AD18" s="193">
        <v>210194</v>
      </c>
      <c r="AE18" s="193">
        <v>191017</v>
      </c>
      <c r="AF18" s="193">
        <v>177323</v>
      </c>
      <c r="AG18" s="195">
        <v>198621</v>
      </c>
      <c r="AH18" s="193">
        <v>198597</v>
      </c>
      <c r="AI18" s="193">
        <v>215968</v>
      </c>
      <c r="AJ18" s="193">
        <v>185580</v>
      </c>
      <c r="AK18" s="195">
        <v>180668</v>
      </c>
      <c r="AL18" s="193">
        <v>196311</v>
      </c>
      <c r="AM18" s="193">
        <v>255283</v>
      </c>
      <c r="AN18" s="193">
        <v>201106</v>
      </c>
      <c r="AO18" s="195">
        <v>204060</v>
      </c>
    </row>
    <row r="19" spans="1:41">
      <c r="B19" s="221" t="s">
        <v>203</v>
      </c>
      <c r="C19" s="193">
        <v>32617</v>
      </c>
      <c r="D19" s="193">
        <v>24327</v>
      </c>
      <c r="E19" s="195">
        <v>26382</v>
      </c>
      <c r="F19" s="193">
        <v>44325</v>
      </c>
      <c r="G19" s="193">
        <v>52718</v>
      </c>
      <c r="H19" s="193">
        <v>85062</v>
      </c>
      <c r="I19" s="195">
        <v>29927</v>
      </c>
      <c r="J19" s="193">
        <v>46504</v>
      </c>
      <c r="K19" s="181">
        <v>59653</v>
      </c>
      <c r="L19" s="193">
        <v>47465</v>
      </c>
      <c r="M19" s="195">
        <v>3957</v>
      </c>
      <c r="N19" s="181">
        <v>13845</v>
      </c>
      <c r="O19" s="181">
        <v>25163</v>
      </c>
      <c r="P19" s="193">
        <v>35473</v>
      </c>
      <c r="Q19" s="195">
        <v>2340</v>
      </c>
      <c r="R19" s="193">
        <v>10886</v>
      </c>
      <c r="S19" s="193">
        <v>21271</v>
      </c>
      <c r="T19" s="193">
        <v>27139</v>
      </c>
      <c r="U19" s="195">
        <v>3113</v>
      </c>
      <c r="V19" s="193">
        <v>11142</v>
      </c>
      <c r="W19" s="193">
        <v>16705</v>
      </c>
      <c r="X19" s="193">
        <v>23171</v>
      </c>
      <c r="Y19" s="195">
        <v>1876</v>
      </c>
      <c r="Z19" s="193">
        <v>7984</v>
      </c>
      <c r="AA19" s="193">
        <v>12997</v>
      </c>
      <c r="AB19" s="193">
        <v>18326</v>
      </c>
      <c r="AC19" s="195">
        <v>2479</v>
      </c>
      <c r="AD19" s="193">
        <v>8087</v>
      </c>
      <c r="AE19" s="193">
        <v>11397</v>
      </c>
      <c r="AF19" s="193">
        <v>14794</v>
      </c>
      <c r="AG19" s="195">
        <v>2018</v>
      </c>
      <c r="AH19" s="193">
        <v>5646</v>
      </c>
      <c r="AI19" s="193">
        <v>10649</v>
      </c>
      <c r="AJ19" s="193">
        <v>13492</v>
      </c>
      <c r="AK19" s="195">
        <v>1663</v>
      </c>
      <c r="AL19" s="193">
        <v>6252</v>
      </c>
      <c r="AM19" s="193">
        <v>11130</v>
      </c>
      <c r="AN19" s="193">
        <v>13661</v>
      </c>
      <c r="AO19" s="195">
        <v>5170</v>
      </c>
    </row>
    <row r="20" spans="1:41">
      <c r="B20" s="221" t="s">
        <v>204</v>
      </c>
      <c r="C20" s="193">
        <v>56701</v>
      </c>
      <c r="D20" s="193">
        <v>62798</v>
      </c>
      <c r="E20" s="195">
        <v>55279</v>
      </c>
      <c r="F20" s="193">
        <v>65744</v>
      </c>
      <c r="G20" s="193">
        <v>60499</v>
      </c>
      <c r="H20" s="193">
        <v>28666</v>
      </c>
      <c r="I20" s="195">
        <v>22096</v>
      </c>
      <c r="J20" s="193">
        <v>57339</v>
      </c>
      <c r="K20" s="193">
        <v>56905</v>
      </c>
      <c r="L20" s="193">
        <v>45528</v>
      </c>
      <c r="M20" s="195">
        <v>28780</v>
      </c>
      <c r="N20" s="193">
        <v>35375</v>
      </c>
      <c r="O20" s="193">
        <v>38388</v>
      </c>
      <c r="P20" s="193">
        <v>17642</v>
      </c>
      <c r="Q20" s="195">
        <v>21047</v>
      </c>
      <c r="R20" s="193">
        <v>16683</v>
      </c>
      <c r="S20" s="193">
        <v>27127</v>
      </c>
      <c r="T20" s="193">
        <v>38883</v>
      </c>
      <c r="U20" s="195">
        <v>30692</v>
      </c>
      <c r="V20" s="193">
        <v>39803.521119999998</v>
      </c>
      <c r="W20" s="193">
        <v>37466.947809999998</v>
      </c>
      <c r="X20" s="193">
        <v>31972.706190000001</v>
      </c>
      <c r="Y20" s="195">
        <v>12488</v>
      </c>
      <c r="Z20" s="193">
        <v>13079</v>
      </c>
      <c r="AA20" s="193">
        <v>21142</v>
      </c>
      <c r="AB20" s="193">
        <v>58174</v>
      </c>
      <c r="AC20" s="195">
        <v>50347</v>
      </c>
      <c r="AD20" s="193">
        <v>36608</v>
      </c>
      <c r="AE20" s="193">
        <v>19416</v>
      </c>
      <c r="AF20" s="193">
        <v>20306</v>
      </c>
      <c r="AG20" s="195">
        <v>23461</v>
      </c>
      <c r="AH20" s="193">
        <v>23362</v>
      </c>
      <c r="AI20" s="193">
        <v>15739</v>
      </c>
      <c r="AJ20" s="193">
        <v>17390</v>
      </c>
      <c r="AK20" s="195">
        <v>17275</v>
      </c>
      <c r="AL20" s="193">
        <v>15070</v>
      </c>
      <c r="AM20" s="193">
        <v>19144</v>
      </c>
      <c r="AN20" s="193">
        <v>21091</v>
      </c>
      <c r="AO20" s="195">
        <v>17151</v>
      </c>
    </row>
    <row r="21" spans="1:41" ht="15">
      <c r="A21" s="196"/>
      <c r="B21" s="222" t="s">
        <v>205</v>
      </c>
      <c r="C21" s="223">
        <f t="shared" ref="C21:T21" si="32">C22+C30+C31+C32</f>
        <v>4950870</v>
      </c>
      <c r="D21" s="223">
        <f t="shared" si="32"/>
        <v>4928258</v>
      </c>
      <c r="E21" s="224">
        <f t="shared" si="32"/>
        <v>4774806</v>
      </c>
      <c r="F21" s="223">
        <f t="shared" si="32"/>
        <v>4571402</v>
      </c>
      <c r="G21" s="223">
        <f t="shared" si="32"/>
        <v>4463856</v>
      </c>
      <c r="H21" s="223">
        <f t="shared" si="32"/>
        <v>4418363</v>
      </c>
      <c r="I21" s="224">
        <f t="shared" si="32"/>
        <v>4178823</v>
      </c>
      <c r="J21" s="223">
        <f t="shared" si="32"/>
        <v>3949661</v>
      </c>
      <c r="K21" s="223">
        <f t="shared" si="32"/>
        <v>3783992</v>
      </c>
      <c r="L21" s="223">
        <f t="shared" si="32"/>
        <v>3561971</v>
      </c>
      <c r="M21" s="224">
        <f t="shared" si="32"/>
        <v>3352834</v>
      </c>
      <c r="N21" s="223">
        <f t="shared" si="32"/>
        <v>3548476</v>
      </c>
      <c r="O21" s="223">
        <f t="shared" si="32"/>
        <v>3489093</v>
      </c>
      <c r="P21" s="223">
        <f t="shared" si="32"/>
        <v>3436137</v>
      </c>
      <c r="Q21" s="224">
        <f t="shared" si="32"/>
        <v>3391370</v>
      </c>
      <c r="R21" s="223">
        <f t="shared" si="32"/>
        <v>3371109</v>
      </c>
      <c r="S21" s="223">
        <f t="shared" si="32"/>
        <v>3323985</v>
      </c>
      <c r="T21" s="223">
        <f t="shared" si="32"/>
        <v>3229349</v>
      </c>
      <c r="U21" s="224">
        <v>3405381</v>
      </c>
      <c r="V21" s="223">
        <f t="shared" ref="V21:AI21" si="33">V22+V30+V31+V32</f>
        <v>3279534</v>
      </c>
      <c r="W21" s="223">
        <f t="shared" si="33"/>
        <v>2658180</v>
      </c>
      <c r="X21" s="223">
        <f t="shared" si="33"/>
        <v>2660486</v>
      </c>
      <c r="Y21" s="224">
        <f t="shared" si="33"/>
        <v>2627678</v>
      </c>
      <c r="Z21" s="223">
        <f t="shared" si="33"/>
        <v>2636054</v>
      </c>
      <c r="AA21" s="223">
        <f t="shared" si="33"/>
        <v>2592196</v>
      </c>
      <c r="AB21" s="223">
        <f t="shared" si="33"/>
        <v>2597324</v>
      </c>
      <c r="AC21" s="224">
        <f t="shared" si="33"/>
        <v>2511041</v>
      </c>
      <c r="AD21" s="223">
        <f t="shared" si="33"/>
        <v>2379654</v>
      </c>
      <c r="AE21" s="223">
        <f t="shared" si="33"/>
        <v>2416346</v>
      </c>
      <c r="AF21" s="223">
        <f t="shared" si="33"/>
        <v>2415027</v>
      </c>
      <c r="AG21" s="224">
        <f t="shared" si="33"/>
        <v>2442527</v>
      </c>
      <c r="AH21" s="223">
        <f t="shared" si="33"/>
        <v>2230466</v>
      </c>
      <c r="AI21" s="223">
        <f t="shared" si="33"/>
        <v>2244174</v>
      </c>
      <c r="AJ21" s="223">
        <v>2316420</v>
      </c>
      <c r="AK21" s="224">
        <v>2356510</v>
      </c>
      <c r="AL21" s="223">
        <v>2369910</v>
      </c>
      <c r="AM21" s="223">
        <v>2372136</v>
      </c>
      <c r="AN21" s="223">
        <v>2390113</v>
      </c>
      <c r="AO21" s="224">
        <v>2386670</v>
      </c>
    </row>
    <row r="22" spans="1:41" ht="15.75" thickBot="1">
      <c r="A22" s="196"/>
      <c r="B22" s="225" t="s">
        <v>206</v>
      </c>
      <c r="C22" s="198">
        <f t="shared" ref="C22:T22" si="34">SUM(C23:C29)</f>
        <v>574103</v>
      </c>
      <c r="D22" s="198">
        <f t="shared" si="34"/>
        <v>591855</v>
      </c>
      <c r="E22" s="200">
        <f t="shared" si="34"/>
        <v>585316</v>
      </c>
      <c r="F22" s="198">
        <f t="shared" si="34"/>
        <v>601521</v>
      </c>
      <c r="G22" s="198">
        <f t="shared" si="34"/>
        <v>607903</v>
      </c>
      <c r="H22" s="198">
        <f t="shared" si="34"/>
        <v>623338</v>
      </c>
      <c r="I22" s="200">
        <f t="shared" si="34"/>
        <v>586568</v>
      </c>
      <c r="J22" s="198">
        <f t="shared" si="34"/>
        <v>671183</v>
      </c>
      <c r="K22" s="198">
        <f t="shared" si="34"/>
        <v>672900</v>
      </c>
      <c r="L22" s="198">
        <f t="shared" si="34"/>
        <v>651248</v>
      </c>
      <c r="M22" s="200">
        <f t="shared" si="34"/>
        <v>642465</v>
      </c>
      <c r="N22" s="198">
        <f t="shared" si="34"/>
        <v>672481</v>
      </c>
      <c r="O22" s="198">
        <f t="shared" si="34"/>
        <v>657767</v>
      </c>
      <c r="P22" s="198">
        <f t="shared" si="34"/>
        <v>648841</v>
      </c>
      <c r="Q22" s="200">
        <f t="shared" si="34"/>
        <v>620445</v>
      </c>
      <c r="R22" s="198">
        <f t="shared" si="34"/>
        <v>642016</v>
      </c>
      <c r="S22" s="198">
        <f t="shared" si="34"/>
        <v>758091</v>
      </c>
      <c r="T22" s="198">
        <f t="shared" si="34"/>
        <v>735015</v>
      </c>
      <c r="U22" s="200">
        <v>832583</v>
      </c>
      <c r="V22" s="198">
        <f t="shared" ref="V22:AI22" si="35">SUM(V23:V29)</f>
        <v>801780</v>
      </c>
      <c r="W22" s="198">
        <f t="shared" si="35"/>
        <v>271334</v>
      </c>
      <c r="X22" s="198">
        <f t="shared" si="35"/>
        <v>291668</v>
      </c>
      <c r="Y22" s="200">
        <f t="shared" si="35"/>
        <v>313429</v>
      </c>
      <c r="Z22" s="198">
        <f t="shared" si="35"/>
        <v>315297</v>
      </c>
      <c r="AA22" s="198">
        <f t="shared" si="35"/>
        <v>316489</v>
      </c>
      <c r="AB22" s="198">
        <f t="shared" si="35"/>
        <v>305727</v>
      </c>
      <c r="AC22" s="200">
        <f t="shared" si="35"/>
        <v>306504</v>
      </c>
      <c r="AD22" s="198">
        <f t="shared" si="35"/>
        <v>210950</v>
      </c>
      <c r="AE22" s="198">
        <f t="shared" si="35"/>
        <v>208593</v>
      </c>
      <c r="AF22" s="198">
        <f t="shared" si="35"/>
        <v>219568</v>
      </c>
      <c r="AG22" s="200">
        <f t="shared" si="35"/>
        <v>223849</v>
      </c>
      <c r="AH22" s="198">
        <f t="shared" si="35"/>
        <v>125411</v>
      </c>
      <c r="AI22" s="198">
        <f t="shared" si="35"/>
        <v>141511</v>
      </c>
      <c r="AJ22" s="198">
        <v>150948</v>
      </c>
      <c r="AK22" s="200">
        <f>SUM(AK23:AK29)</f>
        <v>157426</v>
      </c>
      <c r="AL22" s="198">
        <f>SUM(AL23:AL29)</f>
        <v>177416</v>
      </c>
      <c r="AM22" s="198">
        <f>SUM(AM23:AM29)</f>
        <v>175003</v>
      </c>
      <c r="AN22" s="198">
        <f>SUM(AN23:AN29)</f>
        <v>178707</v>
      </c>
      <c r="AO22" s="200">
        <f>SUM(AO23:AO29)</f>
        <v>151602</v>
      </c>
    </row>
    <row r="23" spans="1:41" ht="15" thickTop="1">
      <c r="B23" s="221" t="s">
        <v>199</v>
      </c>
      <c r="C23" s="193">
        <v>4078</v>
      </c>
      <c r="D23" s="193">
        <v>4078</v>
      </c>
      <c r="E23" s="195">
        <v>4078</v>
      </c>
      <c r="F23" s="193">
        <v>4078</v>
      </c>
      <c r="G23" s="193">
        <v>4078</v>
      </c>
      <c r="H23" s="193">
        <v>0</v>
      </c>
      <c r="I23" s="195">
        <v>0</v>
      </c>
      <c r="J23" s="193">
        <v>8458</v>
      </c>
      <c r="K23" s="193">
        <v>8470</v>
      </c>
      <c r="L23" s="193">
        <v>8390</v>
      </c>
      <c r="M23" s="195">
        <v>7872</v>
      </c>
      <c r="N23" s="193">
        <v>0</v>
      </c>
      <c r="O23" s="193">
        <v>0</v>
      </c>
      <c r="P23" s="193">
        <v>0</v>
      </c>
      <c r="Q23" s="195">
        <v>0</v>
      </c>
      <c r="R23" s="193">
        <v>0</v>
      </c>
      <c r="S23" s="193">
        <v>0</v>
      </c>
      <c r="T23" s="193">
        <v>0</v>
      </c>
      <c r="U23" s="195">
        <v>0</v>
      </c>
      <c r="V23" s="193">
        <v>0</v>
      </c>
      <c r="W23" s="193">
        <v>0</v>
      </c>
      <c r="X23" s="193">
        <v>0</v>
      </c>
      <c r="Y23" s="195">
        <v>0</v>
      </c>
      <c r="Z23" s="193">
        <v>0</v>
      </c>
      <c r="AA23" s="193">
        <v>0</v>
      </c>
      <c r="AB23" s="193">
        <v>0</v>
      </c>
      <c r="AC23" s="195">
        <v>0</v>
      </c>
      <c r="AD23" s="193">
        <v>0</v>
      </c>
      <c r="AE23" s="193">
        <v>0</v>
      </c>
      <c r="AF23" s="193">
        <v>0</v>
      </c>
      <c r="AG23" s="195">
        <v>0</v>
      </c>
      <c r="AH23" s="193">
        <v>0</v>
      </c>
      <c r="AI23" s="193">
        <v>0</v>
      </c>
      <c r="AJ23" s="193">
        <v>0</v>
      </c>
      <c r="AK23" s="195">
        <v>0</v>
      </c>
      <c r="AL23" s="193" t="s">
        <v>157</v>
      </c>
      <c r="AM23" s="193">
        <v>0</v>
      </c>
      <c r="AN23" s="193">
        <v>0</v>
      </c>
      <c r="AO23" s="195">
        <v>0</v>
      </c>
    </row>
    <row r="24" spans="1:41">
      <c r="B24" s="220" t="s">
        <v>201</v>
      </c>
      <c r="C24" s="193">
        <v>443939</v>
      </c>
      <c r="D24" s="193">
        <v>459507</v>
      </c>
      <c r="E24" s="195">
        <v>464311</v>
      </c>
      <c r="F24" s="193">
        <v>479376</v>
      </c>
      <c r="G24" s="193">
        <v>481746</v>
      </c>
      <c r="H24" s="193">
        <v>499633</v>
      </c>
      <c r="I24" s="195">
        <v>476989</v>
      </c>
      <c r="J24" s="193">
        <v>555943</v>
      </c>
      <c r="K24" s="193">
        <v>556196</v>
      </c>
      <c r="L24" s="193">
        <v>532062</v>
      </c>
      <c r="M24" s="195">
        <v>532782</v>
      </c>
      <c r="N24" s="193">
        <v>564646</v>
      </c>
      <c r="O24" s="193">
        <v>544261</v>
      </c>
      <c r="P24" s="193">
        <v>533211</v>
      </c>
      <c r="Q24" s="195">
        <v>522120</v>
      </c>
      <c r="R24" s="193">
        <v>510628</v>
      </c>
      <c r="S24" s="193">
        <v>615188</v>
      </c>
      <c r="T24" s="193">
        <v>604216</v>
      </c>
      <c r="U24" s="195">
        <v>693891</v>
      </c>
      <c r="V24" s="193">
        <v>671488</v>
      </c>
      <c r="W24" s="193">
        <v>15042</v>
      </c>
      <c r="X24" s="193">
        <v>15040</v>
      </c>
      <c r="Y24" s="195">
        <v>15073</v>
      </c>
      <c r="Z24" s="193">
        <v>12205</v>
      </c>
      <c r="AA24" s="193">
        <v>12115</v>
      </c>
      <c r="AB24" s="193">
        <v>11325</v>
      </c>
      <c r="AC24" s="195">
        <v>11318</v>
      </c>
      <c r="AD24" s="193">
        <v>14730</v>
      </c>
      <c r="AE24" s="193">
        <v>10432</v>
      </c>
      <c r="AF24" s="193">
        <v>12552</v>
      </c>
      <c r="AG24" s="195">
        <v>15848</v>
      </c>
      <c r="AH24" s="193">
        <v>10905</v>
      </c>
      <c r="AI24" s="193">
        <v>13087</v>
      </c>
      <c r="AJ24" s="193">
        <v>17212</v>
      </c>
      <c r="AK24" s="195">
        <v>21675</v>
      </c>
      <c r="AL24" s="193">
        <v>24811</v>
      </c>
      <c r="AM24" s="193">
        <v>29267</v>
      </c>
      <c r="AN24" s="193">
        <v>20208</v>
      </c>
      <c r="AO24" s="195">
        <v>17193</v>
      </c>
    </row>
    <row r="25" spans="1:41">
      <c r="B25" s="221" t="s">
        <v>202</v>
      </c>
      <c r="C25" s="193">
        <v>85050</v>
      </c>
      <c r="D25" s="193">
        <v>86874</v>
      </c>
      <c r="E25" s="195">
        <v>74569</v>
      </c>
      <c r="F25" s="193">
        <v>76319</v>
      </c>
      <c r="G25" s="193">
        <v>79925</v>
      </c>
      <c r="H25" s="193">
        <v>82056</v>
      </c>
      <c r="I25" s="195">
        <v>72226</v>
      </c>
      <c r="J25" s="193">
        <v>70179</v>
      </c>
      <c r="K25" s="193">
        <v>71872</v>
      </c>
      <c r="L25" s="193">
        <v>74936</v>
      </c>
      <c r="M25" s="195">
        <v>66222</v>
      </c>
      <c r="N25" s="193">
        <v>72603</v>
      </c>
      <c r="O25" s="193">
        <v>78994</v>
      </c>
      <c r="P25" s="193">
        <v>81639</v>
      </c>
      <c r="Q25" s="195">
        <v>63528</v>
      </c>
      <c r="R25" s="193">
        <v>66678</v>
      </c>
      <c r="S25" s="193">
        <v>71337</v>
      </c>
      <c r="T25" s="193">
        <v>60741</v>
      </c>
      <c r="U25" s="195">
        <v>62657</v>
      </c>
      <c r="V25" s="193">
        <v>63532</v>
      </c>
      <c r="W25" s="193">
        <v>60405</v>
      </c>
      <c r="X25" s="193">
        <v>68511</v>
      </c>
      <c r="Y25" s="195">
        <v>69714</v>
      </c>
      <c r="Z25" s="193">
        <v>61671</v>
      </c>
      <c r="AA25" s="193">
        <v>70241</v>
      </c>
      <c r="AB25" s="193">
        <v>54729</v>
      </c>
      <c r="AC25" s="195">
        <v>52923</v>
      </c>
      <c r="AD25" s="193">
        <v>44762</v>
      </c>
      <c r="AE25" s="193">
        <v>46532</v>
      </c>
      <c r="AF25" s="193">
        <v>49892</v>
      </c>
      <c r="AG25" s="195">
        <v>43819</v>
      </c>
      <c r="AH25" s="193">
        <v>40568</v>
      </c>
      <c r="AI25" s="193">
        <v>42350</v>
      </c>
      <c r="AJ25" s="193">
        <v>41774</v>
      </c>
      <c r="AK25" s="195">
        <v>40812</v>
      </c>
      <c r="AL25" s="193">
        <v>41273</v>
      </c>
      <c r="AM25" s="193">
        <v>38317</v>
      </c>
      <c r="AN25" s="193">
        <v>42167</v>
      </c>
      <c r="AO25" s="195">
        <v>39740</v>
      </c>
    </row>
    <row r="26" spans="1:41">
      <c r="B26" s="221" t="s">
        <v>218</v>
      </c>
      <c r="C26" s="193">
        <v>30962</v>
      </c>
      <c r="D26" s="193">
        <v>31247</v>
      </c>
      <c r="E26" s="195">
        <v>31491</v>
      </c>
      <c r="F26" s="193">
        <v>29430</v>
      </c>
      <c r="G26" s="193">
        <v>28882</v>
      </c>
      <c r="H26" s="193">
        <v>28390</v>
      </c>
      <c r="I26" s="195">
        <v>27837</v>
      </c>
      <c r="J26" s="193">
        <v>27496</v>
      </c>
      <c r="K26" s="193">
        <v>27089</v>
      </c>
      <c r="L26" s="193">
        <v>26700</v>
      </c>
      <c r="M26" s="195">
        <v>26296</v>
      </c>
      <c r="N26" s="193">
        <v>25876</v>
      </c>
      <c r="O26" s="193">
        <v>25923</v>
      </c>
      <c r="P26" s="193">
        <v>25376</v>
      </c>
      <c r="Q26" s="195">
        <v>26151</v>
      </c>
      <c r="R26" s="193">
        <v>25638</v>
      </c>
      <c r="S26" s="193">
        <v>35102</v>
      </c>
      <c r="T26" s="193">
        <v>34484</v>
      </c>
      <c r="U26" s="195">
        <v>34232</v>
      </c>
      <c r="V26" s="193">
        <v>27181</v>
      </c>
      <c r="W26" s="193">
        <v>53510</v>
      </c>
      <c r="X26" s="193">
        <v>53302</v>
      </c>
      <c r="Y26" s="195">
        <v>53361</v>
      </c>
      <c r="Z26" s="193">
        <v>47270</v>
      </c>
      <c r="AA26" s="193">
        <v>47305</v>
      </c>
      <c r="AB26" s="193">
        <v>47305</v>
      </c>
      <c r="AC26" s="195">
        <v>47305</v>
      </c>
      <c r="AD26" s="193">
        <v>47305</v>
      </c>
      <c r="AE26" s="193">
        <v>41028</v>
      </c>
      <c r="AF26" s="193">
        <v>41028</v>
      </c>
      <c r="AG26" s="195">
        <v>41436</v>
      </c>
      <c r="AH26" s="193">
        <v>42383</v>
      </c>
      <c r="AI26" s="193">
        <v>42383</v>
      </c>
      <c r="AJ26" s="193">
        <v>42383</v>
      </c>
      <c r="AK26" s="195">
        <v>43164</v>
      </c>
      <c r="AL26" s="193">
        <v>50567</v>
      </c>
      <c r="AM26" s="193">
        <v>49955</v>
      </c>
      <c r="AN26" s="193">
        <v>49264</v>
      </c>
      <c r="AO26" s="195">
        <v>48481</v>
      </c>
    </row>
    <row r="27" spans="1:41">
      <c r="B27" s="220" t="s">
        <v>222</v>
      </c>
      <c r="C27" s="193">
        <v>0</v>
      </c>
      <c r="D27" s="193">
        <v>0</v>
      </c>
      <c r="E27" s="195">
        <v>382</v>
      </c>
      <c r="F27" s="193">
        <v>478</v>
      </c>
      <c r="G27" s="193">
        <v>457</v>
      </c>
      <c r="H27" s="193">
        <v>288</v>
      </c>
      <c r="I27" s="195">
        <v>220</v>
      </c>
      <c r="J27" s="193">
        <v>0</v>
      </c>
      <c r="K27" s="193">
        <v>0</v>
      </c>
      <c r="L27" s="193">
        <v>0</v>
      </c>
      <c r="M27" s="195">
        <v>0</v>
      </c>
      <c r="N27" s="193">
        <v>0</v>
      </c>
      <c r="O27" s="193">
        <v>0</v>
      </c>
      <c r="P27" s="193">
        <v>0</v>
      </c>
      <c r="Q27" s="195">
        <v>0</v>
      </c>
      <c r="R27" s="193">
        <v>0</v>
      </c>
      <c r="S27" s="193">
        <v>0</v>
      </c>
      <c r="T27" s="193">
        <v>0</v>
      </c>
      <c r="U27" s="195">
        <v>0</v>
      </c>
      <c r="V27" s="193">
        <v>0</v>
      </c>
      <c r="W27" s="193">
        <v>104101</v>
      </c>
      <c r="X27" s="193">
        <v>117391</v>
      </c>
      <c r="Y27" s="195">
        <v>142971</v>
      </c>
      <c r="Z27" s="193">
        <v>164202</v>
      </c>
      <c r="AA27" s="193">
        <v>164208</v>
      </c>
      <c r="AB27" s="193">
        <v>169749</v>
      </c>
      <c r="AC27" s="195">
        <v>172339</v>
      </c>
      <c r="AD27" s="193">
        <v>81534</v>
      </c>
      <c r="AE27" s="193">
        <v>87979</v>
      </c>
      <c r="AF27" s="193">
        <v>93474</v>
      </c>
      <c r="AG27" s="195">
        <v>100123</v>
      </c>
      <c r="AH27" s="193">
        <v>0</v>
      </c>
      <c r="AI27" s="193">
        <v>10806</v>
      </c>
      <c r="AJ27" s="193">
        <v>17757</v>
      </c>
      <c r="AK27" s="195">
        <v>19773</v>
      </c>
      <c r="AL27" s="193">
        <v>27520</v>
      </c>
      <c r="AM27" s="193">
        <v>23981</v>
      </c>
      <c r="AN27" s="193">
        <v>33536</v>
      </c>
      <c r="AO27" s="195">
        <v>11586</v>
      </c>
    </row>
    <row r="28" spans="1:41">
      <c r="B28" s="221" t="s">
        <v>203</v>
      </c>
      <c r="C28" s="193">
        <v>370</v>
      </c>
      <c r="D28" s="193">
        <v>445</v>
      </c>
      <c r="E28" s="195">
        <v>745</v>
      </c>
      <c r="F28" s="193">
        <v>2670</v>
      </c>
      <c r="G28" s="193">
        <v>723</v>
      </c>
      <c r="H28" s="193">
        <v>3762</v>
      </c>
      <c r="I28" s="195"/>
      <c r="J28" s="193"/>
      <c r="K28" s="193"/>
      <c r="L28" s="193"/>
      <c r="M28" s="195"/>
      <c r="N28" s="193"/>
      <c r="O28" s="193"/>
      <c r="P28" s="193"/>
      <c r="Q28" s="195"/>
      <c r="R28" s="193"/>
      <c r="S28" s="193"/>
      <c r="T28" s="193"/>
      <c r="U28" s="195"/>
      <c r="V28" s="193"/>
      <c r="W28" s="193"/>
      <c r="X28" s="193"/>
      <c r="Y28" s="195"/>
      <c r="Z28" s="193"/>
      <c r="AA28" s="193"/>
      <c r="AB28" s="193"/>
      <c r="AC28" s="195"/>
      <c r="AD28" s="193"/>
      <c r="AE28" s="193"/>
      <c r="AF28" s="193"/>
      <c r="AG28" s="195"/>
      <c r="AH28" s="193"/>
      <c r="AI28" s="193"/>
      <c r="AJ28" s="193"/>
      <c r="AK28" s="195"/>
      <c r="AL28" s="193"/>
      <c r="AM28" s="193"/>
      <c r="AN28" s="193"/>
      <c r="AO28" s="195"/>
    </row>
    <row r="29" spans="1:41">
      <c r="B29" s="221" t="s">
        <v>231</v>
      </c>
      <c r="C29" s="193">
        <v>9704</v>
      </c>
      <c r="D29" s="193">
        <v>9704</v>
      </c>
      <c r="E29" s="195">
        <v>9740</v>
      </c>
      <c r="F29" s="193">
        <v>9170</v>
      </c>
      <c r="G29" s="193">
        <f>9189+2903</f>
        <v>12092</v>
      </c>
      <c r="H29" s="193">
        <v>9209</v>
      </c>
      <c r="I29" s="195">
        <v>9296</v>
      </c>
      <c r="J29" s="193">
        <v>9107</v>
      </c>
      <c r="K29" s="193">
        <v>9273</v>
      </c>
      <c r="L29" s="193">
        <v>9160</v>
      </c>
      <c r="M29" s="195">
        <v>9293</v>
      </c>
      <c r="N29" s="193">
        <v>9356</v>
      </c>
      <c r="O29" s="193">
        <v>8589</v>
      </c>
      <c r="P29" s="193">
        <v>8615</v>
      </c>
      <c r="Q29" s="195">
        <v>8646</v>
      </c>
      <c r="R29" s="193">
        <v>39072</v>
      </c>
      <c r="S29" s="193">
        <v>36464</v>
      </c>
      <c r="T29" s="193">
        <v>35574</v>
      </c>
      <c r="U29" s="195">
        <v>41803</v>
      </c>
      <c r="V29" s="193">
        <v>39579</v>
      </c>
      <c r="W29" s="193">
        <v>38276</v>
      </c>
      <c r="X29" s="193">
        <v>37424</v>
      </c>
      <c r="Y29" s="195">
        <v>32310</v>
      </c>
      <c r="Z29" s="193">
        <v>29949</v>
      </c>
      <c r="AA29" s="193">
        <v>22620</v>
      </c>
      <c r="AB29" s="193">
        <v>22619</v>
      </c>
      <c r="AC29" s="195">
        <v>22619</v>
      </c>
      <c r="AD29" s="193">
        <v>22619</v>
      </c>
      <c r="AE29" s="193">
        <v>22622</v>
      </c>
      <c r="AF29" s="193">
        <v>22622</v>
      </c>
      <c r="AG29" s="195">
        <v>22623</v>
      </c>
      <c r="AH29" s="193">
        <v>31555</v>
      </c>
      <c r="AI29" s="193">
        <v>32885</v>
      </c>
      <c r="AJ29" s="193">
        <v>31822</v>
      </c>
      <c r="AK29" s="195">
        <v>32002</v>
      </c>
      <c r="AL29" s="193">
        <v>33245</v>
      </c>
      <c r="AM29" s="193">
        <v>33483</v>
      </c>
      <c r="AN29" s="193">
        <f>10921+22611</f>
        <v>33532</v>
      </c>
      <c r="AO29" s="195">
        <f>11991+22611</f>
        <v>34602</v>
      </c>
    </row>
    <row r="30" spans="1:41" ht="15.75" thickBot="1">
      <c r="A30" s="196"/>
      <c r="B30" s="225" t="s">
        <v>208</v>
      </c>
      <c r="C30" s="198">
        <v>153398</v>
      </c>
      <c r="D30" s="198">
        <v>158886</v>
      </c>
      <c r="E30" s="200">
        <v>165933</v>
      </c>
      <c r="F30" s="198">
        <v>166162</v>
      </c>
      <c r="G30" s="198">
        <v>167370</v>
      </c>
      <c r="H30" s="198">
        <v>191933</v>
      </c>
      <c r="I30" s="200">
        <v>194739</v>
      </c>
      <c r="J30" s="198">
        <v>177478</v>
      </c>
      <c r="K30" s="198">
        <v>179738</v>
      </c>
      <c r="L30" s="198">
        <v>182907</v>
      </c>
      <c r="M30" s="200">
        <v>190370</v>
      </c>
      <c r="N30" s="198">
        <v>191378</v>
      </c>
      <c r="O30" s="198">
        <v>188567</v>
      </c>
      <c r="P30" s="198">
        <v>192929</v>
      </c>
      <c r="Q30" s="200">
        <v>192650</v>
      </c>
      <c r="R30" s="198">
        <v>185676</v>
      </c>
      <c r="S30" s="198">
        <v>107644</v>
      </c>
      <c r="T30" s="198">
        <v>101207</v>
      </c>
      <c r="U30" s="200">
        <v>104995</v>
      </c>
      <c r="V30" s="198">
        <v>103501</v>
      </c>
      <c r="W30" s="198">
        <v>89211</v>
      </c>
      <c r="X30" s="198">
        <v>76799</v>
      </c>
      <c r="Y30" s="200">
        <v>66961</v>
      </c>
      <c r="Z30" s="198">
        <v>61850</v>
      </c>
      <c r="AA30" s="198">
        <v>16613</v>
      </c>
      <c r="AB30" s="198">
        <v>16682</v>
      </c>
      <c r="AC30" s="200">
        <v>13325</v>
      </c>
      <c r="AD30" s="198">
        <v>9246</v>
      </c>
      <c r="AE30" s="198">
        <v>11445</v>
      </c>
      <c r="AF30" s="198">
        <v>9337</v>
      </c>
      <c r="AG30" s="200">
        <v>12594</v>
      </c>
      <c r="AH30" s="198">
        <v>11475</v>
      </c>
      <c r="AI30" s="198">
        <v>15379</v>
      </c>
      <c r="AJ30" s="198">
        <v>20861</v>
      </c>
      <c r="AK30" s="200">
        <v>21817</v>
      </c>
      <c r="AL30" s="198">
        <v>21976</v>
      </c>
      <c r="AM30" s="198">
        <v>23895</v>
      </c>
      <c r="AN30" s="198">
        <v>26064</v>
      </c>
      <c r="AO30" s="200">
        <v>25354</v>
      </c>
    </row>
    <row r="31" spans="1:41" ht="16.5" thickTop="1" thickBot="1">
      <c r="A31" s="196"/>
      <c r="B31" s="226" t="s">
        <v>209</v>
      </c>
      <c r="C31" s="198">
        <v>3922795</v>
      </c>
      <c r="D31" s="198">
        <v>3874552</v>
      </c>
      <c r="E31" s="428">
        <f>3715614+9623</f>
        <v>3725237</v>
      </c>
      <c r="F31" s="198">
        <v>3503181</v>
      </c>
      <c r="G31" s="198">
        <v>3383070</v>
      </c>
      <c r="H31" s="198">
        <v>3294785</v>
      </c>
      <c r="I31" s="428">
        <v>3088941</v>
      </c>
      <c r="J31" s="198">
        <v>2789112</v>
      </c>
      <c r="K31" s="198">
        <v>2615831</v>
      </c>
      <c r="L31" s="198">
        <v>2409096</v>
      </c>
      <c r="M31" s="200">
        <v>2206862</v>
      </c>
      <c r="N31" s="198">
        <v>2368051</v>
      </c>
      <c r="O31" s="198">
        <v>2326820</v>
      </c>
      <c r="P31" s="198">
        <v>2278610</v>
      </c>
      <c r="Q31" s="200">
        <v>2280362</v>
      </c>
      <c r="R31" s="198">
        <v>2243779</v>
      </c>
      <c r="S31" s="198">
        <v>2155841</v>
      </c>
      <c r="T31" s="198">
        <v>2088202</v>
      </c>
      <c r="U31" s="200">
        <v>2159924</v>
      </c>
      <c r="V31" s="198">
        <v>2078614</v>
      </c>
      <c r="W31" s="198">
        <v>2000666</v>
      </c>
      <c r="X31" s="198">
        <v>1992877</v>
      </c>
      <c r="Y31" s="200">
        <v>1949684</v>
      </c>
      <c r="Z31" s="198">
        <v>1958312</v>
      </c>
      <c r="AA31" s="198">
        <v>1957953</v>
      </c>
      <c r="AB31" s="198">
        <v>1974462</v>
      </c>
      <c r="AC31" s="200">
        <v>1890717</v>
      </c>
      <c r="AD31" s="198">
        <v>1860209</v>
      </c>
      <c r="AE31" s="198">
        <v>1894491</v>
      </c>
      <c r="AF31" s="198">
        <v>1889210</v>
      </c>
      <c r="AG31" s="200">
        <v>1906835</v>
      </c>
      <c r="AH31" s="198">
        <v>1812183</v>
      </c>
      <c r="AI31" s="198">
        <v>1803469</v>
      </c>
      <c r="AJ31" s="198">
        <v>1859384</v>
      </c>
      <c r="AK31" s="200">
        <v>1890682</v>
      </c>
      <c r="AL31" s="198">
        <v>1882861</v>
      </c>
      <c r="AM31" s="198">
        <v>1884150</v>
      </c>
      <c r="AN31" s="198">
        <v>1895193</v>
      </c>
      <c r="AO31" s="200">
        <v>1918649</v>
      </c>
    </row>
    <row r="32" spans="1:41" ht="15.75" thickTop="1">
      <c r="A32" s="196"/>
      <c r="B32" s="227" t="s">
        <v>210</v>
      </c>
      <c r="C32" s="211">
        <v>300574</v>
      </c>
      <c r="D32" s="211">
        <v>302965</v>
      </c>
      <c r="E32" s="213">
        <v>298320</v>
      </c>
      <c r="F32" s="211">
        <v>300538</v>
      </c>
      <c r="G32" s="211">
        <v>305513</v>
      </c>
      <c r="H32" s="211">
        <v>308307</v>
      </c>
      <c r="I32" s="213">
        <v>308575</v>
      </c>
      <c r="J32" s="211">
        <v>311888</v>
      </c>
      <c r="K32" s="211">
        <v>315523</v>
      </c>
      <c r="L32" s="211">
        <v>318720</v>
      </c>
      <c r="M32" s="213">
        <v>313137</v>
      </c>
      <c r="N32" s="211">
        <v>316566</v>
      </c>
      <c r="O32" s="211">
        <v>315939</v>
      </c>
      <c r="P32" s="211">
        <v>315757</v>
      </c>
      <c r="Q32" s="213">
        <v>297913</v>
      </c>
      <c r="R32" s="211">
        <v>299638</v>
      </c>
      <c r="S32" s="211">
        <v>302409</v>
      </c>
      <c r="T32" s="211">
        <v>304925</v>
      </c>
      <c r="U32" s="213">
        <v>307879</v>
      </c>
      <c r="V32" s="211">
        <v>295639</v>
      </c>
      <c r="W32" s="211">
        <v>296969</v>
      </c>
      <c r="X32" s="211">
        <v>299142</v>
      </c>
      <c r="Y32" s="213">
        <v>297604</v>
      </c>
      <c r="Z32" s="211">
        <v>300595</v>
      </c>
      <c r="AA32" s="211">
        <v>301141</v>
      </c>
      <c r="AB32" s="211">
        <v>300453</v>
      </c>
      <c r="AC32" s="213">
        <v>300495</v>
      </c>
      <c r="AD32" s="211">
        <v>299249</v>
      </c>
      <c r="AE32" s="211">
        <v>301817</v>
      </c>
      <c r="AF32" s="211">
        <v>296912</v>
      </c>
      <c r="AG32" s="213">
        <v>299249</v>
      </c>
      <c r="AH32" s="211">
        <v>281397</v>
      </c>
      <c r="AI32" s="211">
        <v>283815</v>
      </c>
      <c r="AJ32" s="211">
        <v>285227</v>
      </c>
      <c r="AK32" s="213">
        <v>286585</v>
      </c>
      <c r="AL32" s="211">
        <v>287657</v>
      </c>
      <c r="AM32" s="211">
        <v>289088</v>
      </c>
      <c r="AN32" s="211">
        <v>290149</v>
      </c>
      <c r="AO32" s="213">
        <v>291065</v>
      </c>
    </row>
    <row r="33" spans="1:41" ht="16.5" customHeight="1">
      <c r="A33" s="191"/>
      <c r="B33" s="447" t="s">
        <v>372</v>
      </c>
      <c r="C33" s="443" t="s">
        <v>460</v>
      </c>
      <c r="D33" s="443" t="s">
        <v>455</v>
      </c>
      <c r="E33" s="445" t="s">
        <v>452</v>
      </c>
      <c r="F33" s="443" t="s">
        <v>447</v>
      </c>
      <c r="G33" s="443" t="s">
        <v>444</v>
      </c>
      <c r="H33" s="443" t="s">
        <v>440</v>
      </c>
      <c r="I33" s="445" t="s">
        <v>434</v>
      </c>
      <c r="J33" s="443" t="s">
        <v>430</v>
      </c>
      <c r="K33" s="443" t="s">
        <v>427</v>
      </c>
      <c r="L33" s="443" t="s">
        <v>417</v>
      </c>
      <c r="M33" s="445" t="s">
        <v>407</v>
      </c>
      <c r="N33" s="443" t="s">
        <v>401</v>
      </c>
      <c r="O33" s="443" t="s">
        <v>398</v>
      </c>
      <c r="P33" s="443" t="s">
        <v>392</v>
      </c>
      <c r="Q33" s="445" t="s">
        <v>388</v>
      </c>
      <c r="R33" s="443" t="s">
        <v>382</v>
      </c>
      <c r="S33" s="443" t="s">
        <v>362</v>
      </c>
      <c r="T33" s="443" t="s">
        <v>360</v>
      </c>
      <c r="U33" s="446" t="s">
        <v>355</v>
      </c>
      <c r="V33" s="443" t="s">
        <v>348</v>
      </c>
      <c r="W33" s="443" t="s">
        <v>344</v>
      </c>
      <c r="X33" s="443" t="s">
        <v>341</v>
      </c>
      <c r="Y33" s="446">
        <v>44196</v>
      </c>
      <c r="Z33" s="444">
        <v>44104</v>
      </c>
      <c r="AA33" s="443" t="s">
        <v>329</v>
      </c>
      <c r="AB33" s="443" t="s">
        <v>330</v>
      </c>
      <c r="AC33" s="446">
        <v>43830</v>
      </c>
      <c r="AD33" s="444">
        <v>43738</v>
      </c>
      <c r="AE33" s="444">
        <v>43646</v>
      </c>
      <c r="AF33" s="444">
        <v>43555</v>
      </c>
      <c r="AG33" s="446">
        <v>43465</v>
      </c>
      <c r="AH33" s="444">
        <v>43373</v>
      </c>
      <c r="AI33" s="444">
        <v>43281</v>
      </c>
      <c r="AJ33" s="444">
        <v>43190</v>
      </c>
      <c r="AK33" s="446">
        <v>43100</v>
      </c>
      <c r="AL33" s="444">
        <v>43008</v>
      </c>
      <c r="AM33" s="444">
        <v>42916</v>
      </c>
      <c r="AN33" s="444">
        <v>42825</v>
      </c>
      <c r="AO33" s="446">
        <v>42735</v>
      </c>
    </row>
    <row r="34" spans="1:41" ht="15" customHeight="1">
      <c r="A34" s="191"/>
      <c r="B34" s="447"/>
      <c r="C34" s="443"/>
      <c r="D34" s="443"/>
      <c r="E34" s="445"/>
      <c r="F34" s="443"/>
      <c r="G34" s="443"/>
      <c r="H34" s="443"/>
      <c r="I34" s="445"/>
      <c r="J34" s="443"/>
      <c r="K34" s="443"/>
      <c r="L34" s="443"/>
      <c r="M34" s="445"/>
      <c r="N34" s="443"/>
      <c r="O34" s="443"/>
      <c r="P34" s="443"/>
      <c r="Q34" s="445"/>
      <c r="R34" s="443"/>
      <c r="S34" s="443"/>
      <c r="T34" s="443"/>
      <c r="U34" s="446"/>
      <c r="V34" s="443"/>
      <c r="W34" s="443"/>
      <c r="X34" s="443"/>
      <c r="Y34" s="446"/>
      <c r="Z34" s="444"/>
      <c r="AA34" s="443"/>
      <c r="AB34" s="443"/>
      <c r="AC34" s="446"/>
      <c r="AD34" s="444"/>
      <c r="AE34" s="444"/>
      <c r="AF34" s="444"/>
      <c r="AG34" s="446"/>
      <c r="AH34" s="444"/>
      <c r="AI34" s="444"/>
      <c r="AJ34" s="444"/>
      <c r="AK34" s="446"/>
      <c r="AL34" s="444"/>
      <c r="AM34" s="444"/>
      <c r="AN34" s="444"/>
      <c r="AO34" s="446"/>
    </row>
    <row r="35" spans="1:41" ht="15">
      <c r="A35" s="196"/>
      <c r="B35" s="218" t="s">
        <v>211</v>
      </c>
      <c r="C35" s="211">
        <f t="shared" ref="C35:T35" si="36">C36+C48+C56</f>
        <v>7759771</v>
      </c>
      <c r="D35" s="211">
        <f t="shared" si="36"/>
        <v>7460029</v>
      </c>
      <c r="E35" s="213">
        <f t="shared" si="36"/>
        <v>7234816</v>
      </c>
      <c r="F35" s="211">
        <f t="shared" si="36"/>
        <v>7633811</v>
      </c>
      <c r="G35" s="211">
        <f t="shared" si="36"/>
        <v>7539380</v>
      </c>
      <c r="H35" s="211">
        <f t="shared" si="36"/>
        <v>7280912</v>
      </c>
      <c r="I35" s="213">
        <f t="shared" si="36"/>
        <v>7111788.5999999996</v>
      </c>
      <c r="J35" s="211">
        <f t="shared" si="36"/>
        <v>7582968.4000000004</v>
      </c>
      <c r="K35" s="211">
        <f t="shared" si="36"/>
        <v>7158097</v>
      </c>
      <c r="L35" s="211">
        <f t="shared" si="36"/>
        <v>7104944</v>
      </c>
      <c r="M35" s="213">
        <f t="shared" si="36"/>
        <v>6396491</v>
      </c>
      <c r="N35" s="211">
        <f t="shared" si="36"/>
        <v>6198664</v>
      </c>
      <c r="O35" s="211">
        <f t="shared" si="36"/>
        <v>5872802</v>
      </c>
      <c r="P35" s="211">
        <f t="shared" si="36"/>
        <v>6038082</v>
      </c>
      <c r="Q35" s="213">
        <f t="shared" si="36"/>
        <v>5995253</v>
      </c>
      <c r="R35" s="211">
        <f t="shared" si="36"/>
        <v>6454798</v>
      </c>
      <c r="S35" s="211">
        <f t="shared" si="36"/>
        <v>6875187</v>
      </c>
      <c r="T35" s="211">
        <f t="shared" si="36"/>
        <v>6456704</v>
      </c>
      <c r="U35" s="213">
        <v>6248208</v>
      </c>
      <c r="V35" s="211">
        <f t="shared" ref="V35:AI35" si="37">V36+V48+V56</f>
        <v>6075096.5211200006</v>
      </c>
      <c r="W35" s="211">
        <f t="shared" si="37"/>
        <v>4907627.1643400006</v>
      </c>
      <c r="X35" s="211">
        <f t="shared" si="37"/>
        <v>4841766.77293</v>
      </c>
      <c r="Y35" s="213">
        <f t="shared" si="37"/>
        <v>4508297</v>
      </c>
      <c r="Z35" s="211">
        <f t="shared" si="37"/>
        <v>4335046</v>
      </c>
      <c r="AA35" s="211">
        <f t="shared" si="37"/>
        <v>4108310</v>
      </c>
      <c r="AB35" s="211">
        <f t="shared" si="37"/>
        <v>3931388</v>
      </c>
      <c r="AC35" s="213">
        <f t="shared" si="37"/>
        <v>3718821</v>
      </c>
      <c r="AD35" s="211">
        <f t="shared" si="37"/>
        <v>3636257</v>
      </c>
      <c r="AE35" s="211">
        <f t="shared" si="37"/>
        <v>3727807</v>
      </c>
      <c r="AF35" s="211">
        <f t="shared" si="37"/>
        <v>3926738</v>
      </c>
      <c r="AG35" s="213">
        <f t="shared" si="37"/>
        <v>4042630</v>
      </c>
      <c r="AH35" s="211">
        <f t="shared" si="37"/>
        <v>3978312</v>
      </c>
      <c r="AI35" s="211">
        <f t="shared" si="37"/>
        <v>4094219</v>
      </c>
      <c r="AJ35" s="211">
        <v>4273966</v>
      </c>
      <c r="AK35" s="213">
        <v>3466377</v>
      </c>
      <c r="AL35" s="211">
        <v>3561461</v>
      </c>
      <c r="AM35" s="211">
        <v>3614558</v>
      </c>
      <c r="AN35" s="211">
        <v>3480230</v>
      </c>
      <c r="AO35" s="213">
        <v>3494699</v>
      </c>
    </row>
    <row r="36" spans="1:41" ht="15.75" thickBot="1">
      <c r="A36" s="196"/>
      <c r="B36" s="219" t="s">
        <v>212</v>
      </c>
      <c r="C36" s="198">
        <f t="shared" ref="C36" si="38">SUM(C37:C47)</f>
        <v>1177117</v>
      </c>
      <c r="D36" s="198">
        <f>SUM(D37:D47)</f>
        <v>1211858</v>
      </c>
      <c r="E36" s="200">
        <f t="shared" ref="E36" si="39">SUM(E37:E47)</f>
        <v>1075144</v>
      </c>
      <c r="F36" s="198">
        <f t="shared" ref="F36" si="40">SUM(F37:F47)</f>
        <v>964229</v>
      </c>
      <c r="G36" s="198">
        <f t="shared" ref="G36" si="41">SUM(G37:G47)</f>
        <v>1040655</v>
      </c>
      <c r="H36" s="198">
        <f t="shared" ref="H36:T36" si="42">SUM(H37:H47)</f>
        <v>1278325</v>
      </c>
      <c r="I36" s="200">
        <f t="shared" si="42"/>
        <v>1018757.6</v>
      </c>
      <c r="J36" s="198">
        <f t="shared" si="42"/>
        <v>1608841.2</v>
      </c>
      <c r="K36" s="198">
        <f t="shared" si="42"/>
        <v>1337187</v>
      </c>
      <c r="L36" s="198">
        <f t="shared" si="42"/>
        <v>1298503</v>
      </c>
      <c r="M36" s="200">
        <f t="shared" si="42"/>
        <v>1290184</v>
      </c>
      <c r="N36" s="198">
        <f t="shared" si="42"/>
        <v>1378083</v>
      </c>
      <c r="O36" s="198">
        <f t="shared" si="42"/>
        <v>1191428</v>
      </c>
      <c r="P36" s="198">
        <f t="shared" si="42"/>
        <v>1213424</v>
      </c>
      <c r="Q36" s="200">
        <f t="shared" si="42"/>
        <v>1496613</v>
      </c>
      <c r="R36" s="198">
        <f t="shared" si="42"/>
        <v>1498540</v>
      </c>
      <c r="S36" s="198">
        <f t="shared" si="42"/>
        <v>1468784</v>
      </c>
      <c r="T36" s="198">
        <f t="shared" si="42"/>
        <v>1596347</v>
      </c>
      <c r="U36" s="200">
        <v>1796221</v>
      </c>
      <c r="V36" s="198">
        <f t="shared" ref="V36:AI36" si="43">SUM(V37:V47)</f>
        <v>1277915.5211200002</v>
      </c>
      <c r="W36" s="198">
        <f t="shared" si="43"/>
        <v>1038456.16434</v>
      </c>
      <c r="X36" s="198">
        <f t="shared" si="43"/>
        <v>1153703.77293</v>
      </c>
      <c r="Y36" s="200">
        <f t="shared" si="43"/>
        <v>1220159</v>
      </c>
      <c r="Z36" s="198">
        <f t="shared" si="43"/>
        <v>1157645</v>
      </c>
      <c r="AA36" s="198">
        <f t="shared" si="43"/>
        <v>1094788</v>
      </c>
      <c r="AB36" s="198">
        <f t="shared" si="43"/>
        <v>995916</v>
      </c>
      <c r="AC36" s="200">
        <f t="shared" si="43"/>
        <v>785077</v>
      </c>
      <c r="AD36" s="198">
        <f t="shared" si="43"/>
        <v>782169</v>
      </c>
      <c r="AE36" s="198">
        <f t="shared" si="43"/>
        <v>807370</v>
      </c>
      <c r="AF36" s="198">
        <f t="shared" si="43"/>
        <v>1104188</v>
      </c>
      <c r="AG36" s="200">
        <f t="shared" si="43"/>
        <v>1129665</v>
      </c>
      <c r="AH36" s="198">
        <f t="shared" si="43"/>
        <v>1066421</v>
      </c>
      <c r="AI36" s="198">
        <f t="shared" si="43"/>
        <v>1240696</v>
      </c>
      <c r="AJ36" s="198">
        <v>1357655</v>
      </c>
      <c r="AK36" s="200">
        <v>1151821</v>
      </c>
      <c r="AL36" s="198">
        <v>1276946</v>
      </c>
      <c r="AM36" s="198">
        <v>999819</v>
      </c>
      <c r="AN36" s="198">
        <v>953137</v>
      </c>
      <c r="AO36" s="200">
        <v>1024971</v>
      </c>
    </row>
    <row r="37" spans="1:41" ht="15" thickTop="1">
      <c r="B37" s="221" t="s">
        <v>213</v>
      </c>
      <c r="C37" s="193">
        <v>472929</v>
      </c>
      <c r="D37" s="193">
        <v>430158</v>
      </c>
      <c r="E37" s="195">
        <v>395307</v>
      </c>
      <c r="F37" s="193">
        <v>353593</v>
      </c>
      <c r="G37" s="193">
        <v>388234</v>
      </c>
      <c r="H37" s="193">
        <v>425222</v>
      </c>
      <c r="I37" s="195">
        <v>460244</v>
      </c>
      <c r="J37" s="193">
        <v>386699</v>
      </c>
      <c r="K37" s="193">
        <v>333983</v>
      </c>
      <c r="L37" s="193">
        <v>332267</v>
      </c>
      <c r="M37" s="195">
        <v>317795</v>
      </c>
      <c r="N37" s="193">
        <v>315346</v>
      </c>
      <c r="O37" s="193">
        <v>290105</v>
      </c>
      <c r="P37" s="193">
        <v>332625</v>
      </c>
      <c r="Q37" s="195">
        <v>365714</v>
      </c>
      <c r="R37" s="193">
        <v>342520</v>
      </c>
      <c r="S37" s="193">
        <v>326074</v>
      </c>
      <c r="T37" s="193">
        <v>311179</v>
      </c>
      <c r="U37" s="195">
        <v>391762</v>
      </c>
      <c r="V37" s="193">
        <v>304283.68920000002</v>
      </c>
      <c r="W37" s="193">
        <v>289994.77276999998</v>
      </c>
      <c r="X37" s="193">
        <v>333588.91928000003</v>
      </c>
      <c r="Y37" s="195">
        <v>238342</v>
      </c>
      <c r="Z37" s="193">
        <v>222953</v>
      </c>
      <c r="AA37" s="193">
        <v>253014</v>
      </c>
      <c r="AB37" s="193">
        <v>184334</v>
      </c>
      <c r="AC37" s="195">
        <v>182468</v>
      </c>
      <c r="AD37" s="193">
        <v>121396</v>
      </c>
      <c r="AE37" s="193">
        <v>144037</v>
      </c>
      <c r="AF37" s="193">
        <v>149555</v>
      </c>
      <c r="AG37" s="195">
        <v>193972</v>
      </c>
      <c r="AH37" s="193">
        <v>127461</v>
      </c>
      <c r="AI37" s="193">
        <v>179136</v>
      </c>
      <c r="AJ37" s="193">
        <v>200036</v>
      </c>
      <c r="AK37" s="195">
        <v>212142</v>
      </c>
      <c r="AL37" s="193">
        <v>188884</v>
      </c>
      <c r="AM37" s="193">
        <v>252988</v>
      </c>
      <c r="AN37" s="193">
        <v>226320</v>
      </c>
      <c r="AO37" s="195">
        <v>274473</v>
      </c>
    </row>
    <row r="38" spans="1:41">
      <c r="B38" s="220" t="s">
        <v>214</v>
      </c>
      <c r="C38" s="193">
        <f>73750+151389</f>
        <v>225139</v>
      </c>
      <c r="D38" s="193">
        <v>294214</v>
      </c>
      <c r="E38" s="195">
        <v>227615</v>
      </c>
      <c r="F38" s="193">
        <f>92498+87438</f>
        <v>179936</v>
      </c>
      <c r="G38" s="193">
        <v>195395</v>
      </c>
      <c r="H38" s="193">
        <v>187289</v>
      </c>
      <c r="I38" s="195">
        <v>95286</v>
      </c>
      <c r="J38" s="193">
        <v>712307</v>
      </c>
      <c r="K38" s="193">
        <f>280066+214248</f>
        <v>494314</v>
      </c>
      <c r="L38" s="193">
        <v>471396</v>
      </c>
      <c r="M38" s="195">
        <v>415411</v>
      </c>
      <c r="N38" s="193">
        <v>430191</v>
      </c>
      <c r="O38" s="193">
        <v>295528</v>
      </c>
      <c r="P38" s="193">
        <v>220019</v>
      </c>
      <c r="Q38" s="195">
        <v>171206</v>
      </c>
      <c r="R38" s="193">
        <v>222127</v>
      </c>
      <c r="S38" s="193">
        <v>181367</v>
      </c>
      <c r="T38" s="193">
        <v>138361</v>
      </c>
      <c r="U38" s="195">
        <v>161824</v>
      </c>
      <c r="V38" s="193">
        <v>141800</v>
      </c>
      <c r="W38" s="193">
        <v>129673</v>
      </c>
      <c r="X38" s="193">
        <v>261247</v>
      </c>
      <c r="Y38" s="195">
        <v>340730</v>
      </c>
      <c r="Z38" s="193">
        <v>349816</v>
      </c>
      <c r="AA38" s="193">
        <v>361991</v>
      </c>
      <c r="AB38" s="193">
        <v>355481</v>
      </c>
      <c r="AC38" s="195">
        <v>177566</v>
      </c>
      <c r="AD38" s="193">
        <v>260364</v>
      </c>
      <c r="AE38" s="193">
        <v>267229</v>
      </c>
      <c r="AF38" s="193">
        <v>515835</v>
      </c>
      <c r="AG38" s="195">
        <v>477918</v>
      </c>
      <c r="AH38" s="193">
        <v>488990</v>
      </c>
      <c r="AI38" s="193">
        <v>584342</v>
      </c>
      <c r="AJ38" s="193">
        <v>598254</v>
      </c>
      <c r="AK38" s="195">
        <v>437279</v>
      </c>
      <c r="AL38" s="193">
        <v>473000</v>
      </c>
      <c r="AM38" s="193">
        <v>287206</v>
      </c>
      <c r="AN38" s="193">
        <v>221612</v>
      </c>
      <c r="AO38" s="195">
        <v>327197</v>
      </c>
    </row>
    <row r="39" spans="1:41">
      <c r="B39" s="220" t="s">
        <v>408</v>
      </c>
      <c r="C39" s="193">
        <v>2461</v>
      </c>
      <c r="D39" s="193">
        <v>2035</v>
      </c>
      <c r="E39" s="195">
        <v>1967</v>
      </c>
      <c r="F39" s="193">
        <v>1854</v>
      </c>
      <c r="G39" s="193">
        <v>1792</v>
      </c>
      <c r="H39" s="193">
        <v>1732</v>
      </c>
      <c r="I39" s="195">
        <v>1655</v>
      </c>
      <c r="J39" s="193">
        <v>1650</v>
      </c>
      <c r="K39" s="193">
        <v>1243</v>
      </c>
      <c r="L39" s="193">
        <v>1200</v>
      </c>
      <c r="M39" s="195">
        <v>948</v>
      </c>
      <c r="N39" s="193">
        <v>0</v>
      </c>
      <c r="O39" s="193">
        <v>0</v>
      </c>
      <c r="P39" s="193">
        <v>0</v>
      </c>
      <c r="Q39" s="195">
        <v>0</v>
      </c>
      <c r="R39" s="193">
        <v>0</v>
      </c>
      <c r="S39" s="193">
        <v>0</v>
      </c>
      <c r="T39" s="193">
        <v>0</v>
      </c>
      <c r="U39" s="195">
        <v>0</v>
      </c>
      <c r="V39" s="193">
        <v>0</v>
      </c>
      <c r="W39" s="193">
        <v>0</v>
      </c>
      <c r="X39" s="193">
        <v>0</v>
      </c>
      <c r="Y39" s="195">
        <v>0</v>
      </c>
      <c r="Z39" s="193">
        <v>0</v>
      </c>
      <c r="AA39" s="193">
        <v>0</v>
      </c>
      <c r="AB39" s="193">
        <v>0</v>
      </c>
      <c r="AC39" s="195">
        <v>0</v>
      </c>
      <c r="AD39" s="193">
        <v>0</v>
      </c>
      <c r="AE39" s="193">
        <v>0</v>
      </c>
      <c r="AF39" s="193">
        <v>0</v>
      </c>
      <c r="AG39" s="195">
        <v>0</v>
      </c>
      <c r="AH39" s="193">
        <v>0</v>
      </c>
      <c r="AI39" s="193">
        <v>0</v>
      </c>
      <c r="AJ39" s="193">
        <v>0</v>
      </c>
      <c r="AK39" s="195">
        <v>0</v>
      </c>
      <c r="AL39" s="193">
        <v>0</v>
      </c>
      <c r="AM39" s="193">
        <v>0</v>
      </c>
      <c r="AN39" s="193">
        <v>0</v>
      </c>
      <c r="AO39" s="195">
        <v>0</v>
      </c>
    </row>
    <row r="40" spans="1:41">
      <c r="B40" s="220" t="s">
        <v>215</v>
      </c>
      <c r="C40" s="193">
        <v>116276</v>
      </c>
      <c r="D40" s="193">
        <v>161370</v>
      </c>
      <c r="E40" s="195">
        <v>159542</v>
      </c>
      <c r="F40" s="193">
        <v>144617</v>
      </c>
      <c r="G40" s="193">
        <v>122547</v>
      </c>
      <c r="H40" s="193">
        <v>107789</v>
      </c>
      <c r="I40" s="195">
        <v>168639</v>
      </c>
      <c r="J40" s="193">
        <v>140346</v>
      </c>
      <c r="K40" s="193">
        <v>127263</v>
      </c>
      <c r="L40" s="193">
        <v>101263</v>
      </c>
      <c r="M40" s="195">
        <v>126214</v>
      </c>
      <c r="N40" s="193">
        <v>140180</v>
      </c>
      <c r="O40" s="193">
        <v>125735</v>
      </c>
      <c r="P40" s="193">
        <v>105671</v>
      </c>
      <c r="Q40" s="195">
        <v>186458</v>
      </c>
      <c r="R40" s="193">
        <v>158382</v>
      </c>
      <c r="S40" s="193">
        <v>128658</v>
      </c>
      <c r="T40" s="193">
        <v>96744</v>
      </c>
      <c r="U40" s="195">
        <v>160472</v>
      </c>
      <c r="V40" s="193">
        <v>124556</v>
      </c>
      <c r="W40" s="193">
        <v>101734</v>
      </c>
      <c r="X40" s="193">
        <v>73105</v>
      </c>
      <c r="Y40" s="195">
        <v>120632</v>
      </c>
      <c r="Z40" s="193">
        <v>105549</v>
      </c>
      <c r="AA40" s="193">
        <v>91825</v>
      </c>
      <c r="AB40" s="193">
        <v>77472</v>
      </c>
      <c r="AC40" s="195">
        <v>63002</v>
      </c>
      <c r="AD40" s="193">
        <f>63449</f>
        <v>63449</v>
      </c>
      <c r="AE40" s="193">
        <v>59654</v>
      </c>
      <c r="AF40" s="193">
        <v>86015</v>
      </c>
      <c r="AG40" s="195">
        <v>89780</v>
      </c>
      <c r="AH40" s="193">
        <v>76110</v>
      </c>
      <c r="AI40" s="193">
        <v>74452</v>
      </c>
      <c r="AJ40" s="193">
        <v>98801</v>
      </c>
      <c r="AK40" s="195">
        <v>96850</v>
      </c>
      <c r="AL40" s="193">
        <v>86171</v>
      </c>
      <c r="AM40" s="193">
        <v>75728</v>
      </c>
      <c r="AN40" s="193">
        <v>84896</v>
      </c>
      <c r="AO40" s="195">
        <v>92588</v>
      </c>
    </row>
    <row r="41" spans="1:41">
      <c r="B41" s="220" t="s">
        <v>309</v>
      </c>
      <c r="C41" s="193">
        <v>86733</v>
      </c>
      <c r="D41" s="193">
        <v>77722</v>
      </c>
      <c r="E41" s="195">
        <f>10319+49189</f>
        <v>59508</v>
      </c>
      <c r="F41" s="193">
        <v>50455</v>
      </c>
      <c r="G41" s="193">
        <v>100645</v>
      </c>
      <c r="H41" s="193">
        <v>106250</v>
      </c>
      <c r="I41" s="195">
        <v>79277</v>
      </c>
      <c r="J41" s="193">
        <v>93601</v>
      </c>
      <c r="K41" s="193">
        <v>78318</v>
      </c>
      <c r="L41" s="193">
        <v>90641</v>
      </c>
      <c r="M41" s="195">
        <v>119583</v>
      </c>
      <c r="N41" s="193">
        <v>213136</v>
      </c>
      <c r="O41" s="193">
        <v>198628</v>
      </c>
      <c r="P41" s="193">
        <v>175600</v>
      </c>
      <c r="Q41" s="195">
        <v>379737</v>
      </c>
      <c r="R41" s="193">
        <v>365779</v>
      </c>
      <c r="S41" s="193">
        <v>432285</v>
      </c>
      <c r="T41" s="193">
        <v>414761</v>
      </c>
      <c r="U41" s="195">
        <v>420958</v>
      </c>
      <c r="V41" s="193">
        <v>356918</v>
      </c>
      <c r="W41" s="193">
        <v>220843</v>
      </c>
      <c r="X41" s="193">
        <v>176188</v>
      </c>
      <c r="Y41" s="195">
        <v>215206</v>
      </c>
      <c r="Z41" s="193">
        <v>162357</v>
      </c>
      <c r="AA41" s="193">
        <v>108077</v>
      </c>
      <c r="AB41" s="193">
        <v>62216</v>
      </c>
      <c r="AC41" s="195">
        <v>73298</v>
      </c>
      <c r="AD41" s="193">
        <f>39241+29900</f>
        <v>69141</v>
      </c>
      <c r="AE41" s="193">
        <v>68951</v>
      </c>
      <c r="AF41" s="193">
        <v>63521</v>
      </c>
      <c r="AG41" s="195">
        <f>57572+30182</f>
        <v>87754</v>
      </c>
      <c r="AH41" s="193">
        <f>45816+43372</f>
        <v>89188</v>
      </c>
      <c r="AI41" s="193">
        <f>51365+62387</f>
        <v>113752</v>
      </c>
      <c r="AJ41" s="193">
        <f>32714+55597</f>
        <v>88311</v>
      </c>
      <c r="AK41" s="195">
        <f>7903+32040</f>
        <v>39943</v>
      </c>
      <c r="AL41" s="193">
        <f>15000+44191</f>
        <v>59191</v>
      </c>
      <c r="AM41" s="193">
        <f>21849+35377</f>
        <v>57226</v>
      </c>
      <c r="AN41" s="193">
        <f>20372+41944</f>
        <v>62316</v>
      </c>
      <c r="AO41" s="195">
        <f>15419+35440</f>
        <v>50859</v>
      </c>
    </row>
    <row r="42" spans="1:41">
      <c r="B42" s="220" t="s">
        <v>217</v>
      </c>
      <c r="C42" s="193">
        <v>0</v>
      </c>
      <c r="D42" s="193">
        <v>48766</v>
      </c>
      <c r="E42" s="195">
        <v>48777</v>
      </c>
      <c r="F42" s="193"/>
      <c r="G42" s="193">
        <v>0</v>
      </c>
      <c r="H42" s="193">
        <v>0</v>
      </c>
      <c r="I42" s="195">
        <v>0</v>
      </c>
      <c r="J42" s="193">
        <v>0</v>
      </c>
      <c r="K42" s="193">
        <v>0</v>
      </c>
      <c r="L42" s="193">
        <v>0</v>
      </c>
      <c r="M42" s="195">
        <v>0</v>
      </c>
      <c r="N42" s="193">
        <v>0</v>
      </c>
      <c r="O42" s="193">
        <v>0</v>
      </c>
      <c r="P42" s="193">
        <v>0</v>
      </c>
      <c r="Q42" s="195">
        <v>0</v>
      </c>
      <c r="R42" s="193">
        <v>0</v>
      </c>
      <c r="S42" s="193">
        <v>0</v>
      </c>
      <c r="T42" s="193">
        <v>0</v>
      </c>
      <c r="U42" s="195">
        <v>0</v>
      </c>
      <c r="V42" s="193">
        <v>0</v>
      </c>
      <c r="W42" s="193">
        <v>0</v>
      </c>
      <c r="X42" s="193">
        <v>0</v>
      </c>
      <c r="Y42" s="195">
        <v>0</v>
      </c>
      <c r="Z42" s="193">
        <v>0</v>
      </c>
      <c r="AA42" s="193">
        <v>0</v>
      </c>
      <c r="AB42" s="193">
        <v>0</v>
      </c>
      <c r="AC42" s="195">
        <v>0</v>
      </c>
      <c r="AD42" s="193">
        <v>13240</v>
      </c>
      <c r="AE42" s="193">
        <v>0</v>
      </c>
      <c r="AF42" s="193">
        <v>0</v>
      </c>
      <c r="AG42" s="195">
        <v>38720</v>
      </c>
      <c r="AH42" s="193">
        <v>10569</v>
      </c>
      <c r="AI42" s="193">
        <v>10616</v>
      </c>
      <c r="AJ42" s="193">
        <v>100042</v>
      </c>
      <c r="AK42" s="195">
        <v>100148</v>
      </c>
      <c r="AL42" s="193">
        <v>107458</v>
      </c>
      <c r="AM42" s="193">
        <v>4404</v>
      </c>
      <c r="AN42" s="193">
        <v>33961</v>
      </c>
      <c r="AO42" s="195">
        <v>33962</v>
      </c>
    </row>
    <row r="43" spans="1:41">
      <c r="B43" s="220" t="s">
        <v>218</v>
      </c>
      <c r="C43" s="193">
        <v>0</v>
      </c>
      <c r="D43" s="193">
        <v>1939</v>
      </c>
      <c r="E43" s="195">
        <v>1899</v>
      </c>
      <c r="F43" s="193"/>
      <c r="G43" s="193">
        <v>0</v>
      </c>
      <c r="H43" s="193">
        <v>0</v>
      </c>
      <c r="I43" s="195">
        <v>0</v>
      </c>
      <c r="J43" s="193">
        <v>0</v>
      </c>
      <c r="K43" s="193">
        <v>0</v>
      </c>
      <c r="L43" s="193">
        <v>0</v>
      </c>
      <c r="M43" s="195">
        <v>0</v>
      </c>
      <c r="N43" s="193">
        <v>0</v>
      </c>
      <c r="O43" s="193">
        <v>0</v>
      </c>
      <c r="P43" s="193">
        <v>0</v>
      </c>
      <c r="Q43" s="195">
        <v>0</v>
      </c>
      <c r="R43" s="193">
        <v>0</v>
      </c>
      <c r="S43" s="193">
        <v>0</v>
      </c>
      <c r="T43" s="193">
        <v>0</v>
      </c>
      <c r="U43" s="195">
        <v>0</v>
      </c>
      <c r="V43" s="193">
        <v>0</v>
      </c>
      <c r="W43" s="193">
        <v>0</v>
      </c>
      <c r="X43" s="193">
        <v>0</v>
      </c>
      <c r="Y43" s="195">
        <v>0</v>
      </c>
      <c r="Z43" s="193">
        <v>0</v>
      </c>
      <c r="AA43" s="193">
        <v>0</v>
      </c>
      <c r="AB43" s="193">
        <v>0</v>
      </c>
      <c r="AC43" s="195">
        <v>0</v>
      </c>
      <c r="AD43" s="193">
        <v>0</v>
      </c>
      <c r="AE43" s="193">
        <v>0</v>
      </c>
      <c r="AF43" s="193">
        <v>0</v>
      </c>
      <c r="AG43" s="195">
        <v>0</v>
      </c>
      <c r="AH43" s="193">
        <v>0</v>
      </c>
      <c r="AI43" s="193">
        <v>154</v>
      </c>
      <c r="AJ43" s="193">
        <v>319</v>
      </c>
      <c r="AK43" s="195">
        <v>329</v>
      </c>
      <c r="AL43" s="193">
        <v>3940</v>
      </c>
      <c r="AM43" s="193">
        <v>7210</v>
      </c>
      <c r="AN43" s="193">
        <v>7633</v>
      </c>
      <c r="AO43" s="195">
        <v>7563</v>
      </c>
    </row>
    <row r="44" spans="1:41">
      <c r="B44" s="220" t="s">
        <v>219</v>
      </c>
      <c r="C44" s="193">
        <v>0</v>
      </c>
      <c r="D44" s="193">
        <v>40366</v>
      </c>
      <c r="E44" s="195">
        <v>43316</v>
      </c>
      <c r="F44" s="193"/>
      <c r="G44" s="193">
        <v>0</v>
      </c>
      <c r="H44" s="193">
        <v>0</v>
      </c>
      <c r="I44" s="195">
        <v>0</v>
      </c>
      <c r="J44" s="193">
        <v>0</v>
      </c>
      <c r="K44" s="193">
        <v>0</v>
      </c>
      <c r="L44" s="193">
        <v>0</v>
      </c>
      <c r="M44" s="195">
        <v>0</v>
      </c>
      <c r="N44" s="193">
        <v>0</v>
      </c>
      <c r="O44" s="193">
        <v>0</v>
      </c>
      <c r="P44" s="193">
        <v>0</v>
      </c>
      <c r="Q44" s="195">
        <v>0</v>
      </c>
      <c r="R44" s="193">
        <v>0</v>
      </c>
      <c r="S44" s="193">
        <v>0</v>
      </c>
      <c r="T44" s="193">
        <v>0</v>
      </c>
      <c r="U44" s="195">
        <v>0</v>
      </c>
      <c r="V44" s="193">
        <v>0</v>
      </c>
      <c r="W44" s="193">
        <v>0</v>
      </c>
      <c r="X44" s="193">
        <v>0</v>
      </c>
      <c r="Y44" s="195">
        <v>0</v>
      </c>
      <c r="Z44" s="193">
        <v>0</v>
      </c>
      <c r="AA44" s="193">
        <v>0</v>
      </c>
      <c r="AB44" s="193">
        <v>0</v>
      </c>
      <c r="AC44" s="195">
        <v>0</v>
      </c>
      <c r="AD44" s="193">
        <v>181163</v>
      </c>
      <c r="AE44" s="193">
        <v>0</v>
      </c>
      <c r="AF44" s="193">
        <v>0</v>
      </c>
      <c r="AG44" s="195">
        <v>181562</v>
      </c>
      <c r="AH44" s="193">
        <v>192056</v>
      </c>
      <c r="AI44" s="193">
        <v>200947</v>
      </c>
      <c r="AJ44" s="193">
        <v>197605</v>
      </c>
      <c r="AK44" s="195">
        <v>186253</v>
      </c>
      <c r="AL44" s="193">
        <v>194201</v>
      </c>
      <c r="AM44" s="193">
        <v>194814</v>
      </c>
      <c r="AN44" s="193">
        <v>179422</v>
      </c>
      <c r="AO44" s="195">
        <v>167656</v>
      </c>
    </row>
    <row r="45" spans="1:41">
      <c r="B45" s="220" t="s">
        <v>232</v>
      </c>
      <c r="C45" s="193">
        <v>0</v>
      </c>
      <c r="D45" s="193">
        <v>0</v>
      </c>
      <c r="E45" s="195">
        <v>0</v>
      </c>
      <c r="F45" s="193"/>
      <c r="G45" s="193">
        <v>0</v>
      </c>
      <c r="H45" s="193">
        <v>0</v>
      </c>
      <c r="I45" s="195">
        <v>0</v>
      </c>
      <c r="J45" s="193">
        <v>0</v>
      </c>
      <c r="K45" s="193">
        <v>0</v>
      </c>
      <c r="L45" s="193">
        <v>0</v>
      </c>
      <c r="M45" s="195">
        <v>0</v>
      </c>
      <c r="N45" s="193">
        <v>0</v>
      </c>
      <c r="O45" s="193">
        <v>0</v>
      </c>
      <c r="P45" s="193">
        <v>0</v>
      </c>
      <c r="Q45" s="195">
        <v>0</v>
      </c>
      <c r="R45" s="193">
        <v>0</v>
      </c>
      <c r="S45" s="193">
        <v>0</v>
      </c>
      <c r="T45" s="193">
        <v>0</v>
      </c>
      <c r="U45" s="195">
        <v>0</v>
      </c>
      <c r="V45" s="193">
        <v>19699</v>
      </c>
      <c r="W45" s="193">
        <v>12093</v>
      </c>
      <c r="X45" s="193">
        <v>6989</v>
      </c>
      <c r="Y45" s="195">
        <v>1950</v>
      </c>
      <c r="Z45" s="193">
        <v>20646</v>
      </c>
      <c r="AA45" s="193">
        <v>0</v>
      </c>
      <c r="AB45" s="193">
        <v>0</v>
      </c>
      <c r="AC45" s="195">
        <v>0</v>
      </c>
      <c r="AD45" s="193">
        <v>15096</v>
      </c>
      <c r="AE45" s="193">
        <v>0</v>
      </c>
      <c r="AF45" s="193">
        <v>0</v>
      </c>
      <c r="AG45" s="195">
        <v>199</v>
      </c>
      <c r="AH45" s="193">
        <v>14216</v>
      </c>
      <c r="AI45" s="193">
        <v>9136</v>
      </c>
      <c r="AJ45" s="193">
        <v>4003</v>
      </c>
      <c r="AK45" s="195">
        <v>170</v>
      </c>
      <c r="AL45" s="193">
        <v>12254</v>
      </c>
      <c r="AM45" s="193">
        <v>8941</v>
      </c>
      <c r="AN45" s="193">
        <v>2089</v>
      </c>
      <c r="AO45" s="195">
        <v>1148</v>
      </c>
    </row>
    <row r="46" spans="1:41">
      <c r="B46" s="220" t="s">
        <v>310</v>
      </c>
      <c r="C46" s="193">
        <v>20813</v>
      </c>
      <c r="D46" s="193">
        <v>19417</v>
      </c>
      <c r="E46" s="195">
        <v>19693</v>
      </c>
      <c r="F46" s="193">
        <v>18880</v>
      </c>
      <c r="G46" s="193">
        <v>20197</v>
      </c>
      <c r="H46" s="193">
        <v>19132</v>
      </c>
      <c r="I46" s="195">
        <v>18155.599999999999</v>
      </c>
      <c r="J46" s="193">
        <v>20574.2</v>
      </c>
      <c r="K46" s="193">
        <v>20680</v>
      </c>
      <c r="L46" s="193">
        <v>22087</v>
      </c>
      <c r="M46" s="195">
        <v>22091</v>
      </c>
      <c r="N46" s="193">
        <v>23852</v>
      </c>
      <c r="O46" s="193">
        <v>25651</v>
      </c>
      <c r="P46" s="193">
        <v>24818</v>
      </c>
      <c r="Q46" s="195">
        <v>28286</v>
      </c>
      <c r="R46" s="193">
        <v>29400</v>
      </c>
      <c r="S46" s="193">
        <v>29258</v>
      </c>
      <c r="T46" s="193">
        <v>29086</v>
      </c>
      <c r="U46" s="195">
        <v>30991</v>
      </c>
      <c r="V46" s="193">
        <v>11656</v>
      </c>
      <c r="W46" s="193">
        <v>15484</v>
      </c>
      <c r="X46" s="193">
        <v>23918</v>
      </c>
      <c r="Y46" s="195">
        <v>19491</v>
      </c>
      <c r="Z46" s="193">
        <v>18108</v>
      </c>
      <c r="AA46" s="193">
        <v>10041</v>
      </c>
      <c r="AB46" s="193">
        <v>12109</v>
      </c>
      <c r="AC46" s="195">
        <v>13542</v>
      </c>
      <c r="AD46" s="193">
        <v>12615</v>
      </c>
      <c r="AE46" s="193">
        <v>2554</v>
      </c>
      <c r="AF46" s="193">
        <v>3532</v>
      </c>
      <c r="AG46" s="195">
        <v>4522</v>
      </c>
      <c r="AH46" s="193">
        <v>5148</v>
      </c>
      <c r="AI46" s="193">
        <v>9844</v>
      </c>
      <c r="AJ46" s="193">
        <v>14597</v>
      </c>
      <c r="AK46" s="195">
        <v>17889</v>
      </c>
      <c r="AL46" s="193">
        <v>19819</v>
      </c>
      <c r="AM46" s="193">
        <v>29952</v>
      </c>
      <c r="AN46" s="193">
        <v>36519</v>
      </c>
      <c r="AO46" s="195">
        <v>40920</v>
      </c>
    </row>
    <row r="47" spans="1:41">
      <c r="B47" s="220" t="s">
        <v>220</v>
      </c>
      <c r="C47" s="193">
        <v>252766</v>
      </c>
      <c r="D47" s="193">
        <v>135871</v>
      </c>
      <c r="E47" s="195">
        <v>117520</v>
      </c>
      <c r="F47" s="193">
        <v>214894</v>
      </c>
      <c r="G47" s="193">
        <v>211845</v>
      </c>
      <c r="H47" s="193">
        <v>430911</v>
      </c>
      <c r="I47" s="195">
        <f>195501</f>
        <v>195501</v>
      </c>
      <c r="J47" s="193">
        <v>253664</v>
      </c>
      <c r="K47" s="193">
        <v>281386</v>
      </c>
      <c r="L47" s="193">
        <v>279649</v>
      </c>
      <c r="M47" s="195">
        <v>288142</v>
      </c>
      <c r="N47" s="193">
        <v>255378</v>
      </c>
      <c r="O47" s="193">
        <v>255781</v>
      </c>
      <c r="P47" s="193">
        <v>354691</v>
      </c>
      <c r="Q47" s="195">
        <v>365212</v>
      </c>
      <c r="R47" s="193">
        <v>380332</v>
      </c>
      <c r="S47" s="193">
        <v>371142</v>
      </c>
      <c r="T47" s="193">
        <v>606216</v>
      </c>
      <c r="U47" s="195">
        <v>630214</v>
      </c>
      <c r="V47" s="193">
        <v>319002.83192000003</v>
      </c>
      <c r="W47" s="193">
        <v>268634.39157000009</v>
      </c>
      <c r="X47" s="193">
        <v>278667.85365</v>
      </c>
      <c r="Y47" s="195">
        <v>283808</v>
      </c>
      <c r="Z47" s="193">
        <v>278216</v>
      </c>
      <c r="AA47" s="193">
        <v>269840</v>
      </c>
      <c r="AB47" s="193">
        <v>304304</v>
      </c>
      <c r="AC47" s="195">
        <v>275201</v>
      </c>
      <c r="AD47" s="193">
        <v>45705</v>
      </c>
      <c r="AE47" s="193">
        <v>264945</v>
      </c>
      <c r="AF47" s="193">
        <v>285730</v>
      </c>
      <c r="AG47" s="195">
        <v>55238</v>
      </c>
      <c r="AH47" s="193">
        <v>62683</v>
      </c>
      <c r="AI47" s="193">
        <v>58317</v>
      </c>
      <c r="AJ47" s="193">
        <v>55687</v>
      </c>
      <c r="AK47" s="195">
        <v>60818</v>
      </c>
      <c r="AL47" s="193">
        <v>132028</v>
      </c>
      <c r="AM47" s="193">
        <v>81350</v>
      </c>
      <c r="AN47" s="193">
        <v>98369</v>
      </c>
      <c r="AO47" s="195">
        <v>28605</v>
      </c>
    </row>
    <row r="48" spans="1:41" ht="15.75" thickBot="1">
      <c r="A48" s="196"/>
      <c r="B48" s="219" t="s">
        <v>221</v>
      </c>
      <c r="C48" s="198">
        <f t="shared" ref="C48:T48" si="44">SUM(C49:C55)</f>
        <v>4571787</v>
      </c>
      <c r="D48" s="198">
        <f t="shared" si="44"/>
        <v>4361581</v>
      </c>
      <c r="E48" s="200">
        <f t="shared" si="44"/>
        <v>4342977</v>
      </c>
      <c r="F48" s="198">
        <f t="shared" si="44"/>
        <v>4185181</v>
      </c>
      <c r="G48" s="198">
        <f t="shared" si="44"/>
        <v>3670797</v>
      </c>
      <c r="H48" s="198">
        <f t="shared" si="44"/>
        <v>3331180</v>
      </c>
      <c r="I48" s="200">
        <f t="shared" si="44"/>
        <v>3279102</v>
      </c>
      <c r="J48" s="198">
        <f t="shared" si="44"/>
        <v>3189933.2</v>
      </c>
      <c r="K48" s="198">
        <f t="shared" si="44"/>
        <v>3122103</v>
      </c>
      <c r="L48" s="198">
        <f t="shared" si="44"/>
        <v>3247110</v>
      </c>
      <c r="M48" s="200">
        <f t="shared" si="44"/>
        <v>2658455</v>
      </c>
      <c r="N48" s="198">
        <f t="shared" si="44"/>
        <v>1984628</v>
      </c>
      <c r="O48" s="198">
        <f t="shared" si="44"/>
        <v>2043531</v>
      </c>
      <c r="P48" s="198">
        <f t="shared" si="44"/>
        <v>2228582</v>
      </c>
      <c r="Q48" s="200">
        <f t="shared" si="44"/>
        <v>2143307</v>
      </c>
      <c r="R48" s="198">
        <f t="shared" si="44"/>
        <v>2099122</v>
      </c>
      <c r="S48" s="198">
        <f t="shared" si="44"/>
        <v>2146667</v>
      </c>
      <c r="T48" s="198">
        <f t="shared" si="44"/>
        <v>2183758</v>
      </c>
      <c r="U48" s="200">
        <v>2130550</v>
      </c>
      <c r="V48" s="198">
        <f t="shared" ref="V48:AI48" si="45">SUM(V49:V55)</f>
        <v>2230959</v>
      </c>
      <c r="W48" s="198">
        <f t="shared" si="45"/>
        <v>1867176</v>
      </c>
      <c r="X48" s="198">
        <f t="shared" si="45"/>
        <v>1595555</v>
      </c>
      <c r="Y48" s="200">
        <f t="shared" si="45"/>
        <v>1549099</v>
      </c>
      <c r="Z48" s="198">
        <f t="shared" si="45"/>
        <v>1640042</v>
      </c>
      <c r="AA48" s="198">
        <f t="shared" si="45"/>
        <v>1604112</v>
      </c>
      <c r="AB48" s="198">
        <f t="shared" si="45"/>
        <v>1544101</v>
      </c>
      <c r="AC48" s="200">
        <f t="shared" si="45"/>
        <v>1450521</v>
      </c>
      <c r="AD48" s="198">
        <f t="shared" si="45"/>
        <v>1468262</v>
      </c>
      <c r="AE48" s="198">
        <f t="shared" si="45"/>
        <v>1467020</v>
      </c>
      <c r="AF48" s="198">
        <f t="shared" si="45"/>
        <v>1358726</v>
      </c>
      <c r="AG48" s="200">
        <f t="shared" si="45"/>
        <v>1467023</v>
      </c>
      <c r="AH48" s="198">
        <f t="shared" si="45"/>
        <v>1538379</v>
      </c>
      <c r="AI48" s="198">
        <f t="shared" si="45"/>
        <v>1625006</v>
      </c>
      <c r="AJ48" s="198">
        <v>1697503</v>
      </c>
      <c r="AK48" s="200">
        <v>1241725</v>
      </c>
      <c r="AL48" s="198">
        <v>1205583</v>
      </c>
      <c r="AM48" s="198">
        <v>1294014</v>
      </c>
      <c r="AN48" s="198">
        <v>1240830</v>
      </c>
      <c r="AO48" s="200">
        <v>1183569</v>
      </c>
    </row>
    <row r="49" spans="1:41" ht="15" thickTop="1">
      <c r="B49" s="220" t="s">
        <v>214</v>
      </c>
      <c r="C49" s="193">
        <f>1089442+2376377</f>
        <v>3465819</v>
      </c>
      <c r="D49" s="193">
        <v>3304463</v>
      </c>
      <c r="E49" s="195">
        <v>3288226</v>
      </c>
      <c r="F49" s="193">
        <v>3127247</v>
      </c>
      <c r="G49" s="193">
        <v>2595636</v>
      </c>
      <c r="H49" s="193">
        <v>2252509</v>
      </c>
      <c r="I49" s="195">
        <v>2210733</v>
      </c>
      <c r="J49" s="193">
        <v>2058754</v>
      </c>
      <c r="K49" s="193">
        <v>2003743</v>
      </c>
      <c r="L49" s="193">
        <v>2140691</v>
      </c>
      <c r="M49" s="195">
        <v>1636010</v>
      </c>
      <c r="N49" s="193">
        <v>902054</v>
      </c>
      <c r="O49" s="193">
        <v>1003081</v>
      </c>
      <c r="P49" s="193">
        <v>1208241</v>
      </c>
      <c r="Q49" s="195">
        <v>1220540</v>
      </c>
      <c r="R49" s="193">
        <v>1209000</v>
      </c>
      <c r="S49" s="193">
        <v>1234618</v>
      </c>
      <c r="T49" s="193">
        <v>1294139</v>
      </c>
      <c r="U49" s="195">
        <v>1313005</v>
      </c>
      <c r="V49" s="193">
        <v>828203</v>
      </c>
      <c r="W49" s="193">
        <v>638886</v>
      </c>
      <c r="X49" s="193">
        <v>296035</v>
      </c>
      <c r="Y49" s="195">
        <v>372810</v>
      </c>
      <c r="Z49" s="193">
        <v>384849</v>
      </c>
      <c r="AA49" s="193">
        <v>399393</v>
      </c>
      <c r="AB49" s="193">
        <v>405951</v>
      </c>
      <c r="AC49" s="195">
        <v>499982</v>
      </c>
      <c r="AD49" s="193">
        <v>503306</v>
      </c>
      <c r="AE49" s="193">
        <v>523549</v>
      </c>
      <c r="AF49" s="193">
        <v>421795</v>
      </c>
      <c r="AG49" s="195">
        <v>549928</v>
      </c>
      <c r="AH49" s="193">
        <v>619650</v>
      </c>
      <c r="AI49" s="193">
        <v>694374</v>
      </c>
      <c r="AJ49" s="193">
        <v>828910</v>
      </c>
      <c r="AK49" s="195">
        <v>403089</v>
      </c>
      <c r="AL49" s="193">
        <v>351811</v>
      </c>
      <c r="AM49" s="193">
        <v>311905</v>
      </c>
      <c r="AN49" s="193">
        <v>289865</v>
      </c>
      <c r="AO49" s="195">
        <v>274688</v>
      </c>
    </row>
    <row r="50" spans="1:41">
      <c r="B50" s="220" t="s">
        <v>408</v>
      </c>
      <c r="C50" s="193">
        <v>9128</v>
      </c>
      <c r="D50" s="193">
        <v>8224</v>
      </c>
      <c r="E50" s="195">
        <v>8759</v>
      </c>
      <c r="F50" s="193">
        <v>8971</v>
      </c>
      <c r="G50" s="193">
        <v>9458</v>
      </c>
      <c r="H50" s="193">
        <v>9929</v>
      </c>
      <c r="I50" s="195">
        <v>10308</v>
      </c>
      <c r="J50" s="193">
        <v>10271</v>
      </c>
      <c r="K50" s="193">
        <v>9593</v>
      </c>
      <c r="L50" s="193">
        <v>9928</v>
      </c>
      <c r="M50" s="195">
        <v>9018</v>
      </c>
      <c r="N50" s="193">
        <v>0</v>
      </c>
      <c r="O50" s="193">
        <v>0</v>
      </c>
      <c r="P50" s="193">
        <v>0</v>
      </c>
      <c r="Q50" s="195">
        <v>0</v>
      </c>
      <c r="R50" s="193">
        <v>0</v>
      </c>
      <c r="S50" s="193">
        <v>0</v>
      </c>
      <c r="T50" s="193">
        <v>0</v>
      </c>
      <c r="U50" s="195">
        <v>0</v>
      </c>
      <c r="V50" s="193">
        <v>0</v>
      </c>
      <c r="W50" s="193">
        <v>0</v>
      </c>
      <c r="X50" s="193">
        <v>0</v>
      </c>
      <c r="Y50" s="195">
        <v>0</v>
      </c>
      <c r="Z50" s="193">
        <v>0</v>
      </c>
      <c r="AA50" s="193">
        <v>0</v>
      </c>
      <c r="AB50" s="193">
        <v>0</v>
      </c>
      <c r="AC50" s="195">
        <v>0</v>
      </c>
      <c r="AD50" s="193">
        <v>0</v>
      </c>
      <c r="AE50" s="193">
        <v>0</v>
      </c>
      <c r="AF50" s="193">
        <v>0</v>
      </c>
      <c r="AG50" s="195">
        <v>0</v>
      </c>
      <c r="AH50" s="193">
        <v>0</v>
      </c>
      <c r="AI50" s="193">
        <v>0</v>
      </c>
      <c r="AJ50" s="193">
        <v>0</v>
      </c>
      <c r="AK50" s="195">
        <v>0</v>
      </c>
      <c r="AL50" s="193">
        <v>0</v>
      </c>
      <c r="AM50" s="193">
        <v>0</v>
      </c>
      <c r="AN50" s="193">
        <v>0</v>
      </c>
      <c r="AO50" s="195">
        <v>0</v>
      </c>
    </row>
    <row r="51" spans="1:41">
      <c r="B51" s="220" t="s">
        <v>232</v>
      </c>
      <c r="C51" s="193">
        <v>0</v>
      </c>
      <c r="D51" s="193">
        <v>0</v>
      </c>
      <c r="E51" s="195"/>
      <c r="F51" s="193">
        <v>0</v>
      </c>
      <c r="G51" s="193">
        <v>0</v>
      </c>
      <c r="H51" s="193">
        <v>0</v>
      </c>
      <c r="I51" s="195">
        <v>0</v>
      </c>
      <c r="J51" s="193">
        <v>0</v>
      </c>
      <c r="K51" s="193">
        <v>0</v>
      </c>
      <c r="L51" s="193">
        <v>0</v>
      </c>
      <c r="M51" s="195">
        <v>0</v>
      </c>
      <c r="N51" s="193">
        <v>0</v>
      </c>
      <c r="O51" s="193">
        <v>0</v>
      </c>
      <c r="P51" s="193">
        <v>0</v>
      </c>
      <c r="Q51" s="195">
        <v>0</v>
      </c>
      <c r="R51" s="193">
        <v>0</v>
      </c>
      <c r="S51" s="193">
        <v>0</v>
      </c>
      <c r="T51" s="193">
        <v>0</v>
      </c>
      <c r="U51" s="195">
        <v>0</v>
      </c>
      <c r="V51" s="193">
        <v>744253</v>
      </c>
      <c r="W51" s="193">
        <v>684413</v>
      </c>
      <c r="X51" s="193">
        <v>779525</v>
      </c>
      <c r="Y51" s="195">
        <v>711015</v>
      </c>
      <c r="Z51" s="193">
        <v>771811</v>
      </c>
      <c r="AA51" s="193">
        <v>0</v>
      </c>
      <c r="AB51" s="193">
        <v>0</v>
      </c>
      <c r="AC51" s="195">
        <v>0</v>
      </c>
      <c r="AD51" s="193">
        <v>0</v>
      </c>
      <c r="AE51" s="193">
        <v>0</v>
      </c>
      <c r="AF51" s="193">
        <v>0</v>
      </c>
      <c r="AG51" s="195">
        <v>0</v>
      </c>
      <c r="AH51" s="193">
        <v>0</v>
      </c>
      <c r="AI51" s="193">
        <v>0</v>
      </c>
      <c r="AJ51" s="193">
        <v>0</v>
      </c>
      <c r="AK51" s="195">
        <v>0</v>
      </c>
      <c r="AL51" s="193">
        <v>0</v>
      </c>
      <c r="AM51" s="193">
        <v>0</v>
      </c>
      <c r="AN51" s="193">
        <v>0</v>
      </c>
      <c r="AO51" s="195">
        <v>0</v>
      </c>
    </row>
    <row r="52" spans="1:41">
      <c r="B52" s="220" t="s">
        <v>216</v>
      </c>
      <c r="C52" s="193">
        <v>0</v>
      </c>
      <c r="D52" s="193">
        <v>2500</v>
      </c>
      <c r="E52" s="195">
        <v>3103</v>
      </c>
      <c r="F52" s="193">
        <v>0</v>
      </c>
      <c r="G52" s="193">
        <v>0</v>
      </c>
      <c r="H52" s="193">
        <v>0</v>
      </c>
      <c r="I52" s="195">
        <v>0</v>
      </c>
      <c r="J52" s="193">
        <v>0</v>
      </c>
      <c r="K52" s="193">
        <v>0</v>
      </c>
      <c r="L52" s="193">
        <v>0</v>
      </c>
      <c r="M52" s="195">
        <v>0</v>
      </c>
      <c r="N52" s="193">
        <v>0</v>
      </c>
      <c r="O52" s="193">
        <v>0</v>
      </c>
      <c r="P52" s="193">
        <v>0</v>
      </c>
      <c r="Q52" s="195">
        <v>0</v>
      </c>
      <c r="R52" s="193">
        <v>0</v>
      </c>
      <c r="S52" s="193">
        <v>0</v>
      </c>
      <c r="T52" s="193">
        <v>0</v>
      </c>
      <c r="U52" s="195">
        <v>0</v>
      </c>
      <c r="V52" s="193">
        <v>0</v>
      </c>
      <c r="W52" s="193">
        <v>0</v>
      </c>
      <c r="X52" s="193">
        <v>0</v>
      </c>
      <c r="Y52" s="195">
        <v>0</v>
      </c>
      <c r="Z52" s="193">
        <v>0</v>
      </c>
      <c r="AA52" s="193">
        <v>0</v>
      </c>
      <c r="AB52" s="193">
        <v>0</v>
      </c>
      <c r="AC52" s="195">
        <v>0</v>
      </c>
      <c r="AD52" s="193">
        <v>52</v>
      </c>
      <c r="AE52" s="193">
        <v>0</v>
      </c>
      <c r="AF52" s="193">
        <v>0</v>
      </c>
      <c r="AG52" s="195">
        <v>386</v>
      </c>
      <c r="AH52" s="193">
        <v>459</v>
      </c>
      <c r="AI52" s="193">
        <v>743</v>
      </c>
      <c r="AJ52" s="193">
        <v>11210</v>
      </c>
      <c r="AK52" s="195">
        <v>4089</v>
      </c>
      <c r="AL52" s="193">
        <v>3034</v>
      </c>
      <c r="AM52" s="193">
        <v>4153</v>
      </c>
      <c r="AN52" s="193">
        <v>5099</v>
      </c>
      <c r="AO52" s="195">
        <v>5958</v>
      </c>
    </row>
    <row r="53" spans="1:41">
      <c r="B53" s="220" t="s">
        <v>222</v>
      </c>
      <c r="C53" s="193">
        <v>963353</v>
      </c>
      <c r="D53" s="193">
        <v>916946</v>
      </c>
      <c r="E53" s="195">
        <v>910898</v>
      </c>
      <c r="F53" s="193">
        <v>932700</v>
      </c>
      <c r="G53" s="193">
        <v>945264</v>
      </c>
      <c r="H53" s="193">
        <v>953631</v>
      </c>
      <c r="I53" s="195">
        <v>942927</v>
      </c>
      <c r="J53" s="193">
        <v>860895</v>
      </c>
      <c r="K53" s="193">
        <v>851681</v>
      </c>
      <c r="L53" s="193">
        <v>834083</v>
      </c>
      <c r="M53" s="195">
        <v>757337</v>
      </c>
      <c r="N53" s="193">
        <v>824535</v>
      </c>
      <c r="O53" s="193">
        <v>786203</v>
      </c>
      <c r="P53" s="193">
        <v>729230</v>
      </c>
      <c r="Q53" s="195">
        <v>660385</v>
      </c>
      <c r="R53" s="193">
        <v>700940</v>
      </c>
      <c r="S53" s="193">
        <v>721185</v>
      </c>
      <c r="T53" s="193">
        <v>641028</v>
      </c>
      <c r="U53" s="195">
        <v>631290</v>
      </c>
      <c r="V53" s="193">
        <v>484408</v>
      </c>
      <c r="W53" s="193">
        <v>392578</v>
      </c>
      <c r="X53" s="193">
        <v>336495</v>
      </c>
      <c r="Y53" s="195">
        <v>317912</v>
      </c>
      <c r="Z53" s="193">
        <v>328277</v>
      </c>
      <c r="AA53" s="193">
        <v>325895</v>
      </c>
      <c r="AB53" s="193">
        <v>316694</v>
      </c>
      <c r="AC53" s="195">
        <v>296628</v>
      </c>
      <c r="AD53" s="193">
        <v>293936</v>
      </c>
      <c r="AE53" s="193">
        <v>295186</v>
      </c>
      <c r="AF53" s="193">
        <v>277802</v>
      </c>
      <c r="AG53" s="195">
        <v>273968</v>
      </c>
      <c r="AH53" s="193">
        <v>264629</v>
      </c>
      <c r="AI53" s="193">
        <v>243426</v>
      </c>
      <c r="AJ53" s="193">
        <v>235592</v>
      </c>
      <c r="AK53" s="195">
        <v>207127</v>
      </c>
      <c r="AL53" s="193">
        <v>254542</v>
      </c>
      <c r="AM53" s="193">
        <v>246927</v>
      </c>
      <c r="AN53" s="193">
        <v>235714</v>
      </c>
      <c r="AO53" s="195">
        <v>178140</v>
      </c>
    </row>
    <row r="54" spans="1:41">
      <c r="B54" s="220" t="s">
        <v>310</v>
      </c>
      <c r="C54" s="193">
        <v>85438</v>
      </c>
      <c r="D54" s="193">
        <f>54751+33908</f>
        <v>88659</v>
      </c>
      <c r="E54" s="195">
        <f>55156+34861</f>
        <v>90017</v>
      </c>
      <c r="F54" s="193">
        <v>70883</v>
      </c>
      <c r="G54" s="193">
        <v>70259</v>
      </c>
      <c r="H54" s="193">
        <v>67345</v>
      </c>
      <c r="I54" s="195">
        <v>66488</v>
      </c>
      <c r="J54" s="193">
        <v>73655.199999999997</v>
      </c>
      <c r="K54" s="193">
        <v>71173</v>
      </c>
      <c r="L54" s="193">
        <v>73943</v>
      </c>
      <c r="M54" s="195">
        <v>69526</v>
      </c>
      <c r="N54" s="193">
        <v>77747</v>
      </c>
      <c r="O54" s="193">
        <v>70416</v>
      </c>
      <c r="P54" s="193">
        <v>72997</v>
      </c>
      <c r="Q54" s="195">
        <v>72103</v>
      </c>
      <c r="R54" s="193">
        <v>106766</v>
      </c>
      <c r="S54" s="193">
        <v>104947</v>
      </c>
      <c r="T54" s="193">
        <v>102684</v>
      </c>
      <c r="U54" s="195">
        <v>94986</v>
      </c>
      <c r="V54" s="193">
        <v>74541</v>
      </c>
      <c r="W54" s="193">
        <v>49889</v>
      </c>
      <c r="X54" s="193">
        <v>43007</v>
      </c>
      <c r="Y54" s="195">
        <v>40312</v>
      </c>
      <c r="Z54" s="193">
        <v>49590</v>
      </c>
      <c r="AA54" s="193">
        <v>45725</v>
      </c>
      <c r="AB54" s="193">
        <v>46391</v>
      </c>
      <c r="AC54" s="195">
        <v>47958</v>
      </c>
      <c r="AD54" s="193">
        <f>44289+8563</f>
        <v>52852</v>
      </c>
      <c r="AE54" s="193">
        <v>73987</v>
      </c>
      <c r="AF54" s="193">
        <v>73125</v>
      </c>
      <c r="AG54" s="195">
        <f>49410+17346</f>
        <v>66756</v>
      </c>
      <c r="AH54" s="193">
        <f>39918+25591</f>
        <v>65509</v>
      </c>
      <c r="AI54" s="193">
        <f>90153+27262</f>
        <v>117415</v>
      </c>
      <c r="AJ54" s="193">
        <v>96812</v>
      </c>
      <c r="AK54" s="195">
        <f>105360+24878</f>
        <v>130238</v>
      </c>
      <c r="AL54" s="193">
        <f>98704+24036</f>
        <v>122740</v>
      </c>
      <c r="AM54" s="193">
        <f>102120+23048</f>
        <v>125168</v>
      </c>
      <c r="AN54" s="193">
        <f>105068+21922</f>
        <v>126990</v>
      </c>
      <c r="AO54" s="195">
        <f>103365+19214</f>
        <v>122579</v>
      </c>
    </row>
    <row r="55" spans="1:41">
      <c r="B55" s="220" t="s">
        <v>224</v>
      </c>
      <c r="C55" s="193">
        <v>48049</v>
      </c>
      <c r="D55" s="193">
        <f>2782+23394+1654+12869+90</f>
        <v>40789</v>
      </c>
      <c r="E55" s="195">
        <f>2782+21985+1986+13528+1693</f>
        <v>41974</v>
      </c>
      <c r="F55" s="193">
        <v>45380</v>
      </c>
      <c r="G55" s="193">
        <f>47301+2879</f>
        <v>50180</v>
      </c>
      <c r="H55" s="193">
        <v>47766</v>
      </c>
      <c r="I55" s="195">
        <v>48646</v>
      </c>
      <c r="J55" s="193">
        <v>186358</v>
      </c>
      <c r="K55" s="193">
        <v>185913</v>
      </c>
      <c r="L55" s="193">
        <v>188465</v>
      </c>
      <c r="M55" s="195">
        <v>186564</v>
      </c>
      <c r="N55" s="193">
        <v>180292</v>
      </c>
      <c r="O55" s="193">
        <v>183831</v>
      </c>
      <c r="P55" s="193">
        <v>218114</v>
      </c>
      <c r="Q55" s="195">
        <v>190279</v>
      </c>
      <c r="R55" s="193">
        <v>82416</v>
      </c>
      <c r="S55" s="193">
        <v>85917</v>
      </c>
      <c r="T55" s="193">
        <v>145907</v>
      </c>
      <c r="U55" s="195">
        <v>91269</v>
      </c>
      <c r="V55" s="193">
        <v>99554</v>
      </c>
      <c r="W55" s="193">
        <v>101410</v>
      </c>
      <c r="X55" s="193">
        <v>140493</v>
      </c>
      <c r="Y55" s="195">
        <v>107050</v>
      </c>
      <c r="Z55" s="193">
        <v>105515</v>
      </c>
      <c r="AA55" s="193">
        <v>833099</v>
      </c>
      <c r="AB55" s="193">
        <v>775065</v>
      </c>
      <c r="AC55" s="195">
        <v>605953</v>
      </c>
      <c r="AD55" s="193">
        <f>3015+45220+569881</f>
        <v>618116</v>
      </c>
      <c r="AE55" s="193">
        <v>574298</v>
      </c>
      <c r="AF55" s="193">
        <v>586004</v>
      </c>
      <c r="AG55" s="195">
        <f>2498+530287+43200</f>
        <v>575985</v>
      </c>
      <c r="AH55" s="193">
        <f>548235+39897</f>
        <v>588132</v>
      </c>
      <c r="AI55" s="193">
        <f>527478+41570</f>
        <v>569048</v>
      </c>
      <c r="AJ55" s="193">
        <f>25562+454955+44462</f>
        <v>524979</v>
      </c>
      <c r="AK55" s="195">
        <f>452660+44522</f>
        <v>497182</v>
      </c>
      <c r="AL55" s="193">
        <f>1225+433426+38805</f>
        <v>473456</v>
      </c>
      <c r="AM55" s="193">
        <f>113802+452689+39370</f>
        <v>605861</v>
      </c>
      <c r="AN55" s="193">
        <f>108605+436096+38461</f>
        <v>583162</v>
      </c>
      <c r="AO55" s="195">
        <f>99399+443436+59369</f>
        <v>602204</v>
      </c>
    </row>
    <row r="56" spans="1:41" ht="15.75" thickBot="1">
      <c r="A56" s="196"/>
      <c r="B56" s="228" t="s">
        <v>225</v>
      </c>
      <c r="C56" s="198">
        <f t="shared" ref="C56" si="46">SUM(C57:C63)</f>
        <v>2010867</v>
      </c>
      <c r="D56" s="198">
        <f t="shared" ref="D56" si="47">SUM(D57:D63)</f>
        <v>1886590</v>
      </c>
      <c r="E56" s="200">
        <f t="shared" ref="E56" si="48">SUM(E57:E63)</f>
        <v>1816695</v>
      </c>
      <c r="F56" s="198">
        <f t="shared" ref="F56" si="49">SUM(F57:F63)</f>
        <v>2484401</v>
      </c>
      <c r="G56" s="198">
        <f t="shared" ref="G56" si="50">SUM(G57:G63)</f>
        <v>2827928</v>
      </c>
      <c r="H56" s="198">
        <f t="shared" ref="H56" si="51">SUM(H57:H63)</f>
        <v>2671407</v>
      </c>
      <c r="I56" s="200">
        <f t="shared" ref="I56" si="52">SUM(I57:I63)</f>
        <v>2813929</v>
      </c>
      <c r="J56" s="198">
        <f>SUM(J57:J63)</f>
        <v>2784194</v>
      </c>
      <c r="K56" s="198">
        <f t="shared" ref="K56" si="53">SUM(K57:K63)</f>
        <v>2698807</v>
      </c>
      <c r="L56" s="198">
        <f t="shared" ref="L56" si="54">SUM(L57:L63)</f>
        <v>2559331</v>
      </c>
      <c r="M56" s="200">
        <f t="shared" ref="M56" si="55">SUM(M57:M63)</f>
        <v>2447852</v>
      </c>
      <c r="N56" s="198">
        <f t="shared" ref="N56" si="56">SUM(N57:N63)</f>
        <v>2835953</v>
      </c>
      <c r="O56" s="198">
        <f t="shared" ref="O56" si="57">SUM(O57:O63)</f>
        <v>2637843</v>
      </c>
      <c r="P56" s="198">
        <f t="shared" ref="P56" si="58">SUM(P57:P63)</f>
        <v>2596076</v>
      </c>
      <c r="Q56" s="200">
        <f t="shared" ref="Q56" si="59">SUM(Q57:Q63)</f>
        <v>2355333</v>
      </c>
      <c r="R56" s="198">
        <f t="shared" ref="R56" si="60">SUM(R57:R63)</f>
        <v>2857136</v>
      </c>
      <c r="S56" s="198">
        <f t="shared" ref="S56" si="61">SUM(S57:S63)</f>
        <v>3259736</v>
      </c>
      <c r="T56" s="198">
        <f t="shared" ref="T56" si="62">SUM(T57:T63)</f>
        <v>2676599</v>
      </c>
      <c r="U56" s="200">
        <v>2321437</v>
      </c>
      <c r="V56" s="198">
        <f t="shared" ref="V56:W56" si="63">SUM(V57:V63)</f>
        <v>2566222</v>
      </c>
      <c r="W56" s="198">
        <f t="shared" si="63"/>
        <v>2001995</v>
      </c>
      <c r="X56" s="198">
        <f t="shared" ref="X56" si="64">SUM(X57:X63)</f>
        <v>2092508</v>
      </c>
      <c r="Y56" s="200">
        <f t="shared" ref="Y56:AA56" si="65">SUM(Y57:Y63)</f>
        <v>1739039</v>
      </c>
      <c r="Z56" s="198">
        <f t="shared" si="65"/>
        <v>1537359</v>
      </c>
      <c r="AA56" s="198">
        <f t="shared" si="65"/>
        <v>1409410</v>
      </c>
      <c r="AB56" s="198">
        <f t="shared" ref="AB56" si="66">SUM(AB57:AB63)</f>
        <v>1391371</v>
      </c>
      <c r="AC56" s="200">
        <f t="shared" ref="AC56" si="67">SUM(AC57:AC63)</f>
        <v>1483223</v>
      </c>
      <c r="AD56" s="198">
        <f t="shared" ref="AD56" si="68">SUM(AD57:AD63)</f>
        <v>1385826</v>
      </c>
      <c r="AE56" s="198">
        <f t="shared" ref="AE56:AI56" si="69">SUM(AE57:AE63)</f>
        <v>1453417</v>
      </c>
      <c r="AF56" s="198">
        <f t="shared" si="69"/>
        <v>1463824</v>
      </c>
      <c r="AG56" s="200">
        <f t="shared" si="69"/>
        <v>1445942</v>
      </c>
      <c r="AH56" s="198">
        <f t="shared" si="69"/>
        <v>1373512</v>
      </c>
      <c r="AI56" s="198">
        <f t="shared" si="69"/>
        <v>1228517</v>
      </c>
      <c r="AJ56" s="198">
        <v>1218808</v>
      </c>
      <c r="AK56" s="200">
        <v>1072831</v>
      </c>
      <c r="AL56" s="198">
        <v>1078932</v>
      </c>
      <c r="AM56" s="198">
        <v>1320725</v>
      </c>
      <c r="AN56" s="198">
        <v>1286263</v>
      </c>
      <c r="AO56" s="200">
        <v>1286159</v>
      </c>
    </row>
    <row r="57" spans="1:41" ht="15" thickTop="1">
      <c r="B57" s="229" t="s">
        <v>226</v>
      </c>
      <c r="C57" s="193">
        <v>1170110</v>
      </c>
      <c r="D57" s="193">
        <v>1170110</v>
      </c>
      <c r="E57" s="195">
        <v>1170110</v>
      </c>
      <c r="F57" s="193">
        <v>1170110</v>
      </c>
      <c r="G57" s="193">
        <v>1170110</v>
      </c>
      <c r="H57" s="193">
        <v>1170110</v>
      </c>
      <c r="I57" s="195">
        <v>1170110</v>
      </c>
      <c r="J57" s="193">
        <v>1170110</v>
      </c>
      <c r="K57" s="193">
        <v>1170110</v>
      </c>
      <c r="L57" s="193">
        <v>927877</v>
      </c>
      <c r="M57" s="195">
        <v>927877</v>
      </c>
      <c r="N57" s="193">
        <v>927877</v>
      </c>
      <c r="O57" s="193">
        <v>927877</v>
      </c>
      <c r="P57" s="193">
        <v>927877</v>
      </c>
      <c r="Q57" s="195">
        <v>927877</v>
      </c>
      <c r="R57" s="193">
        <v>927877</v>
      </c>
      <c r="S57" s="193">
        <v>927877</v>
      </c>
      <c r="T57" s="193">
        <v>699002</v>
      </c>
      <c r="U57" s="195">
        <v>699002</v>
      </c>
      <c r="V57" s="193">
        <v>699002</v>
      </c>
      <c r="W57" s="193">
        <v>699002</v>
      </c>
      <c r="X57" s="193">
        <v>699002</v>
      </c>
      <c r="Y57" s="195">
        <v>699002</v>
      </c>
      <c r="Z57" s="193">
        <v>699002</v>
      </c>
      <c r="AA57" s="193">
        <v>699002</v>
      </c>
      <c r="AB57" s="193">
        <v>699002</v>
      </c>
      <c r="AC57" s="195">
        <v>699002</v>
      </c>
      <c r="AD57" s="193">
        <v>699002</v>
      </c>
      <c r="AE57" s="193">
        <v>699002</v>
      </c>
      <c r="AF57" s="193">
        <v>474715</v>
      </c>
      <c r="AG57" s="195">
        <v>474415</v>
      </c>
      <c r="AH57" s="193">
        <v>384331</v>
      </c>
      <c r="AI57" s="193">
        <v>384331</v>
      </c>
      <c r="AJ57" s="193">
        <v>384331</v>
      </c>
      <c r="AK57" s="195">
        <v>384331</v>
      </c>
      <c r="AL57" s="193">
        <v>384331</v>
      </c>
      <c r="AM57" s="193">
        <v>384331</v>
      </c>
      <c r="AN57" s="193">
        <v>384331</v>
      </c>
      <c r="AO57" s="195">
        <v>384331</v>
      </c>
    </row>
    <row r="58" spans="1:41">
      <c r="B58" s="229" t="s">
        <v>227</v>
      </c>
      <c r="C58" s="193">
        <v>-81793</v>
      </c>
      <c r="D58" s="193">
        <v>-81793</v>
      </c>
      <c r="E58" s="195">
        <v>-81793</v>
      </c>
      <c r="F58" s="193">
        <v>-81793</v>
      </c>
      <c r="G58" s="193">
        <v>-74788</v>
      </c>
      <c r="H58" s="193">
        <v>-46922</v>
      </c>
      <c r="I58" s="195">
        <v>-22080</v>
      </c>
      <c r="J58" s="193">
        <v>-46819</v>
      </c>
      <c r="K58" s="193">
        <v>-45913</v>
      </c>
      <c r="L58" s="193">
        <v>-45913</v>
      </c>
      <c r="M58" s="195">
        <v>-28276</v>
      </c>
      <c r="N58" s="193">
        <v>-28276</v>
      </c>
      <c r="O58" s="193">
        <v>-32621</v>
      </c>
      <c r="P58" s="193">
        <v>-31039</v>
      </c>
      <c r="Q58" s="195">
        <v>-31039</v>
      </c>
      <c r="R58" s="193">
        <v>-31039</v>
      </c>
      <c r="S58" s="193">
        <v>-30802</v>
      </c>
      <c r="T58" s="193">
        <v>-1401</v>
      </c>
      <c r="U58" s="195">
        <v>-1401</v>
      </c>
      <c r="V58" s="193">
        <v>-1401</v>
      </c>
      <c r="W58" s="193">
        <v>-1401</v>
      </c>
      <c r="X58" s="193">
        <v>-1401</v>
      </c>
      <c r="Y58" s="195">
        <v>-1154</v>
      </c>
      <c r="Z58" s="193">
        <v>-37378</v>
      </c>
      <c r="AA58" s="193">
        <v>-40711</v>
      </c>
      <c r="AB58" s="193">
        <v>-27807</v>
      </c>
      <c r="AC58" s="195">
        <v>-101459</v>
      </c>
      <c r="AD58" s="193">
        <v>-91222</v>
      </c>
      <c r="AE58" s="193">
        <v>-41146</v>
      </c>
      <c r="AF58" s="193">
        <v>-12584</v>
      </c>
      <c r="AG58" s="195">
        <v>-33221</v>
      </c>
      <c r="AH58" s="193">
        <v>-14879</v>
      </c>
      <c r="AI58" s="193">
        <v>-14879</v>
      </c>
      <c r="AJ58" s="193">
        <v>-14879</v>
      </c>
      <c r="AK58" s="195">
        <v>-14879</v>
      </c>
      <c r="AL58" s="193">
        <v>-14879</v>
      </c>
      <c r="AM58" s="193">
        <v>-14879</v>
      </c>
      <c r="AN58" s="193">
        <v>-14879</v>
      </c>
      <c r="AO58" s="195">
        <v>-14879</v>
      </c>
    </row>
    <row r="59" spans="1:41">
      <c r="B59" s="229" t="s">
        <v>228</v>
      </c>
      <c r="C59" s="193">
        <v>565727</v>
      </c>
      <c r="D59" s="193">
        <v>561500</v>
      </c>
      <c r="E59" s="195">
        <v>561500</v>
      </c>
      <c r="F59" s="193">
        <v>1146551</v>
      </c>
      <c r="G59" s="193">
        <v>1148077</v>
      </c>
      <c r="H59" s="193">
        <v>1142556</v>
      </c>
      <c r="I59" s="195">
        <v>1392556</v>
      </c>
      <c r="J59" s="193">
        <v>1185348</v>
      </c>
      <c r="K59" s="193">
        <v>1178663</v>
      </c>
      <c r="L59" s="193">
        <v>1412878</v>
      </c>
      <c r="M59" s="195">
        <v>1521186</v>
      </c>
      <c r="N59" s="193">
        <v>928860</v>
      </c>
      <c r="O59" s="193">
        <v>928860</v>
      </c>
      <c r="P59" s="193">
        <v>1010773</v>
      </c>
      <c r="Q59" s="195">
        <v>1010773</v>
      </c>
      <c r="R59" s="193">
        <v>919223</v>
      </c>
      <c r="S59" s="193">
        <v>919223</v>
      </c>
      <c r="T59" s="193">
        <v>1147566</v>
      </c>
      <c r="U59" s="195">
        <v>1147566</v>
      </c>
      <c r="V59" s="193">
        <v>682286</v>
      </c>
      <c r="W59" s="193">
        <v>710286</v>
      </c>
      <c r="X59" s="193">
        <v>804599</v>
      </c>
      <c r="Y59" s="195">
        <v>804599</v>
      </c>
      <c r="Z59" s="193">
        <v>559374</v>
      </c>
      <c r="AA59" s="193">
        <v>611711</v>
      </c>
      <c r="AB59" s="193">
        <v>611165</v>
      </c>
      <c r="AC59" s="195">
        <v>736249</v>
      </c>
      <c r="AD59" s="193">
        <v>603952</v>
      </c>
      <c r="AE59" s="193">
        <v>603952</v>
      </c>
      <c r="AF59" s="193">
        <v>828039</v>
      </c>
      <c r="AG59" s="195">
        <v>872230</v>
      </c>
      <c r="AH59" s="193">
        <v>580224</v>
      </c>
      <c r="AI59" s="193">
        <v>580224</v>
      </c>
      <c r="AJ59" s="193">
        <v>579807</v>
      </c>
      <c r="AK59" s="195">
        <v>579807</v>
      </c>
      <c r="AL59" s="193">
        <v>368260</v>
      </c>
      <c r="AM59" s="193">
        <v>731060</v>
      </c>
      <c r="AN59" s="193">
        <v>730701</v>
      </c>
      <c r="AO59" s="195">
        <v>730701</v>
      </c>
    </row>
    <row r="60" spans="1:41">
      <c r="B60" s="229" t="s">
        <v>385</v>
      </c>
      <c r="C60" s="193">
        <v>13191</v>
      </c>
      <c r="D60" s="193">
        <f>6425+6316</f>
        <v>12741</v>
      </c>
      <c r="E60" s="195">
        <f>6425+5866</f>
        <v>12291</v>
      </c>
      <c r="F60" s="193">
        <v>11841</v>
      </c>
      <c r="G60" s="193">
        <v>15495</v>
      </c>
      <c r="H60" s="193">
        <f>3819+10609</f>
        <v>14428</v>
      </c>
      <c r="I60" s="195">
        <f>9541+3819</f>
        <v>13360</v>
      </c>
      <c r="J60" s="193">
        <v>13529</v>
      </c>
      <c r="K60" s="193">
        <v>15364</v>
      </c>
      <c r="L60" s="193">
        <v>13186</v>
      </c>
      <c r="M60" s="195">
        <v>11420</v>
      </c>
      <c r="N60" s="193">
        <v>9654</v>
      </c>
      <c r="O60" s="193">
        <v>13266</v>
      </c>
      <c r="P60" s="193">
        <v>9870</v>
      </c>
      <c r="Q60" s="195">
        <v>6474</v>
      </c>
      <c r="R60" s="193">
        <v>3078</v>
      </c>
      <c r="S60" s="193"/>
      <c r="T60" s="193"/>
      <c r="U60" s="195"/>
      <c r="V60" s="193"/>
      <c r="W60" s="193"/>
      <c r="X60" s="193"/>
      <c r="Y60" s="195"/>
      <c r="Z60" s="193"/>
      <c r="AA60" s="193"/>
      <c r="AB60" s="193"/>
      <c r="AC60" s="195"/>
      <c r="AD60" s="193"/>
      <c r="AE60" s="193"/>
      <c r="AF60" s="193"/>
      <c r="AG60" s="195"/>
      <c r="AH60" s="193"/>
      <c r="AI60" s="193"/>
      <c r="AJ60" s="193"/>
      <c r="AK60" s="195"/>
      <c r="AL60" s="193"/>
      <c r="AM60" s="193"/>
      <c r="AN60" s="193"/>
      <c r="AO60" s="195"/>
    </row>
    <row r="61" spans="1:41">
      <c r="B61" s="229" t="s">
        <v>229</v>
      </c>
      <c r="C61" s="193">
        <v>162546</v>
      </c>
      <c r="D61" s="193">
        <v>37472</v>
      </c>
      <c r="E61" s="195">
        <v>0</v>
      </c>
      <c r="F61" s="193">
        <v>109148</v>
      </c>
      <c r="G61" s="193">
        <v>384610</v>
      </c>
      <c r="H61" s="193">
        <v>151382</v>
      </c>
      <c r="I61" s="195">
        <v>0</v>
      </c>
      <c r="J61" s="193">
        <v>263340</v>
      </c>
      <c r="K61" s="193">
        <v>144766</v>
      </c>
      <c r="L61" s="193">
        <v>55992</v>
      </c>
      <c r="M61" s="195">
        <v>0</v>
      </c>
      <c r="N61" s="193">
        <v>627355</v>
      </c>
      <c r="O61" s="193">
        <v>437446</v>
      </c>
      <c r="P61" s="193">
        <v>251769</v>
      </c>
      <c r="Q61" s="195">
        <v>0</v>
      </c>
      <c r="R61" s="193">
        <v>552807</v>
      </c>
      <c r="S61" s="193">
        <v>979966</v>
      </c>
      <c r="T61" s="193">
        <v>445396</v>
      </c>
      <c r="U61" s="195">
        <v>0</v>
      </c>
      <c r="V61" s="193">
        <v>778800</v>
      </c>
      <c r="W61" s="193">
        <v>272620</v>
      </c>
      <c r="X61" s="193">
        <v>277547</v>
      </c>
      <c r="Y61" s="195">
        <v>0</v>
      </c>
      <c r="Z61" s="193">
        <v>82527</v>
      </c>
      <c r="AA61" s="193">
        <v>-72350</v>
      </c>
      <c r="AB61" s="193">
        <v>-92219</v>
      </c>
      <c r="AC61" s="195">
        <v>0</v>
      </c>
      <c r="AD61" s="193">
        <v>54199</v>
      </c>
      <c r="AE61" s="193">
        <v>66792</v>
      </c>
      <c r="AF61" s="193">
        <v>56283</v>
      </c>
      <c r="AG61" s="195">
        <v>0</v>
      </c>
      <c r="AH61" s="193">
        <v>374232</v>
      </c>
      <c r="AI61" s="193">
        <v>229629</v>
      </c>
      <c r="AJ61" s="193">
        <v>158506</v>
      </c>
      <c r="AK61" s="195">
        <v>0</v>
      </c>
      <c r="AL61" s="193">
        <v>192820</v>
      </c>
      <c r="AM61" s="193">
        <v>59842</v>
      </c>
      <c r="AN61" s="193">
        <v>34466</v>
      </c>
      <c r="AO61" s="195">
        <v>0</v>
      </c>
    </row>
    <row r="62" spans="1:41">
      <c r="B62" s="229" t="s">
        <v>230</v>
      </c>
      <c r="C62" s="193">
        <v>169041</v>
      </c>
      <c r="D62" s="193">
        <v>172638</v>
      </c>
      <c r="E62" s="195">
        <v>141691</v>
      </c>
      <c r="F62" s="193">
        <v>114457</v>
      </c>
      <c r="G62" s="193">
        <v>166421</v>
      </c>
      <c r="H62" s="193">
        <v>218110</v>
      </c>
      <c r="I62" s="195">
        <v>236511</v>
      </c>
      <c r="J62" s="193">
        <v>177469</v>
      </c>
      <c r="K62" s="193">
        <v>213578</v>
      </c>
      <c r="L62" s="193">
        <v>168332</v>
      </c>
      <c r="M62" s="195">
        <v>-9874</v>
      </c>
      <c r="N62" s="193">
        <v>342873</v>
      </c>
      <c r="O62" s="193">
        <v>334447</v>
      </c>
      <c r="P62" s="193">
        <v>388386</v>
      </c>
      <c r="Q62" s="195">
        <v>403319</v>
      </c>
      <c r="R62" s="193">
        <v>446686</v>
      </c>
      <c r="S62" s="193">
        <v>424284</v>
      </c>
      <c r="T62" s="193">
        <v>351805</v>
      </c>
      <c r="U62" s="195">
        <v>443576</v>
      </c>
      <c r="V62" s="193">
        <v>376020</v>
      </c>
      <c r="W62" s="193">
        <v>301055</v>
      </c>
      <c r="X62" s="193">
        <v>294317</v>
      </c>
      <c r="Y62" s="195">
        <v>222560</v>
      </c>
      <c r="Z62" s="193">
        <v>223749</v>
      </c>
      <c r="AA62" s="193">
        <v>203367</v>
      </c>
      <c r="AB62" s="193">
        <v>192346</v>
      </c>
      <c r="AC62" s="195">
        <v>139261</v>
      </c>
      <c r="AD62" s="193">
        <v>58159</v>
      </c>
      <c r="AE62" s="193">
        <v>53567</v>
      </c>
      <c r="AF62" s="193">
        <v>21129</v>
      </c>
      <c r="AG62" s="195">
        <v>34096</v>
      </c>
      <c r="AH62" s="193">
        <v>-28955</v>
      </c>
      <c r="AI62" s="193">
        <v>-27323</v>
      </c>
      <c r="AJ62" s="193">
        <v>25717</v>
      </c>
      <c r="AK62" s="195">
        <v>41666</v>
      </c>
      <c r="AL62" s="193">
        <v>61150</v>
      </c>
      <c r="AM62" s="193">
        <v>76369</v>
      </c>
      <c r="AN62" s="193">
        <v>68368</v>
      </c>
      <c r="AO62" s="195">
        <v>-18405</v>
      </c>
    </row>
    <row r="63" spans="1:41">
      <c r="B63" s="229" t="s">
        <v>233</v>
      </c>
      <c r="C63" s="187">
        <v>12045</v>
      </c>
      <c r="D63" s="187">
        <v>13922</v>
      </c>
      <c r="E63" s="230">
        <v>12896</v>
      </c>
      <c r="F63" s="187">
        <v>14087</v>
      </c>
      <c r="G63" s="187">
        <v>18003</v>
      </c>
      <c r="H63" s="187">
        <v>21743</v>
      </c>
      <c r="I63" s="230">
        <v>23472</v>
      </c>
      <c r="J63" s="187">
        <v>21217</v>
      </c>
      <c r="K63" s="187">
        <v>22239</v>
      </c>
      <c r="L63" s="187">
        <v>26979</v>
      </c>
      <c r="M63" s="230">
        <v>25519</v>
      </c>
      <c r="N63" s="187">
        <v>27610</v>
      </c>
      <c r="O63" s="187">
        <v>28568</v>
      </c>
      <c r="P63" s="187">
        <v>38440</v>
      </c>
      <c r="Q63" s="230">
        <v>37929</v>
      </c>
      <c r="R63" s="187">
        <v>38504</v>
      </c>
      <c r="S63" s="187">
        <v>39188</v>
      </c>
      <c r="T63" s="187">
        <v>34231</v>
      </c>
      <c r="U63" s="230">
        <v>32694</v>
      </c>
      <c r="V63" s="187">
        <v>31515</v>
      </c>
      <c r="W63" s="187">
        <v>20433</v>
      </c>
      <c r="X63" s="187">
        <v>18444</v>
      </c>
      <c r="Y63" s="230">
        <v>14032</v>
      </c>
      <c r="Z63" s="187">
        <v>10085</v>
      </c>
      <c r="AA63" s="187">
        <v>8391</v>
      </c>
      <c r="AB63" s="187">
        <v>8884</v>
      </c>
      <c r="AC63" s="230">
        <v>10170</v>
      </c>
      <c r="AD63" s="187">
        <v>61736</v>
      </c>
      <c r="AE63" s="187">
        <v>71250</v>
      </c>
      <c r="AF63" s="187">
        <v>96242</v>
      </c>
      <c r="AG63" s="230">
        <v>98422</v>
      </c>
      <c r="AH63" s="187">
        <v>78559</v>
      </c>
      <c r="AI63" s="187">
        <v>76535</v>
      </c>
      <c r="AJ63" s="187">
        <v>85326</v>
      </c>
      <c r="AK63" s="230">
        <v>81906</v>
      </c>
      <c r="AL63" s="187">
        <v>87250</v>
      </c>
      <c r="AM63" s="187">
        <v>84002</v>
      </c>
      <c r="AN63" s="187">
        <v>83276</v>
      </c>
      <c r="AO63" s="230">
        <v>204411</v>
      </c>
    </row>
    <row r="64" spans="1:41">
      <c r="AJ64" s="231"/>
      <c r="AK64" s="231"/>
      <c r="AL64" s="231"/>
      <c r="AM64" s="231"/>
      <c r="AN64" s="231"/>
      <c r="AO64" s="231"/>
    </row>
  </sheetData>
  <mergeCells count="81">
    <mergeCell ref="R33:R34"/>
    <mergeCell ref="N10:N11"/>
    <mergeCell ref="N33:N34"/>
    <mergeCell ref="S10:S11"/>
    <mergeCell ref="E10:E11"/>
    <mergeCell ref="E33:E34"/>
    <mergeCell ref="F10:F11"/>
    <mergeCell ref="F33:F34"/>
    <mergeCell ref="H10:H11"/>
    <mergeCell ref="H33:H34"/>
    <mergeCell ref="L10:L11"/>
    <mergeCell ref="L33:L34"/>
    <mergeCell ref="G10:G11"/>
    <mergeCell ref="G33:G34"/>
    <mergeCell ref="M10:M11"/>
    <mergeCell ref="M33:M34"/>
    <mergeCell ref="J10:J11"/>
    <mergeCell ref="J33:J34"/>
    <mergeCell ref="K10:K11"/>
    <mergeCell ref="K33:K34"/>
    <mergeCell ref="AA33:AA34"/>
    <mergeCell ref="B7:B8"/>
    <mergeCell ref="B10:B11"/>
    <mergeCell ref="Y10:Y11"/>
    <mergeCell ref="Y33:Y34"/>
    <mergeCell ref="X10:X11"/>
    <mergeCell ref="X33:X34"/>
    <mergeCell ref="V10:V11"/>
    <mergeCell ref="V33:V34"/>
    <mergeCell ref="W10:W11"/>
    <mergeCell ref="W33:W34"/>
    <mergeCell ref="B33:B34"/>
    <mergeCell ref="U10:U11"/>
    <mergeCell ref="U33:U34"/>
    <mergeCell ref="T10:T11"/>
    <mergeCell ref="T33:T34"/>
    <mergeCell ref="AB10:AB11"/>
    <mergeCell ref="AB33:AB34"/>
    <mergeCell ref="AA10:AA11"/>
    <mergeCell ref="AO33:AO34"/>
    <mergeCell ref="AH10:AH11"/>
    <mergeCell ref="AH33:AH34"/>
    <mergeCell ref="AG10:AG11"/>
    <mergeCell ref="AG33:AG34"/>
    <mergeCell ref="AI33:AI34"/>
    <mergeCell ref="AO10:AO11"/>
    <mergeCell ref="AN10:AN11"/>
    <mergeCell ref="AN33:AN34"/>
    <mergeCell ref="AM10:AM11"/>
    <mergeCell ref="AM33:AM34"/>
    <mergeCell ref="AL10:AL11"/>
    <mergeCell ref="AL33:AL34"/>
    <mergeCell ref="AK33:AK34"/>
    <mergeCell ref="AJ10:AJ11"/>
    <mergeCell ref="AC10:AC11"/>
    <mergeCell ref="AC33:AC34"/>
    <mergeCell ref="AE33:AE34"/>
    <mergeCell ref="AE10:AE11"/>
    <mergeCell ref="AF10:AF11"/>
    <mergeCell ref="AF33:AF34"/>
    <mergeCell ref="AD10:AD11"/>
    <mergeCell ref="AD33:AD34"/>
    <mergeCell ref="AJ33:AJ34"/>
    <mergeCell ref="AI10:AI11"/>
    <mergeCell ref="AK10:AK11"/>
    <mergeCell ref="C10:C11"/>
    <mergeCell ref="C33:C34"/>
    <mergeCell ref="D10:D11"/>
    <mergeCell ref="D33:D34"/>
    <mergeCell ref="Z10:Z11"/>
    <mergeCell ref="Z33:Z34"/>
    <mergeCell ref="Q10:Q11"/>
    <mergeCell ref="I10:I11"/>
    <mergeCell ref="I33:I34"/>
    <mergeCell ref="O10:O11"/>
    <mergeCell ref="O33:O34"/>
    <mergeCell ref="P10:P11"/>
    <mergeCell ref="P33:P34"/>
    <mergeCell ref="S33:S34"/>
    <mergeCell ref="Q33:Q34"/>
    <mergeCell ref="R10:R11"/>
  </mergeCells>
  <pageMargins left="0.511811024" right="0.511811024" top="0.78740157499999996" bottom="0.78740157499999996" header="0.31496062000000002" footer="0.31496062000000002"/>
  <ignoredErrors>
    <ignoredError sqref="AH22:AI22" formulaRange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515151"/>
  </sheetPr>
  <dimension ref="A1:AV95"/>
  <sheetViews>
    <sheetView tabSelected="1" topLeftCell="A57" zoomScale="90" zoomScaleNormal="90" workbookViewId="0">
      <selection activeCell="G67" sqref="G67"/>
    </sheetView>
  </sheetViews>
  <sheetFormatPr defaultColWidth="9.140625" defaultRowHeight="14.25"/>
  <cols>
    <col min="1" max="1" width="1.7109375" style="181" customWidth="1"/>
    <col min="2" max="2" width="74.140625" style="181" bestFit="1" customWidth="1"/>
    <col min="3" max="4" width="11.5703125" style="181" bestFit="1" customWidth="1"/>
    <col min="5" max="5" width="12.28515625" style="181" bestFit="1" customWidth="1"/>
    <col min="6" max="8" width="11.5703125" style="181" bestFit="1" customWidth="1"/>
    <col min="9" max="9" width="12.28515625" style="181" bestFit="1" customWidth="1"/>
    <col min="10" max="12" width="11.5703125" style="181" bestFit="1" customWidth="1"/>
    <col min="13" max="13" width="12.28515625" style="181" bestFit="1" customWidth="1"/>
    <col min="14" max="16" width="11.5703125" style="181" bestFit="1" customWidth="1"/>
    <col min="17" max="18" width="12.28515625" style="181" bestFit="1" customWidth="1"/>
    <col min="19" max="19" width="11.5703125" style="181" bestFit="1" customWidth="1"/>
    <col min="20" max="20" width="10.7109375" style="181" customWidth="1"/>
    <col min="21" max="21" width="12.28515625" style="181" bestFit="1" customWidth="1"/>
    <col min="22" max="23" width="11.5703125" style="181" bestFit="1" customWidth="1"/>
    <col min="24" max="24" width="10.7109375" style="181" customWidth="1"/>
    <col min="25" max="25" width="11.5703125" style="181" bestFit="1" customWidth="1"/>
    <col min="26" max="33" width="10.7109375" style="181" customWidth="1"/>
    <col min="34" max="34" width="11.28515625" style="181" customWidth="1"/>
    <col min="35" max="36" width="10.5703125" style="183" bestFit="1" customWidth="1"/>
    <col min="37" max="37" width="10.7109375" style="181" customWidth="1"/>
    <col min="38" max="38" width="11.7109375" style="183" bestFit="1" customWidth="1"/>
    <col min="39" max="40" width="10.5703125" style="183" bestFit="1" customWidth="1"/>
    <col min="41" max="41" width="10.7109375" style="181" customWidth="1"/>
    <col min="42" max="42" width="9.7109375" style="184" bestFit="1" customWidth="1"/>
    <col min="43" max="16384" width="9.140625" style="184"/>
  </cols>
  <sheetData>
    <row r="1" spans="1:48" ht="9" customHeight="1"/>
    <row r="2" spans="1:48" ht="15.75" customHeight="1"/>
    <row r="3" spans="1:48" ht="15.75" customHeight="1"/>
    <row r="4" spans="1:48" ht="15.75" customHeight="1"/>
    <row r="5" spans="1:48" ht="15.75" customHeight="1"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K5" s="188"/>
      <c r="AO5" s="188"/>
    </row>
    <row r="6" spans="1:48" ht="9.75" customHeight="1"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K6" s="188"/>
      <c r="AO6" s="188"/>
    </row>
    <row r="7" spans="1:48" ht="15" customHeight="1">
      <c r="B7" s="434" t="s">
        <v>368</v>
      </c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233"/>
      <c r="AJ7" s="233"/>
      <c r="AK7" s="189"/>
      <c r="AL7" s="233"/>
      <c r="AM7" s="233"/>
      <c r="AN7" s="233"/>
      <c r="AO7" s="189"/>
    </row>
    <row r="8" spans="1:48" ht="15" customHeight="1">
      <c r="B8" s="434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233"/>
      <c r="AJ8" s="233"/>
      <c r="AK8" s="189"/>
      <c r="AL8" s="233"/>
      <c r="AM8" s="233"/>
      <c r="AN8" s="233"/>
      <c r="AO8" s="189"/>
    </row>
    <row r="9" spans="1:48" ht="9" customHeight="1">
      <c r="B9" s="188"/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K9" s="188"/>
      <c r="AO9" s="188"/>
    </row>
    <row r="10" spans="1:48" ht="14.25" customHeight="1">
      <c r="B10" s="451" t="s">
        <v>163</v>
      </c>
      <c r="C10" s="448" t="s">
        <v>461</v>
      </c>
      <c r="D10" s="449" t="s">
        <v>454</v>
      </c>
      <c r="E10" s="450" t="s">
        <v>451</v>
      </c>
      <c r="F10" s="448" t="s">
        <v>448</v>
      </c>
      <c r="G10" s="448" t="s">
        <v>463</v>
      </c>
      <c r="H10" s="449" t="s">
        <v>464</v>
      </c>
      <c r="I10" s="450" t="s">
        <v>433</v>
      </c>
      <c r="J10" s="448" t="s">
        <v>429</v>
      </c>
      <c r="K10" s="448" t="s">
        <v>426</v>
      </c>
      <c r="L10" s="449" t="s">
        <v>415</v>
      </c>
      <c r="M10" s="450" t="s">
        <v>405</v>
      </c>
      <c r="N10" s="448" t="s">
        <v>402</v>
      </c>
      <c r="O10" s="448" t="s">
        <v>399</v>
      </c>
      <c r="P10" s="449" t="s">
        <v>390</v>
      </c>
      <c r="Q10" s="450" t="s">
        <v>386</v>
      </c>
      <c r="R10" s="448" t="s">
        <v>383</v>
      </c>
      <c r="S10" s="448" t="s">
        <v>363</v>
      </c>
      <c r="T10" s="449" t="s">
        <v>359</v>
      </c>
      <c r="U10" s="450" t="s">
        <v>354</v>
      </c>
      <c r="V10" s="448" t="s">
        <v>349</v>
      </c>
      <c r="W10" s="448" t="s">
        <v>345</v>
      </c>
      <c r="X10" s="449" t="s">
        <v>340</v>
      </c>
      <c r="Y10" s="450" t="s">
        <v>338</v>
      </c>
      <c r="Z10" s="448" t="s">
        <v>332</v>
      </c>
      <c r="AA10" s="448" t="s">
        <v>328</v>
      </c>
      <c r="AB10" s="438" t="s">
        <v>325</v>
      </c>
      <c r="AC10" s="450" t="s">
        <v>323</v>
      </c>
      <c r="AD10" s="448" t="s">
        <v>322</v>
      </c>
      <c r="AE10" s="448" t="s">
        <v>312</v>
      </c>
      <c r="AF10" s="448" t="s">
        <v>307</v>
      </c>
      <c r="AG10" s="450" t="s">
        <v>304</v>
      </c>
      <c r="AH10" s="448" t="s">
        <v>162</v>
      </c>
      <c r="AI10" s="448" t="s">
        <v>165</v>
      </c>
      <c r="AJ10" s="448" t="s">
        <v>167</v>
      </c>
      <c r="AK10" s="450" t="s">
        <v>161</v>
      </c>
      <c r="AL10" s="448" t="s">
        <v>156</v>
      </c>
      <c r="AM10" s="448" t="s">
        <v>170</v>
      </c>
      <c r="AN10" s="448" t="s">
        <v>172</v>
      </c>
      <c r="AO10" s="450" t="s">
        <v>148</v>
      </c>
      <c r="AP10" s="234"/>
      <c r="AQ10" s="234"/>
      <c r="AR10" s="234"/>
      <c r="AS10" s="234"/>
      <c r="AT10" s="234"/>
      <c r="AU10" s="234"/>
      <c r="AV10" s="234"/>
    </row>
    <row r="11" spans="1:48" ht="14.25" customHeight="1">
      <c r="B11" s="447"/>
      <c r="C11" s="448"/>
      <c r="D11" s="449"/>
      <c r="E11" s="450"/>
      <c r="F11" s="448"/>
      <c r="G11" s="448"/>
      <c r="H11" s="449"/>
      <c r="I11" s="450"/>
      <c r="J11" s="448"/>
      <c r="K11" s="448"/>
      <c r="L11" s="449"/>
      <c r="M11" s="450"/>
      <c r="N11" s="448"/>
      <c r="O11" s="448"/>
      <c r="P11" s="449"/>
      <c r="Q11" s="450"/>
      <c r="R11" s="448"/>
      <c r="S11" s="448"/>
      <c r="T11" s="449"/>
      <c r="U11" s="450"/>
      <c r="V11" s="448"/>
      <c r="W11" s="448"/>
      <c r="X11" s="449"/>
      <c r="Y11" s="450"/>
      <c r="Z11" s="448"/>
      <c r="AA11" s="448"/>
      <c r="AB11" s="438"/>
      <c r="AC11" s="450"/>
      <c r="AD11" s="448"/>
      <c r="AE11" s="448"/>
      <c r="AF11" s="448"/>
      <c r="AG11" s="450"/>
      <c r="AH11" s="448"/>
      <c r="AI11" s="448"/>
      <c r="AJ11" s="448"/>
      <c r="AK11" s="450"/>
      <c r="AL11" s="448"/>
      <c r="AM11" s="448"/>
      <c r="AN11" s="448"/>
      <c r="AO11" s="450"/>
      <c r="AP11" s="234"/>
      <c r="AQ11" s="234"/>
      <c r="AR11" s="234"/>
      <c r="AS11" s="234"/>
      <c r="AT11" s="234"/>
      <c r="AU11" s="234"/>
      <c r="AV11" s="234"/>
    </row>
    <row r="12" spans="1:48" ht="15.75" thickBot="1">
      <c r="A12" s="196"/>
      <c r="B12" s="197" t="s">
        <v>234</v>
      </c>
      <c r="C12" s="197"/>
      <c r="D12" s="235"/>
      <c r="E12" s="236"/>
      <c r="F12" s="197"/>
      <c r="G12" s="197"/>
      <c r="H12" s="235"/>
      <c r="I12" s="236"/>
      <c r="J12" s="197"/>
      <c r="K12" s="197"/>
      <c r="L12" s="235"/>
      <c r="M12" s="236"/>
      <c r="N12" s="197"/>
      <c r="O12" s="197"/>
      <c r="P12" s="235"/>
      <c r="Q12" s="236"/>
      <c r="R12" s="197"/>
      <c r="S12" s="197"/>
      <c r="T12" s="235"/>
      <c r="U12" s="236"/>
      <c r="V12" s="197"/>
      <c r="W12" s="197"/>
      <c r="X12" s="235"/>
      <c r="Y12" s="236"/>
      <c r="Z12" s="197"/>
      <c r="AA12" s="197"/>
      <c r="AB12" s="197"/>
      <c r="AC12" s="236"/>
      <c r="AD12" s="197"/>
      <c r="AE12" s="197"/>
      <c r="AF12" s="197"/>
      <c r="AG12" s="236"/>
      <c r="AH12" s="197"/>
      <c r="AI12" s="198"/>
      <c r="AJ12" s="198"/>
      <c r="AK12" s="236"/>
      <c r="AL12" s="198"/>
      <c r="AM12" s="198"/>
      <c r="AN12" s="198"/>
      <c r="AO12" s="236"/>
    </row>
    <row r="13" spans="1:48" ht="15" thickTop="1">
      <c r="B13" s="192" t="s">
        <v>195</v>
      </c>
      <c r="C13" s="193"/>
      <c r="D13" s="194"/>
      <c r="E13" s="195"/>
      <c r="F13" s="193"/>
      <c r="G13" s="193"/>
      <c r="H13" s="194"/>
      <c r="I13" s="195"/>
      <c r="J13" s="193"/>
      <c r="K13" s="193"/>
      <c r="L13" s="194"/>
      <c r="M13" s="195"/>
      <c r="N13" s="193"/>
      <c r="O13" s="193"/>
      <c r="P13" s="194"/>
      <c r="Q13" s="195"/>
      <c r="R13" s="193"/>
      <c r="S13" s="193"/>
      <c r="T13" s="194"/>
      <c r="U13" s="195">
        <v>0</v>
      </c>
      <c r="V13" s="193"/>
      <c r="W13" s="193"/>
      <c r="X13" s="194"/>
      <c r="Y13" s="195">
        <v>0</v>
      </c>
      <c r="Z13" s="193">
        <v>81082</v>
      </c>
      <c r="AA13" s="193">
        <v>-75194</v>
      </c>
      <c r="AB13" s="193">
        <v>-94367</v>
      </c>
      <c r="AC13" s="195">
        <v>172358</v>
      </c>
      <c r="AD13" s="193">
        <v>34287</v>
      </c>
      <c r="AE13" s="193">
        <v>56603</v>
      </c>
      <c r="AF13" s="193">
        <v>56189</v>
      </c>
      <c r="AG13" s="195">
        <v>547440</v>
      </c>
      <c r="AH13" s="193">
        <v>381587</v>
      </c>
      <c r="AI13" s="193">
        <v>235268</v>
      </c>
      <c r="AJ13" s="193">
        <v>164518</v>
      </c>
      <c r="AK13" s="195">
        <v>306264</v>
      </c>
      <c r="AL13" s="193">
        <v>197946</v>
      </c>
      <c r="AM13" s="193">
        <v>59602</v>
      </c>
      <c r="AN13" s="193">
        <v>32845</v>
      </c>
      <c r="AO13" s="195">
        <v>280836</v>
      </c>
    </row>
    <row r="14" spans="1:48">
      <c r="B14" s="237" t="s">
        <v>358</v>
      </c>
      <c r="C14" s="193">
        <v>266091</v>
      </c>
      <c r="D14" s="194">
        <v>52317</v>
      </c>
      <c r="E14" s="195">
        <v>648720</v>
      </c>
      <c r="F14" s="193">
        <v>668069</v>
      </c>
      <c r="G14" s="193">
        <v>537183</v>
      </c>
      <c r="H14" s="194">
        <v>223065</v>
      </c>
      <c r="I14" s="195">
        <v>784044</v>
      </c>
      <c r="J14" s="193">
        <v>384432</v>
      </c>
      <c r="K14" s="193">
        <v>228619</v>
      </c>
      <c r="L14" s="194">
        <v>123312</v>
      </c>
      <c r="M14" s="195">
        <v>1165461</v>
      </c>
      <c r="N14" s="193">
        <v>1065568</v>
      </c>
      <c r="O14" s="193">
        <v>816652.00000000023</v>
      </c>
      <c r="P14" s="194">
        <v>457779</v>
      </c>
      <c r="Q14" s="195">
        <v>2051990</v>
      </c>
      <c r="R14" s="193">
        <v>1802350</v>
      </c>
      <c r="S14" s="193">
        <v>1531534</v>
      </c>
      <c r="T14" s="194">
        <v>702250</v>
      </c>
      <c r="U14" s="195">
        <v>3035323</v>
      </c>
      <c r="V14" s="193">
        <v>1992257</v>
      </c>
      <c r="W14" s="193">
        <v>882103</v>
      </c>
      <c r="X14" s="194">
        <v>429806</v>
      </c>
      <c r="Y14" s="195">
        <v>601157</v>
      </c>
      <c r="Z14" s="193"/>
      <c r="AA14" s="193"/>
      <c r="AB14" s="193"/>
      <c r="AC14" s="195"/>
      <c r="AD14" s="193"/>
      <c r="AE14" s="193"/>
      <c r="AF14" s="193"/>
      <c r="AG14" s="195"/>
      <c r="AH14" s="193"/>
      <c r="AI14" s="193"/>
      <c r="AJ14" s="193"/>
      <c r="AK14" s="195"/>
      <c r="AL14" s="193"/>
      <c r="AM14" s="193"/>
      <c r="AN14" s="193"/>
      <c r="AO14" s="195"/>
    </row>
    <row r="15" spans="1:48" ht="15.75" thickBot="1">
      <c r="A15" s="196"/>
      <c r="B15" s="197" t="s">
        <v>235</v>
      </c>
      <c r="C15" s="198"/>
      <c r="D15" s="199"/>
      <c r="E15" s="200"/>
      <c r="F15" s="198"/>
      <c r="G15" s="198"/>
      <c r="H15" s="199"/>
      <c r="I15" s="200"/>
      <c r="J15" s="198"/>
      <c r="K15" s="198"/>
      <c r="L15" s="199"/>
      <c r="M15" s="200"/>
      <c r="N15" s="198"/>
      <c r="O15" s="198"/>
      <c r="P15" s="199"/>
      <c r="Q15" s="200"/>
      <c r="R15" s="198"/>
      <c r="S15" s="198"/>
      <c r="T15" s="199"/>
      <c r="U15" s="200"/>
      <c r="V15" s="198"/>
      <c r="W15" s="198"/>
      <c r="X15" s="199"/>
      <c r="Y15" s="200"/>
      <c r="Z15" s="198"/>
      <c r="AA15" s="198"/>
      <c r="AB15" s="198"/>
      <c r="AC15" s="200"/>
      <c r="AD15" s="198"/>
      <c r="AE15" s="198"/>
      <c r="AF15" s="198"/>
      <c r="AG15" s="200"/>
      <c r="AH15" s="198"/>
      <c r="AI15" s="198"/>
      <c r="AJ15" s="198"/>
      <c r="AK15" s="200"/>
      <c r="AL15" s="198"/>
      <c r="AM15" s="198"/>
      <c r="AN15" s="198"/>
      <c r="AO15" s="200"/>
    </row>
    <row r="16" spans="1:48" ht="15" thickTop="1">
      <c r="B16" s="201" t="s">
        <v>236</v>
      </c>
      <c r="C16" s="193">
        <f>116381+37238</f>
        <v>153619</v>
      </c>
      <c r="D16" s="194">
        <v>68554</v>
      </c>
      <c r="E16" s="195">
        <f>314164+1986</f>
        <v>316150</v>
      </c>
      <c r="F16" s="193">
        <v>229347</v>
      </c>
      <c r="G16" s="193">
        <v>156273</v>
      </c>
      <c r="H16" s="194">
        <v>79359</v>
      </c>
      <c r="I16" s="195">
        <v>321624</v>
      </c>
      <c r="J16" s="193">
        <v>228374</v>
      </c>
      <c r="K16" s="193">
        <v>149986</v>
      </c>
      <c r="L16" s="194">
        <v>70601</v>
      </c>
      <c r="M16" s="195">
        <v>246733</v>
      </c>
      <c r="N16" s="193">
        <v>183537</v>
      </c>
      <c r="O16" s="193">
        <v>115849</v>
      </c>
      <c r="P16" s="194">
        <v>56771</v>
      </c>
      <c r="Q16" s="195">
        <v>247294</v>
      </c>
      <c r="R16" s="193">
        <v>183877</v>
      </c>
      <c r="S16" s="193">
        <v>117063</v>
      </c>
      <c r="T16" s="194">
        <v>55572</v>
      </c>
      <c r="U16" s="195">
        <v>219353</v>
      </c>
      <c r="V16" s="193">
        <v>156089</v>
      </c>
      <c r="W16" s="193">
        <v>99435</v>
      </c>
      <c r="X16" s="194">
        <v>49813</v>
      </c>
      <c r="Y16" s="195">
        <v>197951</v>
      </c>
      <c r="Z16" s="193">
        <v>149042</v>
      </c>
      <c r="AA16" s="193">
        <v>97105</v>
      </c>
      <c r="AB16" s="193">
        <v>47215</v>
      </c>
      <c r="AC16" s="195">
        <v>183082</v>
      </c>
      <c r="AD16" s="193">
        <v>124600</v>
      </c>
      <c r="AE16" s="193">
        <v>84191</v>
      </c>
      <c r="AF16" s="193">
        <v>43191</v>
      </c>
      <c r="AG16" s="195">
        <v>176374</v>
      </c>
      <c r="AH16" s="193">
        <v>135514</v>
      </c>
      <c r="AI16" s="193">
        <v>73409</v>
      </c>
      <c r="AJ16" s="193">
        <v>36821</v>
      </c>
      <c r="AK16" s="195">
        <v>145102</v>
      </c>
      <c r="AL16" s="193">
        <v>108572</v>
      </c>
      <c r="AM16" s="193">
        <v>72601</v>
      </c>
      <c r="AN16" s="193">
        <v>36308</v>
      </c>
      <c r="AO16" s="195">
        <v>109611</v>
      </c>
    </row>
    <row r="17" spans="2:42">
      <c r="B17" s="201" t="s">
        <v>336</v>
      </c>
      <c r="C17" s="193">
        <v>-35391</v>
      </c>
      <c r="D17" s="194">
        <v>-22277</v>
      </c>
      <c r="E17" s="195">
        <v>-2767</v>
      </c>
      <c r="F17" s="193">
        <v>2334</v>
      </c>
      <c r="G17" s="193">
        <v>967</v>
      </c>
      <c r="H17" s="194">
        <v>110</v>
      </c>
      <c r="I17" s="195">
        <v>-98817</v>
      </c>
      <c r="J17" s="193">
        <v>-66102</v>
      </c>
      <c r="K17" s="193">
        <v>-25320</v>
      </c>
      <c r="L17" s="194">
        <v>34959</v>
      </c>
      <c r="M17" s="195">
        <v>146147</v>
      </c>
      <c r="N17" s="193">
        <v>173255</v>
      </c>
      <c r="O17" s="193">
        <v>111954</v>
      </c>
      <c r="P17" s="194">
        <v>63923</v>
      </c>
      <c r="Q17" s="195">
        <v>-2905</v>
      </c>
      <c r="R17" s="193">
        <v>1951</v>
      </c>
      <c r="S17" s="193">
        <v>3917</v>
      </c>
      <c r="T17" s="194">
        <v>-2018</v>
      </c>
      <c r="U17" s="195">
        <v>61821</v>
      </c>
      <c r="V17" s="193">
        <v>49468</v>
      </c>
      <c r="W17" s="193">
        <v>30527</v>
      </c>
      <c r="X17" s="194">
        <v>20883</v>
      </c>
      <c r="Y17" s="195">
        <v>-6830</v>
      </c>
      <c r="Z17" s="193">
        <v>4087</v>
      </c>
      <c r="AA17" s="193">
        <v>-8842</v>
      </c>
      <c r="AB17" s="193">
        <v>-3804</v>
      </c>
      <c r="AC17" s="195">
        <v>-62631</v>
      </c>
      <c r="AD17" s="193">
        <v>-82588</v>
      </c>
      <c r="AE17" s="193">
        <v>-85625</v>
      </c>
      <c r="AF17" s="193">
        <v>-12207</v>
      </c>
      <c r="AG17" s="195">
        <v>-35551</v>
      </c>
      <c r="AH17" s="193">
        <v>0</v>
      </c>
      <c r="AI17" s="193">
        <v>0</v>
      </c>
      <c r="AJ17" s="193">
        <v>0</v>
      </c>
      <c r="AK17" s="195">
        <v>0</v>
      </c>
      <c r="AL17" s="193">
        <v>0</v>
      </c>
      <c r="AM17" s="193">
        <v>0</v>
      </c>
      <c r="AN17" s="193">
        <v>0</v>
      </c>
      <c r="AO17" s="195">
        <v>0</v>
      </c>
    </row>
    <row r="18" spans="2:42">
      <c r="B18" s="201" t="s">
        <v>237</v>
      </c>
      <c r="C18" s="193">
        <v>103</v>
      </c>
      <c r="D18" s="194">
        <v>67</v>
      </c>
      <c r="E18" s="195">
        <v>7537</v>
      </c>
      <c r="F18" s="193">
        <v>7131</v>
      </c>
      <c r="G18" s="193">
        <v>573</v>
      </c>
      <c r="H18" s="194">
        <v>0</v>
      </c>
      <c r="I18" s="195">
        <v>5366</v>
      </c>
      <c r="J18" s="193">
        <v>4817</v>
      </c>
      <c r="K18" s="193">
        <v>406</v>
      </c>
      <c r="L18" s="194">
        <v>34</v>
      </c>
      <c r="M18" s="195">
        <v>3182</v>
      </c>
      <c r="N18" s="193">
        <v>112</v>
      </c>
      <c r="O18" s="193">
        <v>15</v>
      </c>
      <c r="P18" s="194">
        <v>3</v>
      </c>
      <c r="Q18" s="195">
        <v>2269</v>
      </c>
      <c r="R18" s="193">
        <v>530</v>
      </c>
      <c r="S18" s="193">
        <v>502</v>
      </c>
      <c r="T18" s="194">
        <v>158</v>
      </c>
      <c r="U18" s="195">
        <v>1623</v>
      </c>
      <c r="V18" s="193">
        <v>106</v>
      </c>
      <c r="W18" s="193">
        <v>72</v>
      </c>
      <c r="X18" s="194">
        <v>12</v>
      </c>
      <c r="Y18" s="195">
        <v>968</v>
      </c>
      <c r="Z18" s="193">
        <v>194</v>
      </c>
      <c r="AA18" s="193">
        <v>66</v>
      </c>
      <c r="AB18" s="193">
        <v>67</v>
      </c>
      <c r="AC18" s="195">
        <v>118</v>
      </c>
      <c r="AD18" s="193">
        <v>78</v>
      </c>
      <c r="AE18" s="193">
        <v>58</v>
      </c>
      <c r="AF18" s="193">
        <v>24</v>
      </c>
      <c r="AG18" s="195">
        <v>699</v>
      </c>
      <c r="AH18" s="193">
        <v>-8</v>
      </c>
      <c r="AI18" s="193">
        <v>14</v>
      </c>
      <c r="AJ18" s="193">
        <v>7</v>
      </c>
      <c r="AK18" s="195">
        <v>435</v>
      </c>
      <c r="AL18" s="193">
        <v>367</v>
      </c>
      <c r="AM18" s="193">
        <v>228</v>
      </c>
      <c r="AN18" s="193">
        <v>119</v>
      </c>
      <c r="AO18" s="195">
        <v>83</v>
      </c>
    </row>
    <row r="19" spans="2:42">
      <c r="B19" s="201" t="s">
        <v>238</v>
      </c>
      <c r="C19" s="193">
        <v>8538</v>
      </c>
      <c r="D19" s="194">
        <v>9098</v>
      </c>
      <c r="E19" s="195">
        <v>34082</v>
      </c>
      <c r="F19" s="193">
        <v>16648</v>
      </c>
      <c r="G19" s="193">
        <v>14732.192532691693</v>
      </c>
      <c r="H19" s="194">
        <v>11325</v>
      </c>
      <c r="I19" s="195">
        <v>-6425</v>
      </c>
      <c r="J19" s="193">
        <v>2519</v>
      </c>
      <c r="K19" s="193">
        <v>-102</v>
      </c>
      <c r="L19" s="194">
        <v>1406</v>
      </c>
      <c r="M19" s="195">
        <v>8781</v>
      </c>
      <c r="N19" s="193">
        <v>7056</v>
      </c>
      <c r="O19" s="193">
        <v>-1643</v>
      </c>
      <c r="P19" s="194">
        <v>-1257</v>
      </c>
      <c r="Q19" s="195">
        <v>-23952</v>
      </c>
      <c r="R19" s="193">
        <v>12600</v>
      </c>
      <c r="S19" s="193">
        <v>10617</v>
      </c>
      <c r="T19" s="194">
        <v>7057</v>
      </c>
      <c r="U19" s="195">
        <v>48837</v>
      </c>
      <c r="V19" s="193">
        <v>41324</v>
      </c>
      <c r="W19" s="193">
        <v>14612</v>
      </c>
      <c r="X19" s="194">
        <v>7678</v>
      </c>
      <c r="Y19" s="195">
        <v>-674</v>
      </c>
      <c r="Z19" s="193">
        <v>5471</v>
      </c>
      <c r="AA19" s="193">
        <v>2188</v>
      </c>
      <c r="AB19" s="193">
        <v>683</v>
      </c>
      <c r="AC19" s="195">
        <v>2066</v>
      </c>
      <c r="AD19" s="193">
        <v>2011</v>
      </c>
      <c r="AE19" s="193">
        <v>7219</v>
      </c>
      <c r="AF19" s="193">
        <v>7557</v>
      </c>
      <c r="AG19" s="195">
        <v>-6495</v>
      </c>
      <c r="AH19" s="193">
        <v>-20338</v>
      </c>
      <c r="AI19" s="193">
        <v>112</v>
      </c>
      <c r="AJ19" s="193">
        <v>4213</v>
      </c>
      <c r="AK19" s="195">
        <v>10112</v>
      </c>
      <c r="AL19" s="193">
        <v>-715</v>
      </c>
      <c r="AM19" s="193">
        <v>4790</v>
      </c>
      <c r="AN19" s="193">
        <v>450</v>
      </c>
      <c r="AO19" s="195">
        <v>43716</v>
      </c>
    </row>
    <row r="20" spans="2:42">
      <c r="B20" s="201" t="s">
        <v>280</v>
      </c>
      <c r="C20" s="193">
        <v>204345</v>
      </c>
      <c r="D20" s="194">
        <v>92690</v>
      </c>
      <c r="E20" s="195">
        <v>410881</v>
      </c>
      <c r="F20" s="193">
        <v>309299</v>
      </c>
      <c r="G20" s="193">
        <v>185274</v>
      </c>
      <c r="H20" s="194">
        <v>87021</v>
      </c>
      <c r="I20" s="195">
        <v>301578</v>
      </c>
      <c r="J20" s="193">
        <v>206980.99837811285</v>
      </c>
      <c r="K20" s="193">
        <v>151747.56696317971</v>
      </c>
      <c r="L20" s="194">
        <v>61230</v>
      </c>
      <c r="M20" s="195">
        <v>-84716</v>
      </c>
      <c r="N20" s="193">
        <v>-49934</v>
      </c>
      <c r="O20" s="193">
        <v>-44810</v>
      </c>
      <c r="P20" s="194">
        <v>-19761</v>
      </c>
      <c r="Q20" s="195">
        <v>296511</v>
      </c>
      <c r="R20" s="193">
        <v>213195</v>
      </c>
      <c r="S20" s="193">
        <v>181380</v>
      </c>
      <c r="T20" s="194">
        <v>125443</v>
      </c>
      <c r="U20" s="195">
        <v>151141</v>
      </c>
      <c r="V20" s="193">
        <v>143028</v>
      </c>
      <c r="W20" s="193">
        <v>61976</v>
      </c>
      <c r="X20" s="194">
        <v>90205</v>
      </c>
      <c r="Y20" s="195">
        <v>246897</v>
      </c>
      <c r="Z20" s="193">
        <v>251622</v>
      </c>
      <c r="AA20" s="193">
        <v>149040</v>
      </c>
      <c r="AB20" s="193">
        <v>139554</v>
      </c>
      <c r="AC20" s="195">
        <v>190975</v>
      </c>
      <c r="AD20" s="193">
        <v>210460</v>
      </c>
      <c r="AE20" s="193">
        <v>136257</v>
      </c>
      <c r="AF20" s="193">
        <v>31886</v>
      </c>
      <c r="AG20" s="195">
        <v>222325</v>
      </c>
      <c r="AH20" s="193">
        <v>212904</v>
      </c>
      <c r="AI20" s="193">
        <v>155323</v>
      </c>
      <c r="AJ20" s="193">
        <v>33508</v>
      </c>
      <c r="AK20" s="195">
        <v>108757</v>
      </c>
      <c r="AL20" s="193">
        <v>60496</v>
      </c>
      <c r="AM20" s="193">
        <v>52140</v>
      </c>
      <c r="AN20" s="193">
        <v>18553</v>
      </c>
      <c r="AO20" s="195">
        <v>74572</v>
      </c>
    </row>
    <row r="21" spans="2:42">
      <c r="B21" s="201" t="s">
        <v>249</v>
      </c>
      <c r="C21" s="193">
        <v>0</v>
      </c>
      <c r="D21" s="194">
        <v>0</v>
      </c>
      <c r="E21" s="195">
        <v>0</v>
      </c>
      <c r="F21" s="193">
        <v>0</v>
      </c>
      <c r="G21" s="193">
        <v>0</v>
      </c>
      <c r="H21" s="194">
        <v>0</v>
      </c>
      <c r="I21" s="195">
        <v>0</v>
      </c>
      <c r="J21" s="193">
        <v>0</v>
      </c>
      <c r="K21" s="193">
        <v>0</v>
      </c>
      <c r="L21" s="194">
        <v>0</v>
      </c>
      <c r="M21" s="195">
        <v>0</v>
      </c>
      <c r="N21" s="193">
        <v>0</v>
      </c>
      <c r="O21" s="193">
        <v>0</v>
      </c>
      <c r="P21" s="194">
        <v>0</v>
      </c>
      <c r="Q21" s="195">
        <v>0</v>
      </c>
      <c r="R21" s="193">
        <v>0</v>
      </c>
      <c r="S21" s="193"/>
      <c r="T21" s="194"/>
      <c r="U21" s="195">
        <v>0</v>
      </c>
      <c r="V21" s="193">
        <v>0</v>
      </c>
      <c r="W21" s="193">
        <v>0</v>
      </c>
      <c r="X21" s="194">
        <v>0</v>
      </c>
      <c r="Y21" s="195">
        <v>0</v>
      </c>
      <c r="Z21" s="193">
        <v>0</v>
      </c>
      <c r="AA21" s="193">
        <v>0</v>
      </c>
      <c r="AB21" s="193">
        <v>0</v>
      </c>
      <c r="AC21" s="195">
        <v>0</v>
      </c>
      <c r="AD21" s="193">
        <v>0</v>
      </c>
      <c r="AE21" s="193">
        <v>0</v>
      </c>
      <c r="AF21" s="193">
        <v>0</v>
      </c>
      <c r="AG21" s="195">
        <v>0</v>
      </c>
      <c r="AH21" s="193">
        <v>0</v>
      </c>
      <c r="AI21" s="193">
        <v>0</v>
      </c>
      <c r="AJ21" s="193">
        <v>0</v>
      </c>
      <c r="AK21" s="195">
        <v>-8227</v>
      </c>
      <c r="AL21" s="193">
        <v>-6358</v>
      </c>
      <c r="AM21" s="193">
        <v>-3148</v>
      </c>
      <c r="AN21" s="193">
        <v>-304</v>
      </c>
      <c r="AO21" s="195">
        <v>-4999</v>
      </c>
    </row>
    <row r="22" spans="2:42">
      <c r="B22" s="201" t="s">
        <v>239</v>
      </c>
      <c r="C22" s="193">
        <v>-346</v>
      </c>
      <c r="D22" s="194">
        <v>-780</v>
      </c>
      <c r="E22" s="195">
        <v>8551</v>
      </c>
      <c r="F22" s="193">
        <v>8320</v>
      </c>
      <c r="G22" s="193">
        <v>772</v>
      </c>
      <c r="H22" s="194">
        <v>526</v>
      </c>
      <c r="I22" s="195">
        <v>-1036</v>
      </c>
      <c r="J22" s="193">
        <v>-2538</v>
      </c>
      <c r="K22" s="193">
        <v>-2827</v>
      </c>
      <c r="L22" s="194">
        <v>-267</v>
      </c>
      <c r="M22" s="195">
        <v>-1372</v>
      </c>
      <c r="N22" s="193">
        <v>1040</v>
      </c>
      <c r="O22" s="193">
        <v>2256</v>
      </c>
      <c r="P22" s="194">
        <v>1218</v>
      </c>
      <c r="Q22" s="195">
        <v>4086</v>
      </c>
      <c r="R22" s="179">
        <v>3170</v>
      </c>
      <c r="S22" s="193">
        <v>2181</v>
      </c>
      <c r="T22" s="194">
        <v>1482</v>
      </c>
      <c r="U22" s="195">
        <v>1259</v>
      </c>
      <c r="V22" s="193">
        <v>924</v>
      </c>
      <c r="W22" s="193">
        <v>652</v>
      </c>
      <c r="X22" s="194">
        <v>677</v>
      </c>
      <c r="Y22" s="195">
        <v>-1554</v>
      </c>
      <c r="Z22" s="193">
        <v>-3055</v>
      </c>
      <c r="AA22" s="193">
        <v>-4127</v>
      </c>
      <c r="AB22" s="193">
        <v>-1538</v>
      </c>
      <c r="AC22" s="195">
        <v>897</v>
      </c>
      <c r="AD22" s="193">
        <v>857</v>
      </c>
      <c r="AE22" s="193">
        <v>-1009</v>
      </c>
      <c r="AF22" s="193">
        <v>-1065</v>
      </c>
      <c r="AG22" s="195">
        <v>46317</v>
      </c>
      <c r="AH22" s="193">
        <v>44226</v>
      </c>
      <c r="AI22" s="193">
        <v>3842</v>
      </c>
      <c r="AJ22" s="193">
        <v>3581</v>
      </c>
      <c r="AK22" s="195">
        <v>-917</v>
      </c>
      <c r="AL22" s="193">
        <v>-1003</v>
      </c>
      <c r="AM22" s="193">
        <v>-731</v>
      </c>
      <c r="AN22" s="193">
        <v>-252</v>
      </c>
      <c r="AO22" s="195">
        <v>55</v>
      </c>
    </row>
    <row r="23" spans="2:42">
      <c r="B23" s="201" t="s">
        <v>251</v>
      </c>
      <c r="C23" s="193">
        <v>-20473</v>
      </c>
      <c r="D23" s="194">
        <v>-28782</v>
      </c>
      <c r="E23" s="195">
        <v>22625</v>
      </c>
      <c r="F23" s="193">
        <v>-2238</v>
      </c>
      <c r="G23" s="193">
        <v>3746</v>
      </c>
      <c r="H23" s="194">
        <v>-1438</v>
      </c>
      <c r="I23" s="195">
        <v>-746</v>
      </c>
      <c r="J23" s="193">
        <v>-4630</v>
      </c>
      <c r="K23" s="193">
        <v>-5362</v>
      </c>
      <c r="L23" s="194">
        <v>-6112</v>
      </c>
      <c r="M23" s="195">
        <v>-15227</v>
      </c>
      <c r="N23" s="193">
        <v>-23296</v>
      </c>
      <c r="O23" s="193">
        <v>-15668</v>
      </c>
      <c r="P23" s="194">
        <v>-23403</v>
      </c>
      <c r="Q23" s="195">
        <v>28587</v>
      </c>
      <c r="R23" s="193">
        <v>-177</v>
      </c>
      <c r="S23" s="193">
        <v>-181</v>
      </c>
      <c r="T23" s="194">
        <v>-86</v>
      </c>
      <c r="U23" s="195">
        <v>-368</v>
      </c>
      <c r="V23" s="193">
        <v>-23</v>
      </c>
      <c r="W23" s="193">
        <v>11</v>
      </c>
      <c r="X23" s="194">
        <v>-1</v>
      </c>
      <c r="Y23" s="195">
        <v>0</v>
      </c>
      <c r="Z23" s="193">
        <v>-3568</v>
      </c>
      <c r="AA23" s="193">
        <v>-1513</v>
      </c>
      <c r="AB23" s="193">
        <v>-3088</v>
      </c>
      <c r="AC23" s="195">
        <v>3471</v>
      </c>
      <c r="AD23" s="238">
        <v>6</v>
      </c>
      <c r="AE23" s="238">
        <v>1661</v>
      </c>
      <c r="AF23" s="238">
        <v>0</v>
      </c>
      <c r="AG23" s="195">
        <v>-5813</v>
      </c>
      <c r="AH23" s="238">
        <v>-4120</v>
      </c>
      <c r="AI23" s="238">
        <v>-4039</v>
      </c>
      <c r="AJ23" s="193">
        <v>-5467</v>
      </c>
      <c r="AK23" s="195">
        <v>5100</v>
      </c>
      <c r="AL23" s="193">
        <v>-795</v>
      </c>
      <c r="AM23" s="193">
        <v>-589</v>
      </c>
      <c r="AN23" s="193">
        <v>-795</v>
      </c>
      <c r="AO23" s="195">
        <v>0</v>
      </c>
    </row>
    <row r="24" spans="2:42">
      <c r="B24" s="201" t="s">
        <v>191</v>
      </c>
      <c r="C24" s="193">
        <v>13811</v>
      </c>
      <c r="D24" s="194">
        <v>7932</v>
      </c>
      <c r="E24" s="195">
        <v>7064</v>
      </c>
      <c r="F24" s="193">
        <v>6236</v>
      </c>
      <c r="G24" s="193">
        <v>6300</v>
      </c>
      <c r="H24" s="194">
        <v>2331</v>
      </c>
      <c r="I24" s="195">
        <v>29553</v>
      </c>
      <c r="J24" s="193">
        <v>15810</v>
      </c>
      <c r="K24" s="193">
        <v>12998</v>
      </c>
      <c r="L24" s="194">
        <v>6993</v>
      </c>
      <c r="M24" s="195">
        <v>-13500</v>
      </c>
      <c r="N24" s="193">
        <v>-8245</v>
      </c>
      <c r="O24" s="193">
        <v>-5984</v>
      </c>
      <c r="P24" s="194">
        <v>-259</v>
      </c>
      <c r="Q24" s="195">
        <v>-16772</v>
      </c>
      <c r="R24" s="193">
        <v>-15656</v>
      </c>
      <c r="S24" s="193">
        <v>-1804</v>
      </c>
      <c r="T24" s="194">
        <v>2245</v>
      </c>
      <c r="U24" s="195">
        <v>2534</v>
      </c>
      <c r="V24" s="193">
        <v>2444</v>
      </c>
      <c r="W24" s="193">
        <v>1222</v>
      </c>
      <c r="X24" s="194">
        <v>606</v>
      </c>
      <c r="Y24" s="195">
        <v>2342</v>
      </c>
      <c r="Z24" s="193">
        <v>1256</v>
      </c>
      <c r="AA24" s="193">
        <v>870</v>
      </c>
      <c r="AB24" s="193">
        <v>580</v>
      </c>
      <c r="AC24" s="195">
        <v>6507</v>
      </c>
      <c r="AD24" s="193">
        <v>-545</v>
      </c>
      <c r="AE24" s="193">
        <v>-453</v>
      </c>
      <c r="AF24" s="193">
        <v>-277</v>
      </c>
      <c r="AG24" s="195">
        <v>-941</v>
      </c>
      <c r="AH24" s="193">
        <v>-505</v>
      </c>
      <c r="AI24" s="193">
        <v>-289</v>
      </c>
      <c r="AJ24" s="193">
        <v>-483</v>
      </c>
      <c r="AK24" s="195">
        <v>-1668</v>
      </c>
      <c r="AL24" s="193">
        <v>23732</v>
      </c>
      <c r="AM24" s="193">
        <v>44517</v>
      </c>
      <c r="AN24" s="193">
        <v>9933</v>
      </c>
      <c r="AO24" s="195">
        <v>75431</v>
      </c>
    </row>
    <row r="25" spans="2:42">
      <c r="B25" s="201" t="s">
        <v>240</v>
      </c>
      <c r="C25" s="193">
        <v>0</v>
      </c>
      <c r="D25" s="194"/>
      <c r="E25" s="195">
        <v>0</v>
      </c>
      <c r="F25" s="193">
        <v>0</v>
      </c>
      <c r="G25" s="193">
        <v>0</v>
      </c>
      <c r="H25" s="194">
        <v>0</v>
      </c>
      <c r="I25" s="195">
        <v>0</v>
      </c>
      <c r="J25" s="193">
        <v>0</v>
      </c>
      <c r="K25" s="193">
        <v>0</v>
      </c>
      <c r="L25" s="194">
        <v>0</v>
      </c>
      <c r="M25" s="195">
        <v>0</v>
      </c>
      <c r="N25" s="193">
        <v>0</v>
      </c>
      <c r="O25" s="193">
        <v>0</v>
      </c>
      <c r="P25" s="194">
        <v>0</v>
      </c>
      <c r="Q25" s="195">
        <v>0</v>
      </c>
      <c r="R25" s="193">
        <v>0</v>
      </c>
      <c r="S25" s="193">
        <v>0</v>
      </c>
      <c r="T25" s="194">
        <v>0</v>
      </c>
      <c r="U25" s="195">
        <v>0</v>
      </c>
      <c r="V25" s="193">
        <v>0</v>
      </c>
      <c r="W25" s="193">
        <v>0</v>
      </c>
      <c r="X25" s="194">
        <v>0</v>
      </c>
      <c r="Y25" s="195">
        <v>0</v>
      </c>
      <c r="Z25" s="193">
        <v>20496</v>
      </c>
      <c r="AA25" s="193">
        <v>18908</v>
      </c>
      <c r="AB25" s="193">
        <v>5028</v>
      </c>
      <c r="AC25" s="195">
        <v>-45037</v>
      </c>
      <c r="AD25" s="193">
        <v>48687</v>
      </c>
      <c r="AE25" s="193">
        <v>34128</v>
      </c>
      <c r="AF25" s="193">
        <v>17765</v>
      </c>
      <c r="AG25" s="195">
        <v>3709</v>
      </c>
      <c r="AH25" s="193">
        <v>58199</v>
      </c>
      <c r="AI25" s="193">
        <v>49271</v>
      </c>
      <c r="AJ25" s="193">
        <v>30358</v>
      </c>
      <c r="AK25" s="195">
        <v>-20663</v>
      </c>
      <c r="AL25" s="193">
        <v>13073</v>
      </c>
      <c r="AM25" s="193">
        <v>5618</v>
      </c>
      <c r="AN25" s="193">
        <v>-9147</v>
      </c>
      <c r="AO25" s="195">
        <v>140744</v>
      </c>
    </row>
    <row r="26" spans="2:42">
      <c r="B26" s="201" t="s">
        <v>241</v>
      </c>
      <c r="C26" s="193">
        <v>0</v>
      </c>
      <c r="D26" s="194"/>
      <c r="E26" s="195">
        <v>0</v>
      </c>
      <c r="F26" s="193">
        <v>0</v>
      </c>
      <c r="G26" s="193">
        <v>0</v>
      </c>
      <c r="H26" s="194">
        <v>0</v>
      </c>
      <c r="I26" s="195">
        <v>-126157</v>
      </c>
      <c r="J26" s="193">
        <v>0</v>
      </c>
      <c r="K26" s="193">
        <v>0</v>
      </c>
      <c r="L26" s="194">
        <v>0</v>
      </c>
      <c r="M26" s="195">
        <v>0</v>
      </c>
      <c r="N26" s="193">
        <v>0</v>
      </c>
      <c r="O26" s="193">
        <v>0</v>
      </c>
      <c r="P26" s="194">
        <v>0</v>
      </c>
      <c r="Q26" s="195">
        <v>0</v>
      </c>
      <c r="R26" s="193">
        <v>0</v>
      </c>
      <c r="S26" s="193">
        <v>0</v>
      </c>
      <c r="T26" s="194">
        <v>0</v>
      </c>
      <c r="U26" s="195">
        <v>0</v>
      </c>
      <c r="V26" s="193">
        <v>0</v>
      </c>
      <c r="W26" s="193">
        <v>0</v>
      </c>
      <c r="X26" s="194">
        <v>2959</v>
      </c>
      <c r="Y26" s="195">
        <v>3627</v>
      </c>
      <c r="Z26" s="193">
        <v>3627</v>
      </c>
      <c r="AA26" s="193">
        <v>3336</v>
      </c>
      <c r="AB26" s="193">
        <v>2458</v>
      </c>
      <c r="AC26" s="195">
        <v>-5729</v>
      </c>
      <c r="AD26" s="193">
        <v>-6963</v>
      </c>
      <c r="AE26" s="193">
        <v>2504</v>
      </c>
      <c r="AF26" s="193">
        <v>1342</v>
      </c>
      <c r="AG26" s="195">
        <v>4825</v>
      </c>
      <c r="AH26" s="193">
        <v>3918</v>
      </c>
      <c r="AI26" s="193">
        <v>6380</v>
      </c>
      <c r="AJ26" s="193">
        <v>6128</v>
      </c>
      <c r="AK26" s="195">
        <v>27584</v>
      </c>
      <c r="AL26" s="193">
        <v>34071</v>
      </c>
      <c r="AM26" s="193">
        <v>24707</v>
      </c>
      <c r="AN26" s="193">
        <v>14610</v>
      </c>
      <c r="AO26" s="195">
        <v>41932</v>
      </c>
    </row>
    <row r="27" spans="2:42">
      <c r="B27" s="201" t="s">
        <v>242</v>
      </c>
      <c r="C27" s="193">
        <v>0</v>
      </c>
      <c r="D27" s="194"/>
      <c r="E27" s="195">
        <v>0</v>
      </c>
      <c r="F27" s="193">
        <v>0</v>
      </c>
      <c r="G27" s="193">
        <v>0</v>
      </c>
      <c r="H27" s="194">
        <v>0</v>
      </c>
      <c r="I27" s="195">
        <v>0</v>
      </c>
      <c r="J27" s="193">
        <v>0</v>
      </c>
      <c r="K27" s="193">
        <v>0</v>
      </c>
      <c r="L27" s="194">
        <v>0</v>
      </c>
      <c r="M27" s="195">
        <v>0</v>
      </c>
      <c r="N27" s="193">
        <v>0</v>
      </c>
      <c r="O27" s="193">
        <v>0</v>
      </c>
      <c r="P27" s="194">
        <v>0</v>
      </c>
      <c r="Q27" s="195">
        <v>0</v>
      </c>
      <c r="R27" s="193">
        <v>0</v>
      </c>
      <c r="S27" s="193">
        <v>0</v>
      </c>
      <c r="T27" s="194">
        <v>0</v>
      </c>
      <c r="U27" s="195">
        <v>0</v>
      </c>
      <c r="V27" s="193">
        <v>0</v>
      </c>
      <c r="W27" s="193">
        <v>0</v>
      </c>
      <c r="X27" s="194">
        <v>0</v>
      </c>
      <c r="Y27" s="195">
        <v>0</v>
      </c>
      <c r="Z27" s="193">
        <v>0</v>
      </c>
      <c r="AA27" s="193">
        <v>0</v>
      </c>
      <c r="AB27" s="193">
        <v>0</v>
      </c>
      <c r="AC27" s="195">
        <v>0</v>
      </c>
      <c r="AD27" s="193">
        <v>0</v>
      </c>
      <c r="AE27" s="193">
        <v>0</v>
      </c>
      <c r="AF27" s="193">
        <v>0</v>
      </c>
      <c r="AG27" s="195">
        <v>0</v>
      </c>
      <c r="AH27" s="193">
        <v>0</v>
      </c>
      <c r="AI27" s="193">
        <v>0</v>
      </c>
      <c r="AJ27" s="193">
        <v>0</v>
      </c>
      <c r="AK27" s="195">
        <v>-19765</v>
      </c>
      <c r="AL27" s="193">
        <v>-19765</v>
      </c>
      <c r="AM27" s="193">
        <v>-19765</v>
      </c>
      <c r="AN27" s="193">
        <v>-19765</v>
      </c>
      <c r="AO27" s="195">
        <v>0</v>
      </c>
      <c r="AP27" s="193"/>
    </row>
    <row r="28" spans="2:42">
      <c r="B28" s="201" t="s">
        <v>342</v>
      </c>
      <c r="C28" s="193">
        <v>0</v>
      </c>
      <c r="D28" s="194"/>
      <c r="E28" s="195">
        <v>0</v>
      </c>
      <c r="F28" s="193">
        <v>0</v>
      </c>
      <c r="G28" s="193">
        <v>0</v>
      </c>
      <c r="H28" s="194">
        <v>0</v>
      </c>
      <c r="I28" s="195">
        <v>0</v>
      </c>
      <c r="J28" s="193">
        <v>0</v>
      </c>
      <c r="K28" s="193">
        <v>0</v>
      </c>
      <c r="L28" s="194">
        <v>0</v>
      </c>
      <c r="M28" s="195">
        <v>0</v>
      </c>
      <c r="N28" s="193">
        <v>0</v>
      </c>
      <c r="O28" s="193">
        <v>0</v>
      </c>
      <c r="P28" s="194">
        <v>0</v>
      </c>
      <c r="Q28" s="195">
        <v>38784</v>
      </c>
      <c r="R28" s="193">
        <v>876</v>
      </c>
      <c r="S28" s="193">
        <v>0</v>
      </c>
      <c r="T28" s="194">
        <v>0</v>
      </c>
      <c r="U28" s="195">
        <v>-7452</v>
      </c>
      <c r="V28" s="193">
        <v>-9316</v>
      </c>
      <c r="W28" s="193">
        <v>-5968</v>
      </c>
      <c r="X28" s="194">
        <v>-5151</v>
      </c>
      <c r="Y28" s="195">
        <v>0</v>
      </c>
      <c r="Z28" s="193">
        <v>0</v>
      </c>
      <c r="AA28" s="193">
        <v>0</v>
      </c>
      <c r="AB28" s="193">
        <v>0</v>
      </c>
      <c r="AC28" s="195">
        <v>0</v>
      </c>
      <c r="AD28" s="193">
        <v>0</v>
      </c>
      <c r="AE28" s="193">
        <v>0</v>
      </c>
      <c r="AF28" s="193">
        <v>0</v>
      </c>
      <c r="AG28" s="195">
        <v>0</v>
      </c>
      <c r="AH28" s="193">
        <v>0</v>
      </c>
      <c r="AI28" s="193">
        <v>0</v>
      </c>
      <c r="AJ28" s="193">
        <v>0</v>
      </c>
      <c r="AK28" s="195">
        <v>0</v>
      </c>
      <c r="AL28" s="193">
        <v>0</v>
      </c>
      <c r="AM28" s="193">
        <v>0</v>
      </c>
      <c r="AN28" s="193">
        <v>0</v>
      </c>
      <c r="AO28" s="195">
        <v>0</v>
      </c>
      <c r="AP28" s="193"/>
    </row>
    <row r="29" spans="2:42">
      <c r="B29" s="201" t="s">
        <v>326</v>
      </c>
      <c r="C29" s="193">
        <v>900</v>
      </c>
      <c r="D29" s="194">
        <v>450</v>
      </c>
      <c r="E29" s="195">
        <v>3240</v>
      </c>
      <c r="F29" s="193">
        <v>2791</v>
      </c>
      <c r="G29" s="193">
        <v>2135</v>
      </c>
      <c r="H29" s="194">
        <v>1068</v>
      </c>
      <c r="I29" s="195">
        <v>6450</v>
      </c>
      <c r="J29" s="193">
        <v>5383</v>
      </c>
      <c r="K29" s="193">
        <v>3945</v>
      </c>
      <c r="L29" s="194">
        <v>1766</v>
      </c>
      <c r="M29" s="195">
        <v>10867</v>
      </c>
      <c r="N29" s="193">
        <v>9101</v>
      </c>
      <c r="O29" s="193">
        <v>6792</v>
      </c>
      <c r="P29" s="194">
        <v>3396</v>
      </c>
      <c r="Q29" s="195">
        <v>20660</v>
      </c>
      <c r="R29" s="193">
        <v>17264</v>
      </c>
      <c r="S29" s="193">
        <v>0</v>
      </c>
      <c r="T29" s="194">
        <v>0</v>
      </c>
      <c r="U29" s="195">
        <v>0</v>
      </c>
      <c r="V29" s="193">
        <v>0</v>
      </c>
      <c r="W29" s="193">
        <v>0</v>
      </c>
      <c r="X29" s="194">
        <v>0</v>
      </c>
      <c r="Y29" s="195">
        <v>24770</v>
      </c>
      <c r="Z29" s="193">
        <v>24770</v>
      </c>
      <c r="AA29" s="193">
        <v>24770</v>
      </c>
      <c r="AB29" s="193">
        <v>24770</v>
      </c>
      <c r="AC29" s="195">
        <v>0</v>
      </c>
      <c r="AD29" s="193">
        <v>0</v>
      </c>
      <c r="AE29" s="193">
        <v>0</v>
      </c>
      <c r="AF29" s="193">
        <v>0</v>
      </c>
      <c r="AG29" s="195">
        <v>0</v>
      </c>
      <c r="AH29" s="193">
        <v>0</v>
      </c>
      <c r="AI29" s="193">
        <v>0</v>
      </c>
      <c r="AJ29" s="193">
        <v>0</v>
      </c>
      <c r="AK29" s="195">
        <v>0</v>
      </c>
      <c r="AL29" s="193">
        <v>0</v>
      </c>
      <c r="AM29" s="193">
        <v>0</v>
      </c>
      <c r="AN29" s="193">
        <v>0</v>
      </c>
      <c r="AO29" s="195">
        <v>0</v>
      </c>
      <c r="AP29" s="193"/>
    </row>
    <row r="30" spans="2:42">
      <c r="B30" s="239" t="s">
        <v>339</v>
      </c>
      <c r="C30" s="193">
        <v>0</v>
      </c>
      <c r="D30" s="194"/>
      <c r="E30" s="195">
        <v>0</v>
      </c>
      <c r="F30" s="193">
        <v>0</v>
      </c>
      <c r="G30" s="193">
        <v>0</v>
      </c>
      <c r="H30" s="194">
        <v>0</v>
      </c>
      <c r="I30" s="195">
        <v>0</v>
      </c>
      <c r="J30" s="193">
        <v>0</v>
      </c>
      <c r="K30" s="193">
        <v>0</v>
      </c>
      <c r="L30" s="194">
        <v>0</v>
      </c>
      <c r="M30" s="195">
        <v>0</v>
      </c>
      <c r="N30" s="193">
        <v>0</v>
      </c>
      <c r="O30" s="193">
        <v>0</v>
      </c>
      <c r="P30" s="194">
        <v>0</v>
      </c>
      <c r="Q30" s="195">
        <v>0</v>
      </c>
      <c r="R30" s="193">
        <v>0</v>
      </c>
      <c r="S30" s="193">
        <v>0</v>
      </c>
      <c r="T30" s="194">
        <v>0</v>
      </c>
      <c r="U30" s="195">
        <v>0</v>
      </c>
      <c r="V30" s="193">
        <v>0</v>
      </c>
      <c r="W30" s="193">
        <v>0</v>
      </c>
      <c r="X30" s="194">
        <v>0</v>
      </c>
      <c r="Y30" s="195">
        <v>-1600</v>
      </c>
      <c r="Z30" s="193">
        <v>0</v>
      </c>
      <c r="AA30" s="193">
        <v>0</v>
      </c>
      <c r="AB30" s="193">
        <v>0</v>
      </c>
      <c r="AC30" s="195">
        <v>0</v>
      </c>
      <c r="AD30" s="193">
        <v>0</v>
      </c>
      <c r="AE30" s="193">
        <v>0</v>
      </c>
      <c r="AF30" s="193">
        <v>0</v>
      </c>
      <c r="AG30" s="195">
        <v>0</v>
      </c>
      <c r="AH30" s="193">
        <v>0</v>
      </c>
      <c r="AI30" s="193">
        <v>0</v>
      </c>
      <c r="AJ30" s="193">
        <v>0</v>
      </c>
      <c r="AK30" s="195">
        <v>0</v>
      </c>
      <c r="AL30" s="193">
        <v>0</v>
      </c>
      <c r="AM30" s="193">
        <v>0</v>
      </c>
      <c r="AN30" s="193">
        <v>0</v>
      </c>
      <c r="AO30" s="195">
        <v>0</v>
      </c>
      <c r="AP30" s="193"/>
    </row>
    <row r="31" spans="2:42">
      <c r="B31" s="201" t="s">
        <v>306</v>
      </c>
      <c r="C31" s="193">
        <v>4140</v>
      </c>
      <c r="D31" s="194">
        <v>1281</v>
      </c>
      <c r="E31" s="195">
        <v>14096</v>
      </c>
      <c r="F31" s="193">
        <v>5557</v>
      </c>
      <c r="G31" s="193">
        <v>4426</v>
      </c>
      <c r="H31" s="194">
        <v>1929</v>
      </c>
      <c r="I31" s="195">
        <v>10889</v>
      </c>
      <c r="J31" s="193">
        <v>6946</v>
      </c>
      <c r="K31" s="193">
        <v>4906</v>
      </c>
      <c r="L31" s="194">
        <v>4115</v>
      </c>
      <c r="M31" s="195">
        <v>7138</v>
      </c>
      <c r="N31" s="193">
        <v>5550</v>
      </c>
      <c r="O31" s="193">
        <v>5208</v>
      </c>
      <c r="P31" s="194">
        <v>2398</v>
      </c>
      <c r="Q31" s="195">
        <v>19994</v>
      </c>
      <c r="R31" s="193">
        <v>17112</v>
      </c>
      <c r="S31" s="193">
        <v>3848</v>
      </c>
      <c r="T31" s="194">
        <v>1850</v>
      </c>
      <c r="U31" s="195">
        <v>41167</v>
      </c>
      <c r="V31" s="193">
        <v>4853</v>
      </c>
      <c r="W31" s="193">
        <v>2039</v>
      </c>
      <c r="X31" s="194">
        <v>1718</v>
      </c>
      <c r="Y31" s="195">
        <v>12045</v>
      </c>
      <c r="Z31" s="193">
        <v>11869</v>
      </c>
      <c r="AA31" s="193">
        <v>0</v>
      </c>
      <c r="AB31" s="193">
        <v>0</v>
      </c>
      <c r="AC31" s="195">
        <v>6083</v>
      </c>
      <c r="AD31" s="193">
        <v>3346</v>
      </c>
      <c r="AE31" s="193">
        <v>3587</v>
      </c>
      <c r="AF31" s="193">
        <v>0</v>
      </c>
      <c r="AG31" s="195">
        <v>7783</v>
      </c>
      <c r="AH31" s="193"/>
      <c r="AI31" s="193"/>
      <c r="AJ31" s="193"/>
      <c r="AK31" s="195"/>
      <c r="AL31" s="193"/>
      <c r="AM31" s="193"/>
      <c r="AN31" s="193"/>
      <c r="AO31" s="195"/>
      <c r="AP31" s="193"/>
    </row>
    <row r="32" spans="2:42">
      <c r="B32" s="201" t="s">
        <v>281</v>
      </c>
      <c r="C32" s="193">
        <v>0</v>
      </c>
      <c r="D32" s="194"/>
      <c r="E32" s="195">
        <v>0</v>
      </c>
      <c r="F32" s="193">
        <v>0</v>
      </c>
      <c r="G32" s="193">
        <v>0</v>
      </c>
      <c r="H32" s="194">
        <v>0</v>
      </c>
      <c r="I32" s="195">
        <v>0</v>
      </c>
      <c r="J32" s="193">
        <v>0</v>
      </c>
      <c r="K32" s="193">
        <v>0</v>
      </c>
      <c r="L32" s="194">
        <v>0</v>
      </c>
      <c r="M32" s="195">
        <v>0</v>
      </c>
      <c r="N32" s="193">
        <v>0</v>
      </c>
      <c r="O32" s="193">
        <v>0</v>
      </c>
      <c r="P32" s="194">
        <v>0</v>
      </c>
      <c r="Q32" s="195">
        <v>0</v>
      </c>
      <c r="R32" s="193">
        <v>0</v>
      </c>
      <c r="S32" s="193">
        <v>0</v>
      </c>
      <c r="T32" s="194">
        <v>0</v>
      </c>
      <c r="U32" s="195">
        <v>0</v>
      </c>
      <c r="V32" s="193">
        <v>0</v>
      </c>
      <c r="W32" s="193">
        <v>0</v>
      </c>
      <c r="X32" s="194">
        <v>0</v>
      </c>
      <c r="Y32" s="195">
        <v>0</v>
      </c>
      <c r="Z32" s="193">
        <v>0</v>
      </c>
      <c r="AA32" s="193">
        <v>0</v>
      </c>
      <c r="AB32" s="193">
        <v>0</v>
      </c>
      <c r="AC32" s="195">
        <v>0</v>
      </c>
      <c r="AD32" s="193">
        <v>0</v>
      </c>
      <c r="AE32" s="193">
        <v>0</v>
      </c>
      <c r="AF32" s="193">
        <v>0</v>
      </c>
      <c r="AG32" s="195">
        <v>0</v>
      </c>
      <c r="AH32" s="193">
        <v>0</v>
      </c>
      <c r="AI32" s="193">
        <v>0</v>
      </c>
      <c r="AJ32" s="193">
        <v>0</v>
      </c>
      <c r="AK32" s="195">
        <v>33060</v>
      </c>
      <c r="AL32" s="193">
        <v>0</v>
      </c>
      <c r="AM32" s="193">
        <v>0</v>
      </c>
      <c r="AN32" s="193">
        <v>0</v>
      </c>
      <c r="AO32" s="195">
        <v>0</v>
      </c>
      <c r="AP32" s="193"/>
    </row>
    <row r="33" spans="2:41">
      <c r="B33" s="201" t="s">
        <v>188</v>
      </c>
      <c r="C33" s="193">
        <v>0</v>
      </c>
      <c r="D33" s="194"/>
      <c r="E33" s="195">
        <v>0</v>
      </c>
      <c r="F33" s="193">
        <v>0</v>
      </c>
      <c r="G33" s="193">
        <v>0</v>
      </c>
      <c r="H33" s="194">
        <v>0</v>
      </c>
      <c r="I33" s="195">
        <v>0</v>
      </c>
      <c r="J33" s="193">
        <v>0</v>
      </c>
      <c r="K33" s="193">
        <v>0</v>
      </c>
      <c r="L33" s="194">
        <v>0</v>
      </c>
      <c r="M33" s="195">
        <v>0</v>
      </c>
      <c r="N33" s="193">
        <v>0</v>
      </c>
      <c r="O33" s="193">
        <v>0</v>
      </c>
      <c r="P33" s="194">
        <v>0</v>
      </c>
      <c r="Q33" s="195">
        <v>0</v>
      </c>
      <c r="R33" s="193">
        <v>0</v>
      </c>
      <c r="S33" s="193">
        <v>0</v>
      </c>
      <c r="T33" s="194">
        <v>0</v>
      </c>
      <c r="U33" s="195">
        <v>0</v>
      </c>
      <c r="V33" s="193">
        <v>0</v>
      </c>
      <c r="W33" s="193">
        <v>0</v>
      </c>
      <c r="X33" s="194">
        <v>0</v>
      </c>
      <c r="Y33" s="195">
        <v>0</v>
      </c>
      <c r="Z33" s="193">
        <v>0</v>
      </c>
      <c r="AA33" s="193">
        <v>0</v>
      </c>
      <c r="AB33" s="193">
        <v>0</v>
      </c>
      <c r="AC33" s="195">
        <v>0</v>
      </c>
      <c r="AD33" s="193">
        <v>0</v>
      </c>
      <c r="AE33" s="193">
        <v>0</v>
      </c>
      <c r="AF33" s="193">
        <v>0</v>
      </c>
      <c r="AG33" s="195">
        <v>0</v>
      </c>
      <c r="AH33" s="193">
        <v>0</v>
      </c>
      <c r="AI33" s="193">
        <v>0</v>
      </c>
      <c r="AJ33" s="193">
        <v>0</v>
      </c>
      <c r="AK33" s="195">
        <v>0</v>
      </c>
      <c r="AL33" s="193" t="s">
        <v>159</v>
      </c>
      <c r="AM33" s="193">
        <v>0</v>
      </c>
      <c r="AN33" s="193">
        <v>0</v>
      </c>
      <c r="AO33" s="195">
        <v>-490627</v>
      </c>
    </row>
    <row r="34" spans="2:41">
      <c r="B34" s="201" t="s">
        <v>243</v>
      </c>
      <c r="C34" s="193">
        <v>0</v>
      </c>
      <c r="D34" s="194"/>
      <c r="E34" s="195">
        <v>0</v>
      </c>
      <c r="F34" s="193">
        <v>0</v>
      </c>
      <c r="G34" s="193">
        <v>0</v>
      </c>
      <c r="H34" s="194">
        <v>0</v>
      </c>
      <c r="I34" s="195">
        <v>0</v>
      </c>
      <c r="J34" s="193">
        <v>0</v>
      </c>
      <c r="K34" s="193">
        <v>0</v>
      </c>
      <c r="L34" s="194">
        <v>0</v>
      </c>
      <c r="M34" s="195">
        <v>0</v>
      </c>
      <c r="N34" s="193">
        <v>0</v>
      </c>
      <c r="O34" s="193">
        <v>0</v>
      </c>
      <c r="P34" s="194">
        <v>0</v>
      </c>
      <c r="Q34" s="195">
        <v>0</v>
      </c>
      <c r="R34" s="193">
        <v>0</v>
      </c>
      <c r="S34" s="193">
        <v>0</v>
      </c>
      <c r="T34" s="194">
        <v>0</v>
      </c>
      <c r="U34" s="195">
        <v>0</v>
      </c>
      <c r="V34" s="193">
        <v>0</v>
      </c>
      <c r="W34" s="193">
        <v>0</v>
      </c>
      <c r="X34" s="194">
        <v>0</v>
      </c>
      <c r="Y34" s="195">
        <v>0</v>
      </c>
      <c r="Z34" s="193">
        <v>0</v>
      </c>
      <c r="AA34" s="193">
        <v>0</v>
      </c>
      <c r="AB34" s="193">
        <v>0</v>
      </c>
      <c r="AC34" s="195">
        <v>0</v>
      </c>
      <c r="AD34" s="193">
        <v>0</v>
      </c>
      <c r="AE34" s="193">
        <v>0</v>
      </c>
      <c r="AF34" s="193">
        <v>0</v>
      </c>
      <c r="AG34" s="195">
        <v>0</v>
      </c>
      <c r="AH34" s="193">
        <v>0</v>
      </c>
      <c r="AI34" s="193">
        <v>0</v>
      </c>
      <c r="AJ34" s="193">
        <v>0</v>
      </c>
      <c r="AK34" s="195">
        <v>0</v>
      </c>
      <c r="AL34" s="193">
        <v>0</v>
      </c>
      <c r="AM34" s="193">
        <v>0</v>
      </c>
      <c r="AN34" s="193">
        <v>55661</v>
      </c>
      <c r="AO34" s="195">
        <v>37990</v>
      </c>
    </row>
    <row r="35" spans="2:41">
      <c r="B35" s="201" t="s">
        <v>244</v>
      </c>
      <c r="C35" s="193">
        <v>0</v>
      </c>
      <c r="D35" s="194"/>
      <c r="E35" s="195">
        <v>0</v>
      </c>
      <c r="F35" s="193">
        <v>0</v>
      </c>
      <c r="G35" s="193">
        <v>0</v>
      </c>
      <c r="H35" s="194">
        <v>0</v>
      </c>
      <c r="I35" s="195">
        <v>0</v>
      </c>
      <c r="J35" s="193">
        <v>0</v>
      </c>
      <c r="K35" s="193">
        <v>0</v>
      </c>
      <c r="L35" s="194">
        <v>0</v>
      </c>
      <c r="M35" s="195">
        <v>0</v>
      </c>
      <c r="N35" s="193">
        <v>0</v>
      </c>
      <c r="O35" s="193">
        <v>0</v>
      </c>
      <c r="P35" s="194">
        <v>0</v>
      </c>
      <c r="Q35" s="195">
        <v>0</v>
      </c>
      <c r="R35" s="193">
        <v>0</v>
      </c>
      <c r="S35" s="193">
        <v>0</v>
      </c>
      <c r="T35" s="194">
        <v>0</v>
      </c>
      <c r="U35" s="195">
        <v>0</v>
      </c>
      <c r="V35" s="193">
        <v>0</v>
      </c>
      <c r="W35" s="193">
        <v>0</v>
      </c>
      <c r="X35" s="194">
        <v>0</v>
      </c>
      <c r="Y35" s="195">
        <v>0</v>
      </c>
      <c r="Z35" s="193">
        <v>0</v>
      </c>
      <c r="AA35" s="193">
        <v>0</v>
      </c>
      <c r="AB35" s="193">
        <v>0</v>
      </c>
      <c r="AC35" s="195">
        <v>0</v>
      </c>
      <c r="AD35" s="193">
        <v>0</v>
      </c>
      <c r="AE35" s="193">
        <v>0</v>
      </c>
      <c r="AF35" s="193">
        <v>0</v>
      </c>
      <c r="AG35" s="195">
        <v>0</v>
      </c>
      <c r="AH35" s="193">
        <v>0</v>
      </c>
      <c r="AI35" s="193">
        <v>0</v>
      </c>
      <c r="AJ35" s="193">
        <v>0</v>
      </c>
      <c r="AK35" s="195">
        <v>55000</v>
      </c>
      <c r="AL35" s="193">
        <v>0</v>
      </c>
      <c r="AM35" s="193">
        <v>0</v>
      </c>
      <c r="AN35" s="193">
        <v>0</v>
      </c>
      <c r="AO35" s="195">
        <v>0</v>
      </c>
    </row>
    <row r="36" spans="2:41">
      <c r="B36" s="201" t="s">
        <v>245</v>
      </c>
      <c r="C36" s="193">
        <v>0</v>
      </c>
      <c r="D36" s="194"/>
      <c r="E36" s="195">
        <v>0</v>
      </c>
      <c r="F36" s="193">
        <v>0</v>
      </c>
      <c r="G36" s="193">
        <v>0</v>
      </c>
      <c r="H36" s="194">
        <v>0</v>
      </c>
      <c r="I36" s="195">
        <v>0</v>
      </c>
      <c r="J36" s="193">
        <v>0</v>
      </c>
      <c r="K36" s="193">
        <v>0</v>
      </c>
      <c r="L36" s="194">
        <v>0</v>
      </c>
      <c r="M36" s="195">
        <v>0</v>
      </c>
      <c r="N36" s="193">
        <v>0</v>
      </c>
      <c r="O36" s="193">
        <v>0</v>
      </c>
      <c r="P36" s="194">
        <v>0</v>
      </c>
      <c r="Q36" s="195">
        <v>0</v>
      </c>
      <c r="R36" s="193">
        <v>0</v>
      </c>
      <c r="S36" s="193">
        <v>0</v>
      </c>
      <c r="T36" s="194">
        <v>0</v>
      </c>
      <c r="U36" s="195">
        <v>0</v>
      </c>
      <c r="V36" s="193">
        <v>0</v>
      </c>
      <c r="W36" s="193">
        <v>0</v>
      </c>
      <c r="X36" s="194">
        <v>0</v>
      </c>
      <c r="Y36" s="195">
        <v>0</v>
      </c>
      <c r="Z36" s="193">
        <v>0</v>
      </c>
      <c r="AA36" s="193">
        <v>0</v>
      </c>
      <c r="AB36" s="193">
        <v>0</v>
      </c>
      <c r="AC36" s="195">
        <v>0</v>
      </c>
      <c r="AD36" s="193">
        <v>0</v>
      </c>
      <c r="AE36" s="193">
        <v>0</v>
      </c>
      <c r="AF36" s="193">
        <v>0</v>
      </c>
      <c r="AG36" s="195">
        <v>0</v>
      </c>
      <c r="AH36" s="193">
        <v>0</v>
      </c>
      <c r="AI36" s="193">
        <v>0</v>
      </c>
      <c r="AJ36" s="193">
        <v>0</v>
      </c>
      <c r="AK36" s="195">
        <v>-110203</v>
      </c>
      <c r="AL36" s="193">
        <v>0</v>
      </c>
      <c r="AM36" s="193">
        <v>0</v>
      </c>
      <c r="AN36" s="193">
        <v>0</v>
      </c>
      <c r="AO36" s="195">
        <v>0</v>
      </c>
    </row>
    <row r="37" spans="2:41">
      <c r="B37" s="201" t="s">
        <v>246</v>
      </c>
      <c r="C37" s="193">
        <v>0</v>
      </c>
      <c r="D37" s="194"/>
      <c r="E37" s="195">
        <v>0</v>
      </c>
      <c r="F37" s="193">
        <v>0</v>
      </c>
      <c r="G37" s="193">
        <v>0</v>
      </c>
      <c r="H37" s="194">
        <v>0</v>
      </c>
      <c r="I37" s="195">
        <v>0</v>
      </c>
      <c r="J37" s="193">
        <v>0</v>
      </c>
      <c r="K37" s="193">
        <v>0</v>
      </c>
      <c r="L37" s="194">
        <v>0</v>
      </c>
      <c r="M37" s="195">
        <v>0</v>
      </c>
      <c r="N37" s="193">
        <v>0</v>
      </c>
      <c r="O37" s="193">
        <v>0</v>
      </c>
      <c r="P37" s="194">
        <v>0</v>
      </c>
      <c r="Q37" s="195">
        <v>0</v>
      </c>
      <c r="R37" s="193">
        <v>0</v>
      </c>
      <c r="S37" s="193">
        <v>0</v>
      </c>
      <c r="T37" s="194">
        <v>0</v>
      </c>
      <c r="U37" s="195">
        <v>0</v>
      </c>
      <c r="V37" s="193">
        <v>0</v>
      </c>
      <c r="W37" s="193">
        <v>0</v>
      </c>
      <c r="X37" s="194">
        <v>0</v>
      </c>
      <c r="Y37" s="195">
        <v>0</v>
      </c>
      <c r="Z37" s="193">
        <v>0</v>
      </c>
      <c r="AA37" s="193">
        <v>0</v>
      </c>
      <c r="AB37" s="193">
        <v>0</v>
      </c>
      <c r="AC37" s="195">
        <v>0</v>
      </c>
      <c r="AD37" s="193">
        <v>0</v>
      </c>
      <c r="AE37" s="193">
        <v>0</v>
      </c>
      <c r="AF37" s="193">
        <v>0</v>
      </c>
      <c r="AG37" s="195">
        <v>0</v>
      </c>
      <c r="AH37" s="193">
        <v>0</v>
      </c>
      <c r="AI37" s="193">
        <v>0</v>
      </c>
      <c r="AJ37" s="193">
        <v>0</v>
      </c>
      <c r="AK37" s="195">
        <v>16432</v>
      </c>
      <c r="AL37" s="193">
        <v>0</v>
      </c>
      <c r="AM37" s="193">
        <v>0</v>
      </c>
      <c r="AN37" s="193">
        <v>0</v>
      </c>
      <c r="AO37" s="195">
        <v>0</v>
      </c>
    </row>
    <row r="38" spans="2:41">
      <c r="B38" s="201" t="s">
        <v>247</v>
      </c>
      <c r="C38" s="193">
        <v>0</v>
      </c>
      <c r="D38" s="194"/>
      <c r="E38" s="195">
        <v>0</v>
      </c>
      <c r="F38" s="193">
        <v>0</v>
      </c>
      <c r="G38" s="193">
        <v>0</v>
      </c>
      <c r="H38" s="194">
        <v>0</v>
      </c>
      <c r="I38" s="195">
        <v>0</v>
      </c>
      <c r="J38" s="193">
        <v>0</v>
      </c>
      <c r="K38" s="193">
        <v>0</v>
      </c>
      <c r="L38" s="194">
        <v>0</v>
      </c>
      <c r="M38" s="195">
        <v>0</v>
      </c>
      <c r="N38" s="193">
        <v>0</v>
      </c>
      <c r="O38" s="193">
        <v>0</v>
      </c>
      <c r="P38" s="194">
        <v>0</v>
      </c>
      <c r="Q38" s="195">
        <v>0</v>
      </c>
      <c r="R38" s="193">
        <v>0</v>
      </c>
      <c r="S38" s="193">
        <v>0</v>
      </c>
      <c r="T38" s="194">
        <v>0</v>
      </c>
      <c r="U38" s="195">
        <v>0</v>
      </c>
      <c r="V38" s="193">
        <v>0</v>
      </c>
      <c r="W38" s="193">
        <v>0</v>
      </c>
      <c r="X38" s="194">
        <v>0</v>
      </c>
      <c r="Y38" s="195">
        <v>0</v>
      </c>
      <c r="Z38" s="193">
        <v>0</v>
      </c>
      <c r="AA38" s="193">
        <v>0</v>
      </c>
      <c r="AB38" s="193">
        <v>0</v>
      </c>
      <c r="AC38" s="195">
        <v>0</v>
      </c>
      <c r="AD38" s="193">
        <v>0</v>
      </c>
      <c r="AE38" s="193">
        <v>0</v>
      </c>
      <c r="AF38" s="193">
        <v>0</v>
      </c>
      <c r="AG38" s="195">
        <v>0</v>
      </c>
      <c r="AH38" s="193">
        <v>0</v>
      </c>
      <c r="AI38" s="193">
        <v>0</v>
      </c>
      <c r="AJ38" s="193">
        <v>0</v>
      </c>
      <c r="AK38" s="195">
        <v>10804</v>
      </c>
      <c r="AL38" s="193">
        <v>0</v>
      </c>
      <c r="AM38" s="193">
        <v>0</v>
      </c>
      <c r="AN38" s="193">
        <v>0</v>
      </c>
      <c r="AO38" s="195">
        <v>0</v>
      </c>
    </row>
    <row r="39" spans="2:41">
      <c r="B39" s="201" t="s">
        <v>248</v>
      </c>
      <c r="C39" s="193">
        <v>0</v>
      </c>
      <c r="D39" s="194"/>
      <c r="E39" s="195">
        <v>0</v>
      </c>
      <c r="F39" s="193">
        <v>0</v>
      </c>
      <c r="G39" s="193">
        <v>0</v>
      </c>
      <c r="H39" s="194">
        <v>0</v>
      </c>
      <c r="I39" s="195">
        <v>0</v>
      </c>
      <c r="J39" s="193">
        <v>0</v>
      </c>
      <c r="K39" s="193">
        <v>0</v>
      </c>
      <c r="L39" s="194">
        <v>0</v>
      </c>
      <c r="M39" s="195">
        <v>0</v>
      </c>
      <c r="N39" s="193">
        <v>0</v>
      </c>
      <c r="O39" s="193">
        <v>0</v>
      </c>
      <c r="P39" s="194">
        <v>0</v>
      </c>
      <c r="Q39" s="195">
        <v>0</v>
      </c>
      <c r="R39" s="193">
        <v>0</v>
      </c>
      <c r="S39" s="193">
        <v>0</v>
      </c>
      <c r="T39" s="194">
        <v>0</v>
      </c>
      <c r="U39" s="195">
        <v>0</v>
      </c>
      <c r="V39" s="193">
        <v>0</v>
      </c>
      <c r="W39" s="193">
        <v>0</v>
      </c>
      <c r="X39" s="194">
        <v>0</v>
      </c>
      <c r="Y39" s="195">
        <v>0</v>
      </c>
      <c r="Z39" s="193">
        <v>0</v>
      </c>
      <c r="AA39" s="193">
        <v>0</v>
      </c>
      <c r="AB39" s="193">
        <v>0</v>
      </c>
      <c r="AC39" s="195">
        <v>0</v>
      </c>
      <c r="AD39" s="193">
        <v>0</v>
      </c>
      <c r="AE39" s="193">
        <v>0</v>
      </c>
      <c r="AF39" s="193">
        <v>0</v>
      </c>
      <c r="AG39" s="195">
        <v>0</v>
      </c>
      <c r="AH39" s="193">
        <v>0</v>
      </c>
      <c r="AI39" s="193">
        <v>0</v>
      </c>
      <c r="AJ39" s="193">
        <v>0</v>
      </c>
      <c r="AK39" s="195">
        <v>55000</v>
      </c>
      <c r="AL39" s="193">
        <v>0</v>
      </c>
      <c r="AM39" s="193">
        <v>0</v>
      </c>
      <c r="AN39" s="193">
        <v>0</v>
      </c>
      <c r="AO39" s="195">
        <v>0</v>
      </c>
    </row>
    <row r="40" spans="2:41">
      <c r="B40" s="201" t="s">
        <v>350</v>
      </c>
      <c r="C40" s="193">
        <v>0</v>
      </c>
      <c r="D40" s="194"/>
      <c r="E40" s="195">
        <v>0</v>
      </c>
      <c r="F40" s="193">
        <v>0</v>
      </c>
      <c r="G40" s="193">
        <v>0</v>
      </c>
      <c r="H40" s="194">
        <v>0</v>
      </c>
      <c r="I40" s="195">
        <v>0</v>
      </c>
      <c r="J40" s="193">
        <v>0</v>
      </c>
      <c r="K40" s="193">
        <v>0</v>
      </c>
      <c r="L40" s="194">
        <v>0</v>
      </c>
      <c r="M40" s="195">
        <v>0</v>
      </c>
      <c r="N40" s="193">
        <v>0</v>
      </c>
      <c r="O40" s="193">
        <v>0</v>
      </c>
      <c r="P40" s="194">
        <v>0</v>
      </c>
      <c r="Q40" s="195">
        <v>0</v>
      </c>
      <c r="R40" s="193">
        <v>0</v>
      </c>
      <c r="S40" s="193">
        <v>-18402</v>
      </c>
      <c r="T40" s="194">
        <v>-8235</v>
      </c>
      <c r="U40" s="195">
        <v>-705485</v>
      </c>
      <c r="V40" s="193">
        <v>-730262</v>
      </c>
      <c r="W40" s="193">
        <v>0</v>
      </c>
      <c r="X40" s="194">
        <v>0</v>
      </c>
      <c r="Y40" s="195">
        <v>0</v>
      </c>
      <c r="Z40" s="193">
        <v>0</v>
      </c>
      <c r="AA40" s="193">
        <v>0</v>
      </c>
      <c r="AB40" s="193">
        <v>0</v>
      </c>
      <c r="AC40" s="195">
        <v>0</v>
      </c>
      <c r="AD40" s="193">
        <v>0</v>
      </c>
      <c r="AE40" s="193">
        <v>0</v>
      </c>
      <c r="AF40" s="193">
        <v>0</v>
      </c>
      <c r="AG40" s="195">
        <v>0</v>
      </c>
      <c r="AH40" s="193">
        <v>0</v>
      </c>
      <c r="AI40" s="193">
        <v>0</v>
      </c>
      <c r="AJ40" s="193">
        <v>0</v>
      </c>
      <c r="AK40" s="195">
        <v>55000</v>
      </c>
      <c r="AL40" s="193">
        <v>0</v>
      </c>
      <c r="AM40" s="193">
        <v>0</v>
      </c>
      <c r="AN40" s="193">
        <v>0</v>
      </c>
      <c r="AO40" s="195">
        <v>0</v>
      </c>
    </row>
    <row r="41" spans="2:41">
      <c r="B41" s="201" t="s">
        <v>409</v>
      </c>
      <c r="C41" s="193">
        <v>1123</v>
      </c>
      <c r="D41" s="194">
        <v>511</v>
      </c>
      <c r="E41" s="195">
        <v>0</v>
      </c>
      <c r="F41" s="193">
        <v>1484</v>
      </c>
      <c r="G41" s="193">
        <v>988</v>
      </c>
      <c r="H41" s="194">
        <v>492</v>
      </c>
      <c r="I41" s="195">
        <v>1354</v>
      </c>
      <c r="J41" s="193">
        <v>920</v>
      </c>
      <c r="K41" s="193">
        <v>581</v>
      </c>
      <c r="L41" s="194">
        <v>267</v>
      </c>
      <c r="M41" s="195">
        <v>244</v>
      </c>
      <c r="N41" s="193">
        <v>0</v>
      </c>
      <c r="O41" s="193">
        <v>0</v>
      </c>
      <c r="P41" s="194">
        <v>0</v>
      </c>
      <c r="Q41" s="195">
        <v>0</v>
      </c>
      <c r="R41" s="193">
        <v>0</v>
      </c>
      <c r="S41" s="193">
        <v>0</v>
      </c>
      <c r="T41" s="194">
        <v>0</v>
      </c>
      <c r="U41" s="195">
        <v>0</v>
      </c>
      <c r="V41" s="193">
        <v>0</v>
      </c>
      <c r="W41" s="193">
        <v>0</v>
      </c>
      <c r="X41" s="194">
        <v>0</v>
      </c>
      <c r="Y41" s="195">
        <v>0</v>
      </c>
      <c r="Z41" s="193">
        <v>0</v>
      </c>
      <c r="AA41" s="193">
        <v>0</v>
      </c>
      <c r="AB41" s="193">
        <v>0</v>
      </c>
      <c r="AC41" s="195">
        <v>0</v>
      </c>
      <c r="AD41" s="193">
        <v>0</v>
      </c>
      <c r="AE41" s="193">
        <v>0</v>
      </c>
      <c r="AF41" s="193">
        <v>0</v>
      </c>
      <c r="AG41" s="195">
        <v>0</v>
      </c>
      <c r="AH41" s="193">
        <v>0</v>
      </c>
      <c r="AI41" s="193">
        <v>0</v>
      </c>
      <c r="AJ41" s="193">
        <v>0</v>
      </c>
      <c r="AK41" s="195">
        <v>0</v>
      </c>
      <c r="AL41" s="193">
        <v>0</v>
      </c>
      <c r="AM41" s="193">
        <v>0</v>
      </c>
      <c r="AN41" s="193">
        <v>0</v>
      </c>
      <c r="AO41" s="195">
        <v>0</v>
      </c>
    </row>
    <row r="42" spans="2:41">
      <c r="B42" s="201" t="s">
        <v>410</v>
      </c>
      <c r="C42" s="193">
        <v>734</v>
      </c>
      <c r="D42" s="194">
        <v>351</v>
      </c>
      <c r="E42" s="195">
        <v>1511</v>
      </c>
      <c r="F42" s="193">
        <v>1150</v>
      </c>
      <c r="G42" s="193">
        <v>759</v>
      </c>
      <c r="H42" s="194">
        <v>385</v>
      </c>
      <c r="I42" s="195">
        <v>1509</v>
      </c>
      <c r="J42" s="193">
        <v>1202</v>
      </c>
      <c r="K42" s="193">
        <v>0</v>
      </c>
      <c r="L42" s="194">
        <v>0</v>
      </c>
      <c r="M42" s="195">
        <v>174</v>
      </c>
      <c r="N42" s="193">
        <v>0</v>
      </c>
      <c r="O42" s="193">
        <v>0</v>
      </c>
      <c r="P42" s="194">
        <v>0</v>
      </c>
      <c r="Q42" s="195">
        <v>0</v>
      </c>
      <c r="R42" s="193">
        <v>0</v>
      </c>
      <c r="S42" s="193">
        <v>0</v>
      </c>
      <c r="T42" s="194">
        <v>0</v>
      </c>
      <c r="U42" s="195">
        <v>0</v>
      </c>
      <c r="V42" s="193">
        <v>0</v>
      </c>
      <c r="W42" s="193">
        <v>0</v>
      </c>
      <c r="X42" s="194">
        <v>0</v>
      </c>
      <c r="Y42" s="195">
        <v>0</v>
      </c>
      <c r="Z42" s="193">
        <v>0</v>
      </c>
      <c r="AA42" s="193">
        <v>0</v>
      </c>
      <c r="AB42" s="193">
        <v>0</v>
      </c>
      <c r="AC42" s="195">
        <v>0</v>
      </c>
      <c r="AD42" s="193">
        <v>0</v>
      </c>
      <c r="AE42" s="193">
        <v>0</v>
      </c>
      <c r="AF42" s="193">
        <v>0</v>
      </c>
      <c r="AG42" s="195">
        <v>0</v>
      </c>
      <c r="AH42" s="193">
        <v>0</v>
      </c>
      <c r="AI42" s="193">
        <v>0</v>
      </c>
      <c r="AJ42" s="193">
        <v>0</v>
      </c>
      <c r="AK42" s="195">
        <v>0</v>
      </c>
      <c r="AL42" s="193">
        <v>0</v>
      </c>
      <c r="AM42" s="193">
        <v>0</v>
      </c>
      <c r="AN42" s="193">
        <v>0</v>
      </c>
      <c r="AO42" s="195">
        <v>0</v>
      </c>
    </row>
    <row r="43" spans="2:41">
      <c r="B43" s="201" t="s">
        <v>404</v>
      </c>
      <c r="C43" s="193">
        <v>0</v>
      </c>
      <c r="D43" s="194"/>
      <c r="E43" s="195">
        <f>-14026-83040+8148</f>
        <v>-88918</v>
      </c>
      <c r="F43" s="193">
        <v>0</v>
      </c>
      <c r="G43" s="193">
        <v>0</v>
      </c>
      <c r="H43" s="194">
        <v>0</v>
      </c>
      <c r="I43" s="195">
        <v>0</v>
      </c>
      <c r="J43" s="193">
        <v>0</v>
      </c>
      <c r="K43" s="193">
        <v>0</v>
      </c>
      <c r="L43" s="194">
        <v>0</v>
      </c>
      <c r="M43" s="195">
        <v>7</v>
      </c>
      <c r="N43" s="193">
        <v>7</v>
      </c>
      <c r="O43" s="193">
        <v>7</v>
      </c>
      <c r="P43" s="194">
        <v>7</v>
      </c>
      <c r="Q43" s="195">
        <v>0</v>
      </c>
      <c r="R43" s="193">
        <v>0</v>
      </c>
      <c r="S43" s="193">
        <v>0</v>
      </c>
      <c r="T43" s="194">
        <v>0</v>
      </c>
      <c r="U43" s="195">
        <v>0</v>
      </c>
      <c r="V43" s="193">
        <v>0</v>
      </c>
      <c r="W43" s="193">
        <v>0</v>
      </c>
      <c r="X43" s="194">
        <v>0</v>
      </c>
      <c r="Y43" s="195">
        <v>0</v>
      </c>
      <c r="Z43" s="193">
        <v>0</v>
      </c>
      <c r="AA43" s="193">
        <v>0</v>
      </c>
      <c r="AB43" s="193">
        <v>0</v>
      </c>
      <c r="AC43" s="195">
        <v>0</v>
      </c>
      <c r="AD43" s="193">
        <v>0</v>
      </c>
      <c r="AE43" s="193">
        <v>0</v>
      </c>
      <c r="AF43" s="193">
        <v>0</v>
      </c>
      <c r="AG43" s="195">
        <v>0</v>
      </c>
      <c r="AH43" s="193">
        <v>0</v>
      </c>
      <c r="AI43" s="193">
        <v>0</v>
      </c>
      <c r="AJ43" s="193">
        <v>0</v>
      </c>
      <c r="AK43" s="195">
        <v>0</v>
      </c>
      <c r="AL43" s="193">
        <v>0</v>
      </c>
      <c r="AM43" s="193">
        <v>0</v>
      </c>
      <c r="AN43" s="193">
        <v>0</v>
      </c>
      <c r="AO43" s="195">
        <v>0</v>
      </c>
    </row>
    <row r="44" spans="2:41">
      <c r="B44" s="201" t="s">
        <v>418</v>
      </c>
      <c r="C44" s="193">
        <v>0</v>
      </c>
      <c r="D44" s="194"/>
      <c r="E44" s="195">
        <v>0</v>
      </c>
      <c r="F44" s="193">
        <v>0</v>
      </c>
      <c r="G44" s="193">
        <v>0</v>
      </c>
      <c r="H44" s="194">
        <v>0</v>
      </c>
      <c r="I44" s="195">
        <v>0</v>
      </c>
      <c r="J44" s="193">
        <v>0</v>
      </c>
      <c r="K44" s="193">
        <v>828</v>
      </c>
      <c r="L44" s="194">
        <v>404</v>
      </c>
      <c r="M44" s="195">
        <v>0</v>
      </c>
      <c r="N44" s="193">
        <v>0</v>
      </c>
      <c r="O44" s="193">
        <v>0</v>
      </c>
      <c r="P44" s="194">
        <v>0</v>
      </c>
      <c r="Q44" s="195">
        <v>0</v>
      </c>
      <c r="R44" s="193">
        <v>0</v>
      </c>
      <c r="S44" s="193">
        <v>0</v>
      </c>
      <c r="T44" s="194">
        <v>0</v>
      </c>
      <c r="U44" s="195">
        <v>0</v>
      </c>
      <c r="V44" s="193">
        <v>0</v>
      </c>
      <c r="W44" s="193">
        <v>0</v>
      </c>
      <c r="X44" s="194">
        <v>0</v>
      </c>
      <c r="Y44" s="195">
        <v>0</v>
      </c>
      <c r="Z44" s="193">
        <v>0</v>
      </c>
      <c r="AA44" s="193">
        <v>0</v>
      </c>
      <c r="AB44" s="193">
        <v>0</v>
      </c>
      <c r="AC44" s="195">
        <v>0</v>
      </c>
      <c r="AD44" s="193">
        <v>0</v>
      </c>
      <c r="AE44" s="193">
        <v>0</v>
      </c>
      <c r="AF44" s="193">
        <v>0</v>
      </c>
      <c r="AG44" s="195">
        <v>0</v>
      </c>
      <c r="AH44" s="193">
        <v>0</v>
      </c>
      <c r="AI44" s="193">
        <v>0</v>
      </c>
      <c r="AJ44" s="193">
        <v>0</v>
      </c>
      <c r="AK44" s="195">
        <v>0</v>
      </c>
      <c r="AL44" s="193">
        <v>0</v>
      </c>
      <c r="AM44" s="193">
        <v>0</v>
      </c>
      <c r="AN44" s="193">
        <v>0</v>
      </c>
      <c r="AO44" s="195">
        <v>0</v>
      </c>
    </row>
    <row r="45" spans="2:41">
      <c r="B45" s="201" t="s">
        <v>438</v>
      </c>
      <c r="C45" s="193">
        <v>-14088</v>
      </c>
      <c r="D45" s="194">
        <v>-7220</v>
      </c>
      <c r="E45" s="195">
        <v>-44655</v>
      </c>
      <c r="F45" s="193">
        <v>-36777</v>
      </c>
      <c r="G45" s="193">
        <v>-27186</v>
      </c>
      <c r="H45" s="194">
        <v>-9982</v>
      </c>
      <c r="I45" s="195">
        <v>-27786</v>
      </c>
      <c r="J45" s="193">
        <v>0</v>
      </c>
      <c r="K45" s="193">
        <v>0</v>
      </c>
      <c r="L45" s="194">
        <v>0</v>
      </c>
      <c r="M45" s="195">
        <v>0</v>
      </c>
      <c r="N45" s="193">
        <v>0</v>
      </c>
      <c r="O45" s="193">
        <v>0</v>
      </c>
      <c r="P45" s="194">
        <v>0</v>
      </c>
      <c r="Q45" s="195">
        <v>0</v>
      </c>
      <c r="R45" s="193">
        <v>0</v>
      </c>
      <c r="S45" s="193">
        <v>0</v>
      </c>
      <c r="T45" s="194">
        <v>0</v>
      </c>
      <c r="U45" s="195">
        <v>0</v>
      </c>
      <c r="V45" s="193">
        <v>0</v>
      </c>
      <c r="W45" s="193">
        <v>0</v>
      </c>
      <c r="X45" s="194">
        <v>0</v>
      </c>
      <c r="Y45" s="195">
        <v>0</v>
      </c>
      <c r="Z45" s="193">
        <v>0</v>
      </c>
      <c r="AA45" s="193"/>
      <c r="AB45" s="193"/>
      <c r="AC45" s="195"/>
      <c r="AD45" s="193"/>
      <c r="AE45" s="193"/>
      <c r="AF45" s="193"/>
      <c r="AG45" s="195"/>
      <c r="AH45" s="193"/>
      <c r="AI45" s="193"/>
      <c r="AJ45" s="193"/>
      <c r="AK45" s="195"/>
      <c r="AL45" s="193"/>
      <c r="AM45" s="193"/>
      <c r="AN45" s="193"/>
      <c r="AO45" s="195"/>
    </row>
    <row r="46" spans="2:41">
      <c r="B46" s="201" t="s">
        <v>437</v>
      </c>
      <c r="C46" s="193">
        <v>3245</v>
      </c>
      <c r="D46" s="194">
        <v>1728</v>
      </c>
      <c r="E46" s="195">
        <v>5337</v>
      </c>
      <c r="F46" s="193">
        <v>-1220</v>
      </c>
      <c r="G46" s="193">
        <v>2321</v>
      </c>
      <c r="H46" s="194">
        <v>1519</v>
      </c>
      <c r="I46" s="195">
        <v>3986</v>
      </c>
      <c r="J46" s="193">
        <v>0</v>
      </c>
      <c r="K46" s="193">
        <v>0</v>
      </c>
      <c r="L46" s="194">
        <v>0</v>
      </c>
      <c r="M46" s="195">
        <v>0</v>
      </c>
      <c r="N46" s="193">
        <v>0</v>
      </c>
      <c r="O46" s="193">
        <v>0</v>
      </c>
      <c r="P46" s="194">
        <v>0</v>
      </c>
      <c r="Q46" s="195">
        <v>0</v>
      </c>
      <c r="R46" s="193">
        <v>0</v>
      </c>
      <c r="S46" s="193">
        <v>0</v>
      </c>
      <c r="T46" s="194">
        <v>0</v>
      </c>
      <c r="U46" s="195">
        <v>0</v>
      </c>
      <c r="V46" s="193">
        <v>0</v>
      </c>
      <c r="W46" s="193">
        <v>0</v>
      </c>
      <c r="X46" s="194">
        <v>0</v>
      </c>
      <c r="Y46" s="195">
        <v>0</v>
      </c>
      <c r="Z46" s="193">
        <v>0</v>
      </c>
      <c r="AA46" s="193"/>
      <c r="AB46" s="193"/>
      <c r="AC46" s="195"/>
      <c r="AD46" s="193"/>
      <c r="AE46" s="193"/>
      <c r="AF46" s="193"/>
      <c r="AG46" s="195"/>
      <c r="AH46" s="193"/>
      <c r="AI46" s="193"/>
      <c r="AJ46" s="193"/>
      <c r="AK46" s="195"/>
      <c r="AL46" s="193"/>
      <c r="AM46" s="193"/>
      <c r="AN46" s="193"/>
      <c r="AO46" s="195"/>
    </row>
    <row r="47" spans="2:41">
      <c r="B47" s="201" t="s">
        <v>458</v>
      </c>
      <c r="C47" s="193">
        <v>-30723</v>
      </c>
      <c r="D47" s="194">
        <v>-15795</v>
      </c>
      <c r="E47" s="195"/>
      <c r="F47" s="193"/>
      <c r="G47" s="193">
        <v>-41360.451529999998</v>
      </c>
      <c r="H47" s="194">
        <v>-20048.188859999998</v>
      </c>
      <c r="I47" s="195"/>
      <c r="J47" s="193"/>
      <c r="K47" s="193"/>
      <c r="L47" s="194"/>
      <c r="M47" s="195"/>
      <c r="N47" s="193"/>
      <c r="O47" s="193"/>
      <c r="P47" s="194"/>
      <c r="Q47" s="195"/>
      <c r="R47" s="193"/>
      <c r="S47" s="193"/>
      <c r="T47" s="194"/>
      <c r="U47" s="195"/>
      <c r="V47" s="193"/>
      <c r="W47" s="193"/>
      <c r="X47" s="194"/>
      <c r="Y47" s="195"/>
      <c r="Z47" s="193"/>
      <c r="AA47" s="193"/>
      <c r="AB47" s="193"/>
      <c r="AC47" s="195"/>
      <c r="AD47" s="193"/>
      <c r="AE47" s="193"/>
      <c r="AF47" s="193"/>
      <c r="AG47" s="195"/>
      <c r="AH47" s="193"/>
      <c r="AI47" s="193"/>
      <c r="AJ47" s="193"/>
      <c r="AK47" s="195"/>
      <c r="AL47" s="193"/>
      <c r="AM47" s="193"/>
      <c r="AN47" s="193"/>
      <c r="AO47" s="195"/>
    </row>
    <row r="48" spans="2:41">
      <c r="B48" s="201" t="s">
        <v>305</v>
      </c>
      <c r="C48" s="193">
        <v>-420</v>
      </c>
      <c r="D48" s="194">
        <v>-210</v>
      </c>
      <c r="E48" s="195">
        <v>0</v>
      </c>
      <c r="F48" s="193">
        <v>-14026</v>
      </c>
      <c r="G48" s="193">
        <v>0</v>
      </c>
      <c r="H48" s="194">
        <v>0</v>
      </c>
      <c r="I48" s="195">
        <v>12786</v>
      </c>
      <c r="J48" s="193">
        <v>0</v>
      </c>
      <c r="K48" s="193">
        <v>0</v>
      </c>
      <c r="L48" s="194">
        <v>0</v>
      </c>
      <c r="M48" s="195">
        <v>0</v>
      </c>
      <c r="N48" s="193">
        <v>0</v>
      </c>
      <c r="O48" s="193">
        <v>0</v>
      </c>
      <c r="P48" s="194">
        <v>0</v>
      </c>
      <c r="Q48" s="195">
        <v>0</v>
      </c>
      <c r="R48" s="193">
        <v>0</v>
      </c>
      <c r="S48" s="193">
        <v>0</v>
      </c>
      <c r="T48" s="194">
        <v>0</v>
      </c>
      <c r="U48" s="195">
        <v>0</v>
      </c>
      <c r="V48" s="193">
        <v>0</v>
      </c>
      <c r="W48" s="193">
        <v>0</v>
      </c>
      <c r="X48" s="194">
        <v>0</v>
      </c>
      <c r="Y48" s="195">
        <v>0</v>
      </c>
      <c r="Z48" s="193">
        <v>0</v>
      </c>
      <c r="AA48" s="193"/>
      <c r="AB48" s="193"/>
      <c r="AC48" s="195"/>
      <c r="AD48" s="193"/>
      <c r="AE48" s="193"/>
      <c r="AF48" s="193"/>
      <c r="AG48" s="195"/>
      <c r="AH48" s="193"/>
      <c r="AI48" s="193"/>
      <c r="AJ48" s="193"/>
      <c r="AK48" s="195"/>
      <c r="AL48" s="193"/>
      <c r="AM48" s="193"/>
      <c r="AN48" s="193"/>
      <c r="AO48" s="195"/>
    </row>
    <row r="49" spans="1:42">
      <c r="B49" s="201"/>
      <c r="C49" s="240">
        <f t="shared" ref="C49" si="0">SUM(C13:C48)</f>
        <v>555208</v>
      </c>
      <c r="D49" s="241">
        <f t="shared" ref="D49" si="1">SUM(D13:D48)</f>
        <v>159915</v>
      </c>
      <c r="E49" s="242">
        <f t="shared" ref="E49:I49" si="2">SUM(E13:E48)</f>
        <v>1343454</v>
      </c>
      <c r="F49" s="240">
        <f t="shared" si="2"/>
        <v>1204105</v>
      </c>
      <c r="G49" s="240">
        <f>SUM(G13:G48)</f>
        <v>847902.74100269168</v>
      </c>
      <c r="H49" s="241">
        <f t="shared" si="2"/>
        <v>377661.81114000001</v>
      </c>
      <c r="I49" s="242">
        <f t="shared" si="2"/>
        <v>1218172</v>
      </c>
      <c r="J49" s="240">
        <f t="shared" ref="J49" si="3">SUM(J13:J44)</f>
        <v>784113.99837811291</v>
      </c>
      <c r="K49" s="240">
        <f t="shared" ref="K49" si="4">SUM(K13:K44)</f>
        <v>520405.56696317974</v>
      </c>
      <c r="L49" s="241">
        <f t="shared" ref="L49:Q49" si="5">SUM(L13:L44)</f>
        <v>298708</v>
      </c>
      <c r="M49" s="242">
        <f t="shared" si="5"/>
        <v>1473919</v>
      </c>
      <c r="N49" s="240">
        <f t="shared" si="5"/>
        <v>1363751</v>
      </c>
      <c r="O49" s="240">
        <f t="shared" si="5"/>
        <v>990628.00000000023</v>
      </c>
      <c r="P49" s="241">
        <f t="shared" si="5"/>
        <v>540815</v>
      </c>
      <c r="Q49" s="242">
        <f t="shared" si="5"/>
        <v>2666546</v>
      </c>
      <c r="R49" s="240">
        <f>SUM(R13:R40)</f>
        <v>2237092</v>
      </c>
      <c r="S49" s="240">
        <f>SUM(S13:S40)</f>
        <v>1830655</v>
      </c>
      <c r="T49" s="241">
        <f t="shared" ref="T49" si="6">SUM(T13:T40)</f>
        <v>885718</v>
      </c>
      <c r="U49" s="242">
        <v>2849753</v>
      </c>
      <c r="V49" s="240">
        <f>SUM(V13:V40)</f>
        <v>1650892</v>
      </c>
      <c r="W49" s="240">
        <f>SUM(W13:W40)</f>
        <v>1086681</v>
      </c>
      <c r="X49" s="241">
        <f t="shared" ref="X49" si="7">SUM(X13:X40)</f>
        <v>599205</v>
      </c>
      <c r="Y49" s="242">
        <v>1079099</v>
      </c>
      <c r="Z49" s="240">
        <f t="shared" ref="Z49:AA49" si="8">SUM(Z13:Z39)</f>
        <v>546893</v>
      </c>
      <c r="AA49" s="240">
        <f t="shared" si="8"/>
        <v>206607</v>
      </c>
      <c r="AB49" s="240">
        <f t="shared" ref="AB49" si="9">SUM(AB13:AB39)</f>
        <v>117558</v>
      </c>
      <c r="AC49" s="243">
        <f t="shared" ref="AC49" si="10">SUM(AC13:AC39)</f>
        <v>452160</v>
      </c>
      <c r="AD49" s="240">
        <f t="shared" ref="AD49" si="11">SUM(AD13:AD39)</f>
        <v>334236</v>
      </c>
      <c r="AE49" s="240">
        <f t="shared" ref="AE49:AI49" si="12">SUM(AE13:AE39)</f>
        <v>239121</v>
      </c>
      <c r="AF49" s="240">
        <f t="shared" si="12"/>
        <v>144405</v>
      </c>
      <c r="AG49" s="243">
        <f t="shared" si="12"/>
        <v>960672</v>
      </c>
      <c r="AH49" s="244">
        <f t="shared" si="12"/>
        <v>811377</v>
      </c>
      <c r="AI49" s="244">
        <f t="shared" si="12"/>
        <v>519291</v>
      </c>
      <c r="AJ49" s="244">
        <v>273184</v>
      </c>
      <c r="AK49" s="243">
        <v>612207</v>
      </c>
      <c r="AL49" s="244">
        <v>475395</v>
      </c>
      <c r="AM49" s="244">
        <v>305744</v>
      </c>
      <c r="AN49" s="244">
        <v>138216</v>
      </c>
      <c r="AO49" s="243">
        <v>309344</v>
      </c>
    </row>
    <row r="50" spans="1:42" ht="15.75" thickBot="1">
      <c r="A50" s="196"/>
      <c r="B50" s="245"/>
      <c r="C50" s="198"/>
      <c r="D50" s="199"/>
      <c r="E50" s="200"/>
      <c r="F50" s="198"/>
      <c r="G50" s="198"/>
      <c r="H50" s="199"/>
      <c r="I50" s="200"/>
      <c r="J50" s="198"/>
      <c r="K50" s="198"/>
      <c r="L50" s="199"/>
      <c r="M50" s="200"/>
      <c r="N50" s="198"/>
      <c r="O50" s="198"/>
      <c r="P50" s="199"/>
      <c r="Q50" s="200"/>
      <c r="R50" s="198"/>
      <c r="S50" s="198"/>
      <c r="T50" s="199"/>
      <c r="U50" s="200"/>
      <c r="V50" s="198"/>
      <c r="W50" s="198"/>
      <c r="X50" s="199"/>
      <c r="Y50" s="200"/>
      <c r="Z50" s="198"/>
      <c r="AA50" s="198"/>
      <c r="AB50" s="198"/>
      <c r="AC50" s="200"/>
      <c r="AD50" s="198"/>
      <c r="AE50" s="198"/>
      <c r="AF50" s="198"/>
      <c r="AG50" s="200"/>
      <c r="AH50" s="198"/>
      <c r="AI50" s="198"/>
      <c r="AJ50" s="198"/>
      <c r="AK50" s="200"/>
      <c r="AL50" s="198"/>
      <c r="AM50" s="198"/>
      <c r="AN50" s="198"/>
      <c r="AO50" s="200"/>
    </row>
    <row r="51" spans="1:42" ht="15" thickTop="1">
      <c r="B51" s="202" t="s">
        <v>200</v>
      </c>
      <c r="C51" s="193">
        <v>-139163</v>
      </c>
      <c r="D51" s="194">
        <v>-30101</v>
      </c>
      <c r="E51" s="195">
        <v>81239</v>
      </c>
      <c r="F51" s="193">
        <v>22502</v>
      </c>
      <c r="G51" s="193">
        <v>29130</v>
      </c>
      <c r="H51" s="194">
        <v>7468</v>
      </c>
      <c r="I51" s="195">
        <v>-247948</v>
      </c>
      <c r="J51" s="193">
        <v>-230253</v>
      </c>
      <c r="K51" s="193">
        <v>-177152</v>
      </c>
      <c r="L51" s="194">
        <v>-172374</v>
      </c>
      <c r="M51" s="195">
        <v>202044</v>
      </c>
      <c r="N51" s="193">
        <v>67782</v>
      </c>
      <c r="O51" s="193">
        <v>64390</v>
      </c>
      <c r="P51" s="194">
        <v>-42726</v>
      </c>
      <c r="Q51" s="195">
        <v>130454</v>
      </c>
      <c r="R51" s="193">
        <v>16131</v>
      </c>
      <c r="S51" s="193">
        <v>-124518</v>
      </c>
      <c r="T51" s="194">
        <v>-76843</v>
      </c>
      <c r="U51" s="195">
        <v>-143423</v>
      </c>
      <c r="V51" s="193">
        <v>-254953</v>
      </c>
      <c r="W51" s="193">
        <v>-49645.083569999995</v>
      </c>
      <c r="X51" s="194">
        <v>-109108</v>
      </c>
      <c r="Y51" s="195">
        <v>-150716</v>
      </c>
      <c r="Z51" s="193">
        <v>-132478</v>
      </c>
      <c r="AA51" s="193">
        <v>22414</v>
      </c>
      <c r="AB51" s="193">
        <v>-56042</v>
      </c>
      <c r="AC51" s="195">
        <v>81544</v>
      </c>
      <c r="AD51" s="193">
        <v>32353</v>
      </c>
      <c r="AE51" s="193">
        <v>32473</v>
      </c>
      <c r="AF51" s="193">
        <v>73216</v>
      </c>
      <c r="AG51" s="195">
        <v>-2103</v>
      </c>
      <c r="AH51" s="193">
        <v>-97987</v>
      </c>
      <c r="AI51" s="193">
        <v>-152446</v>
      </c>
      <c r="AJ51" s="193">
        <v>-123637</v>
      </c>
      <c r="AK51" s="195">
        <v>-104707</v>
      </c>
      <c r="AL51" s="193">
        <v>-160401</v>
      </c>
      <c r="AM51" s="193">
        <v>-69601</v>
      </c>
      <c r="AN51" s="193">
        <v>-100113</v>
      </c>
      <c r="AO51" s="195">
        <v>3466</v>
      </c>
    </row>
    <row r="52" spans="1:42">
      <c r="B52" s="202" t="s">
        <v>253</v>
      </c>
      <c r="C52" s="193">
        <v>74950</v>
      </c>
      <c r="D52" s="194">
        <v>17775</v>
      </c>
      <c r="E52" s="195">
        <v>100834</v>
      </c>
      <c r="F52" s="193">
        <v>55255</v>
      </c>
      <c r="G52" s="193">
        <v>34673</v>
      </c>
      <c r="H52" s="194">
        <v>-2503</v>
      </c>
      <c r="I52" s="195">
        <v>14198</v>
      </c>
      <c r="J52" s="193">
        <v>-5302</v>
      </c>
      <c r="K52" s="193">
        <v>-42865</v>
      </c>
      <c r="L52" s="194">
        <v>-52913</v>
      </c>
      <c r="M52" s="195">
        <v>83114</v>
      </c>
      <c r="N52" s="193">
        <v>67266</v>
      </c>
      <c r="O52" s="193">
        <v>54789</v>
      </c>
      <c r="P52" s="194">
        <v>18872</v>
      </c>
      <c r="Q52" s="195">
        <v>116726</v>
      </c>
      <c r="R52" s="193">
        <v>75556</v>
      </c>
      <c r="S52" s="193">
        <v>43102</v>
      </c>
      <c r="T52" s="194">
        <v>46185</v>
      </c>
      <c r="U52" s="195">
        <v>80688</v>
      </c>
      <c r="V52" s="193">
        <v>-24911</v>
      </c>
      <c r="W52" s="193">
        <v>-77095</v>
      </c>
      <c r="X52" s="194">
        <v>17110</v>
      </c>
      <c r="Y52" s="195">
        <v>24727</v>
      </c>
      <c r="Z52" s="193">
        <v>24524</v>
      </c>
      <c r="AA52" s="193">
        <v>14801</v>
      </c>
      <c r="AB52" s="193">
        <v>12849</v>
      </c>
      <c r="AC52" s="195">
        <v>25410</v>
      </c>
      <c r="AD52" s="193">
        <v>18482</v>
      </c>
      <c r="AE52" s="193">
        <v>10631</v>
      </c>
      <c r="AF52" s="193">
        <v>8034</v>
      </c>
      <c r="AG52" s="195">
        <v>32363</v>
      </c>
      <c r="AH52" s="193">
        <v>-5688</v>
      </c>
      <c r="AI52" s="193">
        <v>5011</v>
      </c>
      <c r="AJ52" s="193">
        <v>586</v>
      </c>
      <c r="AK52" s="195">
        <v>-4700</v>
      </c>
      <c r="AL52" s="193">
        <v>10680</v>
      </c>
      <c r="AM52" s="193">
        <v>10629</v>
      </c>
      <c r="AN52" s="193">
        <v>14590</v>
      </c>
      <c r="AO52" s="195">
        <v>2474</v>
      </c>
    </row>
    <row r="53" spans="1:42">
      <c r="B53" s="202" t="s">
        <v>202</v>
      </c>
      <c r="C53" s="193">
        <v>62239</v>
      </c>
      <c r="D53" s="194">
        <v>101113</v>
      </c>
      <c r="E53" s="195">
        <v>-167440</v>
      </c>
      <c r="F53" s="193">
        <v>-81940</v>
      </c>
      <c r="G53" s="193">
        <v>-43828</v>
      </c>
      <c r="H53" s="194">
        <v>-32869</v>
      </c>
      <c r="I53" s="195">
        <v>-172509</v>
      </c>
      <c r="J53" s="193">
        <v>-135839</v>
      </c>
      <c r="K53" s="193">
        <v>-179272</v>
      </c>
      <c r="L53" s="194">
        <v>-91621</v>
      </c>
      <c r="M53" s="195">
        <v>161934</v>
      </c>
      <c r="N53" s="193">
        <v>110021</v>
      </c>
      <c r="O53" s="193">
        <v>72103</v>
      </c>
      <c r="P53" s="194">
        <v>64547</v>
      </c>
      <c r="Q53" s="195">
        <v>-4993</v>
      </c>
      <c r="R53" s="193">
        <v>-60756</v>
      </c>
      <c r="S53" s="193">
        <v>-60701</v>
      </c>
      <c r="T53" s="194">
        <v>11172</v>
      </c>
      <c r="U53" s="195">
        <v>-241183</v>
      </c>
      <c r="V53" s="193">
        <v>-195000</v>
      </c>
      <c r="W53" s="193">
        <v>-207435</v>
      </c>
      <c r="X53" s="194">
        <v>-227481</v>
      </c>
      <c r="Y53" s="195">
        <v>2843</v>
      </c>
      <c r="Z53" s="193">
        <v>-23288</v>
      </c>
      <c r="AA53" s="193">
        <v>-87762</v>
      </c>
      <c r="AB53" s="193">
        <v>-49830</v>
      </c>
      <c r="AC53" s="195">
        <v>-18122</v>
      </c>
      <c r="AD53" s="193">
        <v>-12521</v>
      </c>
      <c r="AE53" s="193">
        <v>4658</v>
      </c>
      <c r="AF53" s="193">
        <v>16651</v>
      </c>
      <c r="AG53" s="195">
        <v>-13986</v>
      </c>
      <c r="AH53" s="193">
        <v>-12405</v>
      </c>
      <c r="AI53" s="193">
        <v>-31639</v>
      </c>
      <c r="AJ53" s="193">
        <v>752</v>
      </c>
      <c r="AK53" s="195">
        <v>17220</v>
      </c>
      <c r="AL53" s="193">
        <v>7012</v>
      </c>
      <c r="AM53" s="193">
        <v>-49209</v>
      </c>
      <c r="AN53" s="193">
        <v>9157</v>
      </c>
      <c r="AO53" s="195">
        <v>-6508</v>
      </c>
    </row>
    <row r="54" spans="1:42">
      <c r="B54" s="201" t="s">
        <v>254</v>
      </c>
      <c r="C54" s="193">
        <v>25913</v>
      </c>
      <c r="D54" s="194">
        <v>5735</v>
      </c>
      <c r="E54" s="195">
        <v>34380</v>
      </c>
      <c r="F54" s="193">
        <v>-24240</v>
      </c>
      <c r="G54" s="193">
        <v>-36603</v>
      </c>
      <c r="H54" s="194">
        <v>-63153</v>
      </c>
      <c r="I54" s="195">
        <v>-20530</v>
      </c>
      <c r="J54" s="193">
        <v>-64741</v>
      </c>
      <c r="K54" s="193">
        <v>-77568</v>
      </c>
      <c r="L54" s="194">
        <v>-55843</v>
      </c>
      <c r="M54" s="195">
        <v>2437</v>
      </c>
      <c r="N54" s="193">
        <v>-15816</v>
      </c>
      <c r="O54" s="193">
        <v>-29376</v>
      </c>
      <c r="P54" s="194">
        <v>-28477</v>
      </c>
      <c r="Q54" s="195">
        <v>19758</v>
      </c>
      <c r="R54" s="193">
        <v>16001</v>
      </c>
      <c r="S54" s="193">
        <v>-14654</v>
      </c>
      <c r="T54" s="194">
        <v>-18455</v>
      </c>
      <c r="U54" s="195">
        <v>-52469</v>
      </c>
      <c r="V54" s="193">
        <v>-4918.5211199999994</v>
      </c>
      <c r="W54" s="193">
        <v>-36824.947809999998</v>
      </c>
      <c r="X54" s="194">
        <v>-40593.706189999997</v>
      </c>
      <c r="Y54" s="195">
        <v>34414</v>
      </c>
      <c r="Z54" s="193">
        <v>27018</v>
      </c>
      <c r="AA54" s="193">
        <v>42245</v>
      </c>
      <c r="AB54" s="193">
        <v>-20803</v>
      </c>
      <c r="AC54" s="195">
        <v>-30154</v>
      </c>
      <c r="AD54" s="193">
        <v>-23907</v>
      </c>
      <c r="AE54" s="193">
        <v>24780</v>
      </c>
      <c r="AF54" s="193">
        <v>26007</v>
      </c>
      <c r="AG54" s="195">
        <v>55552</v>
      </c>
      <c r="AH54" s="193">
        <v>66818</v>
      </c>
      <c r="AI54" s="193">
        <v>45072</v>
      </c>
      <c r="AJ54" s="193">
        <v>40039</v>
      </c>
      <c r="AK54" s="195">
        <v>7832</v>
      </c>
      <c r="AL54" s="193">
        <v>4357</v>
      </c>
      <c r="AM54" s="193">
        <v>-29183</v>
      </c>
      <c r="AN54" s="193">
        <v>66375</v>
      </c>
      <c r="AO54" s="195">
        <v>-8626</v>
      </c>
    </row>
    <row r="55" spans="1:42">
      <c r="B55" s="201" t="s">
        <v>213</v>
      </c>
      <c r="C55" s="193">
        <v>98009</v>
      </c>
      <c r="D55" s="194">
        <v>41638</v>
      </c>
      <c r="E55" s="195">
        <v>-73505</v>
      </c>
      <c r="F55" s="193">
        <v>-102279</v>
      </c>
      <c r="G55" s="193">
        <v>-80689</v>
      </c>
      <c r="H55" s="194">
        <v>-44492</v>
      </c>
      <c r="I55" s="195">
        <v>98065</v>
      </c>
      <c r="J55" s="193">
        <v>33460</v>
      </c>
      <c r="K55" s="193">
        <v>23622</v>
      </c>
      <c r="L55" s="194">
        <v>24610</v>
      </c>
      <c r="M55" s="195">
        <v>-41979</v>
      </c>
      <c r="N55" s="193">
        <v>-28892</v>
      </c>
      <c r="O55" s="193">
        <v>-52511</v>
      </c>
      <c r="P55" s="194">
        <v>-9063</v>
      </c>
      <c r="Q55" s="195">
        <v>-63467</v>
      </c>
      <c r="R55" s="193">
        <v>-67393</v>
      </c>
      <c r="S55" s="193">
        <v>-79501</v>
      </c>
      <c r="T55" s="194">
        <v>-93444</v>
      </c>
      <c r="U55" s="195">
        <v>137197</v>
      </c>
      <c r="V55" s="193">
        <v>55990</v>
      </c>
      <c r="W55" s="193">
        <v>34664.083569999995</v>
      </c>
      <c r="X55" s="194">
        <v>73355.299530000004</v>
      </c>
      <c r="Y55" s="195">
        <v>30760</v>
      </c>
      <c r="Z55" s="193">
        <v>41620</v>
      </c>
      <c r="AA55" s="193">
        <v>29128</v>
      </c>
      <c r="AB55" s="193">
        <v>-38928</v>
      </c>
      <c r="AC55" s="195">
        <v>-37827</v>
      </c>
      <c r="AD55" s="193">
        <v>-90456</v>
      </c>
      <c r="AE55" s="193">
        <v>-95820</v>
      </c>
      <c r="AF55" s="193">
        <v>-81551</v>
      </c>
      <c r="AG55" s="195">
        <v>-41158</v>
      </c>
      <c r="AH55" s="193">
        <v>-119177</v>
      </c>
      <c r="AI55" s="193">
        <v>-67492</v>
      </c>
      <c r="AJ55" s="193">
        <v>-46613</v>
      </c>
      <c r="AK55" s="195">
        <v>-62716</v>
      </c>
      <c r="AL55" s="193">
        <v>-86718</v>
      </c>
      <c r="AM55" s="193">
        <v>-24399</v>
      </c>
      <c r="AN55" s="193">
        <v>-66177</v>
      </c>
      <c r="AO55" s="195">
        <v>11753</v>
      </c>
    </row>
    <row r="56" spans="1:42">
      <c r="B56" s="201" t="s">
        <v>215</v>
      </c>
      <c r="C56" s="193">
        <v>-44840</v>
      </c>
      <c r="D56" s="194">
        <v>1828</v>
      </c>
      <c r="E56" s="195">
        <v>-10347</v>
      </c>
      <c r="F56" s="193">
        <v>-25260</v>
      </c>
      <c r="G56" s="193">
        <v>-46337</v>
      </c>
      <c r="H56" s="194">
        <v>-61074</v>
      </c>
      <c r="I56" s="195">
        <v>38974</v>
      </c>
      <c r="J56" s="193">
        <v>10626</v>
      </c>
      <c r="K56" s="193">
        <v>-1699</v>
      </c>
      <c r="L56" s="194">
        <v>-26035</v>
      </c>
      <c r="M56" s="195">
        <v>-62530</v>
      </c>
      <c r="N56" s="193">
        <v>-48753</v>
      </c>
      <c r="O56" s="193">
        <v>-62791</v>
      </c>
      <c r="P56" s="194">
        <v>-80435</v>
      </c>
      <c r="Q56" s="195">
        <v>28344</v>
      </c>
      <c r="R56" s="193">
        <v>-1375</v>
      </c>
      <c r="S56" s="193">
        <v>-30096</v>
      </c>
      <c r="T56" s="194">
        <v>-62859</v>
      </c>
      <c r="U56" s="195">
        <v>43438</v>
      </c>
      <c r="V56" s="193">
        <v>5399</v>
      </c>
      <c r="W56" s="193">
        <v>-18057</v>
      </c>
      <c r="X56" s="194">
        <v>-47339</v>
      </c>
      <c r="Y56" s="195">
        <v>57095</v>
      </c>
      <c r="Z56" s="193">
        <v>42429</v>
      </c>
      <c r="AA56" s="193">
        <v>28524</v>
      </c>
      <c r="AB56" s="193">
        <v>13469</v>
      </c>
      <c r="AC56" s="195">
        <v>-24963</v>
      </c>
      <c r="AD56" s="193">
        <v>-25814</v>
      </c>
      <c r="AE56" s="193">
        <v>-29181</v>
      </c>
      <c r="AF56" s="193">
        <v>-3474</v>
      </c>
      <c r="AG56" s="195">
        <v>-4571</v>
      </c>
      <c r="AH56" s="193">
        <v>-20739</v>
      </c>
      <c r="AI56" s="193">
        <v>-22397</v>
      </c>
      <c r="AJ56" s="193">
        <v>1951</v>
      </c>
      <c r="AK56" s="195">
        <v>4263</v>
      </c>
      <c r="AL56" s="193">
        <v>-6418</v>
      </c>
      <c r="AM56" s="193">
        <v>-18338</v>
      </c>
      <c r="AN56" s="193">
        <v>-7691</v>
      </c>
      <c r="AO56" s="195">
        <v>1996</v>
      </c>
    </row>
    <row r="57" spans="1:42">
      <c r="B57" s="201" t="s">
        <v>255</v>
      </c>
      <c r="C57" s="193">
        <v>-6906</v>
      </c>
      <c r="D57" s="194">
        <v>8289</v>
      </c>
      <c r="E57" s="195">
        <v>-5313</v>
      </c>
      <c r="F57" s="193">
        <v>-16882</v>
      </c>
      <c r="G57" s="193">
        <v>-15725</v>
      </c>
      <c r="H57" s="194">
        <v>4096</v>
      </c>
      <c r="I57" s="195">
        <v>-17464</v>
      </c>
      <c r="J57" s="193">
        <v>-9583</v>
      </c>
      <c r="K57" s="193">
        <v>-12850</v>
      </c>
      <c r="L57" s="194">
        <v>10726</v>
      </c>
      <c r="M57" s="195">
        <v>-39474</v>
      </c>
      <c r="N57" s="193">
        <v>-29875</v>
      </c>
      <c r="O57" s="193">
        <v>-31172</v>
      </c>
      <c r="P57" s="194">
        <v>6937</v>
      </c>
      <c r="Q57" s="195">
        <v>-19328</v>
      </c>
      <c r="R57" s="193">
        <v>-22147</v>
      </c>
      <c r="S57" s="193">
        <v>-13596</v>
      </c>
      <c r="T57" s="194">
        <v>36855</v>
      </c>
      <c r="U57" s="195">
        <v>-16637</v>
      </c>
      <c r="V57" s="193">
        <v>23522</v>
      </c>
      <c r="W57" s="193">
        <v>-37086</v>
      </c>
      <c r="X57" s="194">
        <v>-8461</v>
      </c>
      <c r="Y57" s="195">
        <v>111501</v>
      </c>
      <c r="Z57" s="193">
        <v>114304</v>
      </c>
      <c r="AA57" s="193">
        <v>63064</v>
      </c>
      <c r="AB57" s="193">
        <v>4234</v>
      </c>
      <c r="AC57" s="195">
        <v>-20585</v>
      </c>
      <c r="AD57" s="193">
        <v>-24702</v>
      </c>
      <c r="AE57" s="193">
        <v>-10220</v>
      </c>
      <c r="AF57" s="193">
        <v>3015</v>
      </c>
      <c r="AG57" s="195">
        <v>-1858</v>
      </c>
      <c r="AH57" s="193">
        <v>10760</v>
      </c>
      <c r="AI57" s="193">
        <v>30347</v>
      </c>
      <c r="AJ57" s="193">
        <v>23557</v>
      </c>
      <c r="AK57" s="195">
        <v>-1964</v>
      </c>
      <c r="AL57" s="193">
        <v>8751</v>
      </c>
      <c r="AM57" s="193">
        <v>-251</v>
      </c>
      <c r="AN57" s="193">
        <v>5645</v>
      </c>
      <c r="AO57" s="195">
        <v>-1888</v>
      </c>
    </row>
    <row r="58" spans="1:42">
      <c r="B58" s="201" t="s">
        <v>216</v>
      </c>
      <c r="C58" s="193">
        <v>-21049</v>
      </c>
      <c r="D58" s="194">
        <v>-8469</v>
      </c>
      <c r="E58" s="195">
        <v>-351</v>
      </c>
      <c r="F58" s="193">
        <v>-82611</v>
      </c>
      <c r="G58" s="193">
        <v>-44826</v>
      </c>
      <c r="H58" s="194">
        <v>-20688</v>
      </c>
      <c r="I58" s="195">
        <v>-36321</v>
      </c>
      <c r="J58" s="193">
        <v>-24016</v>
      </c>
      <c r="K58" s="193">
        <v>-10734</v>
      </c>
      <c r="L58" s="194">
        <v>-7207</v>
      </c>
      <c r="M58" s="195">
        <v>-196203</v>
      </c>
      <c r="N58" s="193">
        <v>-126562</v>
      </c>
      <c r="O58" s="193">
        <v>-79318</v>
      </c>
      <c r="P58" s="194">
        <v>-18510</v>
      </c>
      <c r="Q58" s="195">
        <v>-339394</v>
      </c>
      <c r="R58" s="193">
        <v>-237248</v>
      </c>
      <c r="S58" s="193">
        <v>-203567</v>
      </c>
      <c r="T58" s="194">
        <v>-109093</v>
      </c>
      <c r="U58" s="195">
        <v>-122871</v>
      </c>
      <c r="V58" s="193">
        <v>-44480</v>
      </c>
      <c r="W58" s="193">
        <v>-53618</v>
      </c>
      <c r="X58" s="194">
        <v>-12802</v>
      </c>
      <c r="Y58" s="195">
        <v>-50906</v>
      </c>
      <c r="Z58" s="193">
        <v>74475</v>
      </c>
      <c r="AA58" s="193">
        <v>41458</v>
      </c>
      <c r="AB58" s="193">
        <v>28340</v>
      </c>
      <c r="AC58" s="195">
        <v>123699</v>
      </c>
      <c r="AD58" s="193">
        <v>107157</v>
      </c>
      <c r="AE58" s="193">
        <v>80224</v>
      </c>
      <c r="AF58" s="193">
        <v>32895</v>
      </c>
      <c r="AG58" s="195">
        <v>96048</v>
      </c>
      <c r="AH58" s="193">
        <v>108920</v>
      </c>
      <c r="AI58" s="193">
        <v>82879</v>
      </c>
      <c r="AJ58" s="193">
        <v>50286</v>
      </c>
      <c r="AK58" s="195">
        <v>60026</v>
      </c>
      <c r="AL58" s="193">
        <v>45231</v>
      </c>
      <c r="AM58" s="193">
        <v>36984</v>
      </c>
      <c r="AN58" s="193">
        <v>16049</v>
      </c>
      <c r="AO58" s="195">
        <v>37219</v>
      </c>
    </row>
    <row r="59" spans="1:42">
      <c r="B59" s="201" t="s">
        <v>256</v>
      </c>
      <c r="C59" s="193">
        <v>-1050</v>
      </c>
      <c r="D59" s="194">
        <v>-276</v>
      </c>
      <c r="E59" s="195">
        <v>-128296</v>
      </c>
      <c r="F59" s="193">
        <v>-555</v>
      </c>
      <c r="G59" s="193">
        <v>-1766</v>
      </c>
      <c r="H59" s="194">
        <v>-1758</v>
      </c>
      <c r="I59" s="195">
        <v>6586</v>
      </c>
      <c r="J59" s="193">
        <v>5844</v>
      </c>
      <c r="K59" s="193">
        <v>4494</v>
      </c>
      <c r="L59" s="194">
        <v>2150</v>
      </c>
      <c r="M59" s="195">
        <v>-8419</v>
      </c>
      <c r="N59" s="193">
        <v>3343</v>
      </c>
      <c r="O59" s="193">
        <v>3459</v>
      </c>
      <c r="P59" s="194">
        <v>9</v>
      </c>
      <c r="Q59" s="195">
        <v>18809</v>
      </c>
      <c r="R59" s="193">
        <v>218</v>
      </c>
      <c r="S59" s="193">
        <v>-170</v>
      </c>
      <c r="T59" s="194">
        <v>-468</v>
      </c>
      <c r="U59" s="195">
        <v>3853</v>
      </c>
      <c r="V59" s="193">
        <v>1879</v>
      </c>
      <c r="W59" s="193">
        <v>845</v>
      </c>
      <c r="X59" s="194">
        <v>956</v>
      </c>
      <c r="Y59" s="195">
        <v>-142</v>
      </c>
      <c r="Z59" s="193">
        <v>2554</v>
      </c>
      <c r="AA59" s="193">
        <v>1924</v>
      </c>
      <c r="AB59" s="193">
        <v>1209</v>
      </c>
      <c r="AC59" s="195">
        <v>-5386</v>
      </c>
      <c r="AD59" s="193">
        <v>-252</v>
      </c>
      <c r="AE59" s="193">
        <v>811</v>
      </c>
      <c r="AF59" s="193">
        <v>747</v>
      </c>
      <c r="AG59" s="195">
        <v>-6635</v>
      </c>
      <c r="AH59" s="193">
        <v>-4738</v>
      </c>
      <c r="AI59" s="193">
        <v>-3027</v>
      </c>
      <c r="AJ59" s="193">
        <v>-98</v>
      </c>
      <c r="AK59" s="195">
        <v>-478</v>
      </c>
      <c r="AL59" s="193">
        <v>-914</v>
      </c>
      <c r="AM59" s="193">
        <v>-311</v>
      </c>
      <c r="AN59" s="193">
        <v>-1181</v>
      </c>
      <c r="AO59" s="195">
        <v>1894</v>
      </c>
    </row>
    <row r="60" spans="1:42">
      <c r="B60" s="201" t="s">
        <v>257</v>
      </c>
      <c r="C60" s="193">
        <v>28864</v>
      </c>
      <c r="D60" s="179">
        <v>2423</v>
      </c>
      <c r="E60" s="195">
        <v>-9616</v>
      </c>
      <c r="F60" s="193">
        <v>3863</v>
      </c>
      <c r="G60" s="193">
        <v>-728.10684760782533</v>
      </c>
      <c r="H60" s="179">
        <v>-26419.106847607825</v>
      </c>
      <c r="I60" s="195">
        <v>-50391</v>
      </c>
      <c r="J60" s="193">
        <v>13514</v>
      </c>
      <c r="K60" s="179">
        <v>37125</v>
      </c>
      <c r="L60" s="426">
        <v>-4417</v>
      </c>
      <c r="M60" s="195">
        <v>-31544</v>
      </c>
      <c r="N60" s="193">
        <v>-8458</v>
      </c>
      <c r="O60" s="193">
        <v>-8729</v>
      </c>
      <c r="P60" s="179">
        <v>-11179</v>
      </c>
      <c r="Q60" s="195">
        <v>-42374</v>
      </c>
      <c r="R60" s="193">
        <v>-27843</v>
      </c>
      <c r="S60" s="193">
        <v>-8303</v>
      </c>
      <c r="T60" s="179">
        <v>-14189</v>
      </c>
      <c r="U60" s="195">
        <v>54714</v>
      </c>
      <c r="V60" s="193">
        <v>24520.521120000001</v>
      </c>
      <c r="W60" s="193">
        <v>-9618.0521899999985</v>
      </c>
      <c r="X60" s="194">
        <v>-3120.2938100000001</v>
      </c>
      <c r="Y60" s="195">
        <v>8111</v>
      </c>
      <c r="Z60" s="193">
        <v>25028</v>
      </c>
      <c r="AA60" s="193">
        <v>24928</v>
      </c>
      <c r="AB60" s="193">
        <v>15154</v>
      </c>
      <c r="AC60" s="195">
        <v>25370</v>
      </c>
      <c r="AD60" s="193">
        <v>41663</v>
      </c>
      <c r="AE60" s="193">
        <v>-2449</v>
      </c>
      <c r="AF60" s="193">
        <v>1412</v>
      </c>
      <c r="AG60" s="195">
        <v>-91791</v>
      </c>
      <c r="AH60" s="193">
        <v>-52928</v>
      </c>
      <c r="AI60" s="193">
        <v>-14559</v>
      </c>
      <c r="AJ60" s="193">
        <v>-14503</v>
      </c>
      <c r="AK60" s="195">
        <v>-37420</v>
      </c>
      <c r="AL60" s="193">
        <v>-45693</v>
      </c>
      <c r="AM60" s="193">
        <v>-35062</v>
      </c>
      <c r="AN60" s="193">
        <v>-6891</v>
      </c>
      <c r="AO60" s="195">
        <v>-149</v>
      </c>
    </row>
    <row r="61" spans="1:42">
      <c r="B61" s="201"/>
      <c r="C61" s="240">
        <f t="shared" ref="C61" si="13">SUM(C51:C60)</f>
        <v>76967</v>
      </c>
      <c r="D61" s="241">
        <f t="shared" ref="D61" si="14">SUM(D51:D60)</f>
        <v>139955</v>
      </c>
      <c r="E61" s="242">
        <f t="shared" ref="E61" si="15">SUM(E51:E60)</f>
        <v>-178415</v>
      </c>
      <c r="F61" s="240">
        <f t="shared" ref="F61:G61" si="16">SUM(F51:F60)</f>
        <v>-252147</v>
      </c>
      <c r="G61" s="240">
        <f t="shared" si="16"/>
        <v>-206699.10684760782</v>
      </c>
      <c r="H61" s="241">
        <f t="shared" ref="H61" si="17">SUM(H51:H60)</f>
        <v>-241392.10684760782</v>
      </c>
      <c r="I61" s="242">
        <f t="shared" ref="I61" si="18">SUM(I51:I60)</f>
        <v>-387340</v>
      </c>
      <c r="J61" s="240">
        <f t="shared" ref="J61" si="19">SUM(J51:J60)</f>
        <v>-406290</v>
      </c>
      <c r="K61" s="240">
        <f t="shared" ref="K61" si="20">SUM(K51:K60)</f>
        <v>-436899</v>
      </c>
      <c r="L61" s="241">
        <f t="shared" ref="L61" si="21">SUM(L51:L60)</f>
        <v>-372924</v>
      </c>
      <c r="M61" s="242">
        <f t="shared" ref="M61" si="22">SUM(M51:M60)</f>
        <v>69380</v>
      </c>
      <c r="N61" s="240">
        <f t="shared" ref="N61" si="23">SUM(N51:N60)</f>
        <v>-9944</v>
      </c>
      <c r="O61" s="240">
        <f t="shared" ref="O61" si="24">SUM(O51:O60)</f>
        <v>-69156</v>
      </c>
      <c r="P61" s="241">
        <f t="shared" ref="P61:Q61" si="25">SUM(P51:P60)</f>
        <v>-100025</v>
      </c>
      <c r="Q61" s="242">
        <f t="shared" si="25"/>
        <v>-155465</v>
      </c>
      <c r="R61" s="240">
        <f>SUM(R51:R60)</f>
        <v>-308856</v>
      </c>
      <c r="S61" s="240">
        <f>SUM(S51:S60)</f>
        <v>-492004</v>
      </c>
      <c r="T61" s="241">
        <f>SUM(T51:T60)</f>
        <v>-281139</v>
      </c>
      <c r="U61" s="242">
        <v>-256693</v>
      </c>
      <c r="V61" s="240">
        <f>SUM(V51:V60)</f>
        <v>-412952</v>
      </c>
      <c r="W61" s="240">
        <f>SUM(W51:W60)</f>
        <v>-453870</v>
      </c>
      <c r="X61" s="241">
        <f>SUM(X51:X60)</f>
        <v>-357483.70046999998</v>
      </c>
      <c r="Y61" s="242">
        <v>67687</v>
      </c>
      <c r="Z61" s="240">
        <f t="shared" ref="Z61:AO61" si="26">SUM(Z51:Z60)</f>
        <v>196186</v>
      </c>
      <c r="AA61" s="240">
        <f t="shared" si="26"/>
        <v>180724</v>
      </c>
      <c r="AB61" s="240">
        <f t="shared" si="26"/>
        <v>-90348</v>
      </c>
      <c r="AC61" s="243">
        <f t="shared" si="26"/>
        <v>118986</v>
      </c>
      <c r="AD61" s="240">
        <f t="shared" si="26"/>
        <v>22003</v>
      </c>
      <c r="AE61" s="240">
        <f t="shared" si="26"/>
        <v>15907</v>
      </c>
      <c r="AF61" s="240">
        <f t="shared" si="26"/>
        <v>76952</v>
      </c>
      <c r="AG61" s="243">
        <f t="shared" si="26"/>
        <v>21861</v>
      </c>
      <c r="AH61" s="244">
        <f t="shared" si="26"/>
        <v>-127164</v>
      </c>
      <c r="AI61" s="244">
        <f t="shared" si="26"/>
        <v>-128251</v>
      </c>
      <c r="AJ61" s="244">
        <f t="shared" si="26"/>
        <v>-67680</v>
      </c>
      <c r="AK61" s="243">
        <f t="shared" si="26"/>
        <v>-122644</v>
      </c>
      <c r="AL61" s="244">
        <f t="shared" si="26"/>
        <v>-224113</v>
      </c>
      <c r="AM61" s="244">
        <f t="shared" si="26"/>
        <v>-178741</v>
      </c>
      <c r="AN61" s="244">
        <f t="shared" si="26"/>
        <v>-70237</v>
      </c>
      <c r="AO61" s="243">
        <f t="shared" si="26"/>
        <v>41631</v>
      </c>
    </row>
    <row r="62" spans="1:42">
      <c r="B62" s="201"/>
      <c r="C62" s="240"/>
      <c r="D62" s="241"/>
      <c r="E62" s="242"/>
      <c r="F62" s="240"/>
      <c r="G62" s="240"/>
      <c r="H62" s="241"/>
      <c r="I62" s="242"/>
      <c r="J62" s="240"/>
      <c r="K62" s="240"/>
      <c r="L62" s="241"/>
      <c r="M62" s="242"/>
      <c r="N62" s="240"/>
      <c r="O62" s="240"/>
      <c r="P62" s="241"/>
      <c r="Q62" s="242"/>
      <c r="R62" s="240"/>
      <c r="S62" s="240"/>
      <c r="T62" s="241"/>
      <c r="U62" s="243"/>
      <c r="V62" s="240"/>
      <c r="W62" s="240"/>
      <c r="X62" s="241"/>
      <c r="Y62" s="243"/>
      <c r="Z62" s="240"/>
      <c r="AA62" s="240"/>
      <c r="AB62" s="240"/>
      <c r="AC62" s="243"/>
      <c r="AD62" s="240"/>
      <c r="AE62" s="240"/>
      <c r="AF62" s="240"/>
      <c r="AG62" s="243"/>
      <c r="AH62" s="244"/>
      <c r="AI62" s="244"/>
      <c r="AJ62" s="244"/>
      <c r="AK62" s="243"/>
      <c r="AL62" s="244"/>
      <c r="AM62" s="244"/>
      <c r="AN62" s="244"/>
      <c r="AO62" s="243"/>
    </row>
    <row r="63" spans="1:42" ht="15.75" thickBot="1">
      <c r="A63" s="196"/>
      <c r="B63" s="197" t="s">
        <v>259</v>
      </c>
      <c r="C63" s="198">
        <f t="shared" ref="C63" si="27">C49+C61</f>
        <v>632175</v>
      </c>
      <c r="D63" s="199">
        <f t="shared" ref="D63" si="28">D49+D61</f>
        <v>299870</v>
      </c>
      <c r="E63" s="200">
        <f t="shared" ref="E63" si="29">E49+E61</f>
        <v>1165039</v>
      </c>
      <c r="F63" s="198">
        <f t="shared" ref="F63:G63" si="30">F49+F61</f>
        <v>951958</v>
      </c>
      <c r="G63" s="198">
        <f t="shared" si="30"/>
        <v>641203.63415508391</v>
      </c>
      <c r="H63" s="199">
        <f t="shared" ref="H63" si="31">H49+H61</f>
        <v>136269.70429239218</v>
      </c>
      <c r="I63" s="200">
        <f>I49+I61</f>
        <v>830832</v>
      </c>
      <c r="J63" s="198">
        <f t="shared" ref="J63" si="32">J49+J61</f>
        <v>377823.99837811291</v>
      </c>
      <c r="K63" s="198">
        <f t="shared" ref="K63" si="33">K49+K61</f>
        <v>83506.566963179735</v>
      </c>
      <c r="L63" s="199">
        <f t="shared" ref="L63" si="34">L49+L61</f>
        <v>-74216</v>
      </c>
      <c r="M63" s="200">
        <f t="shared" ref="M63" si="35">M49+M61</f>
        <v>1543299</v>
      </c>
      <c r="N63" s="198">
        <f t="shared" ref="N63" si="36">N49+N61</f>
        <v>1353807</v>
      </c>
      <c r="O63" s="198">
        <f t="shared" ref="O63" si="37">O49+O61</f>
        <v>921472.00000000023</v>
      </c>
      <c r="P63" s="199">
        <f t="shared" ref="P63:Q63" si="38">P49+P61</f>
        <v>440790</v>
      </c>
      <c r="Q63" s="200">
        <f t="shared" si="38"/>
        <v>2511081</v>
      </c>
      <c r="R63" s="198">
        <f>R49+R61</f>
        <v>1928236</v>
      </c>
      <c r="S63" s="198">
        <f>S49+S61</f>
        <v>1338651</v>
      </c>
      <c r="T63" s="199">
        <f>T49+T61</f>
        <v>604579</v>
      </c>
      <c r="U63" s="200">
        <v>2593060</v>
      </c>
      <c r="V63" s="198">
        <f>V49+V61</f>
        <v>1237940</v>
      </c>
      <c r="W63" s="198">
        <f>W49+W61</f>
        <v>632811</v>
      </c>
      <c r="X63" s="199">
        <f>X49+X61</f>
        <v>241721.29953000002</v>
      </c>
      <c r="Y63" s="200">
        <v>1146786</v>
      </c>
      <c r="Z63" s="198">
        <f t="shared" ref="Z63:AI63" si="39">Z49+Z61</f>
        <v>743079</v>
      </c>
      <c r="AA63" s="198">
        <f t="shared" si="39"/>
        <v>387331</v>
      </c>
      <c r="AB63" s="198">
        <f t="shared" si="39"/>
        <v>27210</v>
      </c>
      <c r="AC63" s="200">
        <f t="shared" si="39"/>
        <v>571146</v>
      </c>
      <c r="AD63" s="198">
        <f t="shared" si="39"/>
        <v>356239</v>
      </c>
      <c r="AE63" s="198">
        <f t="shared" si="39"/>
        <v>255028</v>
      </c>
      <c r="AF63" s="198">
        <f t="shared" si="39"/>
        <v>221357</v>
      </c>
      <c r="AG63" s="200">
        <f t="shared" si="39"/>
        <v>982533</v>
      </c>
      <c r="AH63" s="198">
        <f t="shared" si="39"/>
        <v>684213</v>
      </c>
      <c r="AI63" s="198">
        <f t="shared" si="39"/>
        <v>391040</v>
      </c>
      <c r="AJ63" s="198">
        <v>205504</v>
      </c>
      <c r="AK63" s="200">
        <v>489563</v>
      </c>
      <c r="AL63" s="198">
        <v>251282</v>
      </c>
      <c r="AM63" s="198">
        <v>127003</v>
      </c>
      <c r="AN63" s="198">
        <v>67979</v>
      </c>
      <c r="AO63" s="200">
        <v>350975</v>
      </c>
      <c r="AP63" s="246"/>
    </row>
    <row r="64" spans="1:42" ht="15" thickTop="1">
      <c r="B64" s="192" t="s">
        <v>260</v>
      </c>
      <c r="C64" s="247">
        <v>-14338</v>
      </c>
      <c r="D64" s="248">
        <v>-673</v>
      </c>
      <c r="E64" s="249">
        <v>-55916</v>
      </c>
      <c r="F64" s="247">
        <v>-52872</v>
      </c>
      <c r="G64" s="247">
        <v>-25146</v>
      </c>
      <c r="H64" s="248">
        <v>-429</v>
      </c>
      <c r="I64" s="249">
        <v>-138105</v>
      </c>
      <c r="J64" s="247">
        <v>-113434</v>
      </c>
      <c r="K64" s="247">
        <v>-93641</v>
      </c>
      <c r="L64" s="248">
        <v>-74791</v>
      </c>
      <c r="M64" s="249">
        <v>-478175</v>
      </c>
      <c r="N64" s="247">
        <v>-436551</v>
      </c>
      <c r="O64" s="247">
        <v>-381333</v>
      </c>
      <c r="P64" s="248">
        <v>-333527</v>
      </c>
      <c r="Q64" s="249">
        <v>-474754</v>
      </c>
      <c r="R64" s="247">
        <v>-456427</v>
      </c>
      <c r="S64" s="247">
        <v>-264044</v>
      </c>
      <c r="T64" s="248">
        <v>-137046</v>
      </c>
      <c r="U64" s="249">
        <v>-303159</v>
      </c>
      <c r="V64" s="247">
        <v>-234727</v>
      </c>
      <c r="W64" s="247">
        <v>-175290</v>
      </c>
      <c r="X64" s="248">
        <v>-101970</v>
      </c>
      <c r="Y64" s="249">
        <v>-78150</v>
      </c>
      <c r="Z64" s="247">
        <v>-47815</v>
      </c>
      <c r="AA64" s="247">
        <v>-34905</v>
      </c>
      <c r="AB64" s="247">
        <v>-25565</v>
      </c>
      <c r="AC64" s="250">
        <v>-117556</v>
      </c>
      <c r="AD64" s="247">
        <v>-103195</v>
      </c>
      <c r="AE64" s="247">
        <v>-86956</v>
      </c>
      <c r="AF64" s="247">
        <v>-57908</v>
      </c>
      <c r="AG64" s="250">
        <v>-90267</v>
      </c>
      <c r="AH64" s="247">
        <v>-65089</v>
      </c>
      <c r="AI64" s="247">
        <v>-36727</v>
      </c>
      <c r="AJ64" s="247">
        <v>-15555</v>
      </c>
      <c r="AK64" s="250">
        <v>-67308</v>
      </c>
      <c r="AL64" s="247">
        <v>-45682</v>
      </c>
      <c r="AM64" s="247">
        <v>-31386</v>
      </c>
      <c r="AN64" s="247">
        <v>-11015</v>
      </c>
      <c r="AO64" s="250">
        <v>-42098</v>
      </c>
    </row>
    <row r="65" spans="1:41" ht="15.75" thickBot="1">
      <c r="A65" s="196"/>
      <c r="B65" s="197" t="s">
        <v>261</v>
      </c>
      <c r="C65" s="198">
        <f t="shared" ref="C65" si="40">C63+C64</f>
        <v>617837</v>
      </c>
      <c r="D65" s="199">
        <f t="shared" ref="D65" si="41">D63+D64</f>
        <v>299197</v>
      </c>
      <c r="E65" s="200">
        <f t="shared" ref="E65" si="42">E63+E64</f>
        <v>1109123</v>
      </c>
      <c r="F65" s="198">
        <f t="shared" ref="F65:G65" si="43">F63+F64</f>
        <v>899086</v>
      </c>
      <c r="G65" s="198">
        <f t="shared" si="43"/>
        <v>616057.63415508391</v>
      </c>
      <c r="H65" s="199">
        <f t="shared" ref="H65" si="44">H63+H64</f>
        <v>135840.70429239218</v>
      </c>
      <c r="I65" s="200">
        <f t="shared" ref="I65" si="45">I63+I64</f>
        <v>692727</v>
      </c>
      <c r="J65" s="198">
        <f t="shared" ref="J65" si="46">J63+J64</f>
        <v>264389.99837811291</v>
      </c>
      <c r="K65" s="198">
        <f t="shared" ref="K65" si="47">K63+K64</f>
        <v>-10134.433036820265</v>
      </c>
      <c r="L65" s="199">
        <f t="shared" ref="L65" si="48">L63+L64</f>
        <v>-149007</v>
      </c>
      <c r="M65" s="200">
        <f t="shared" ref="M65" si="49">M63+M64</f>
        <v>1065124</v>
      </c>
      <c r="N65" s="198">
        <f t="shared" ref="N65" si="50">N63+N64</f>
        <v>917256</v>
      </c>
      <c r="O65" s="198">
        <f t="shared" ref="O65" si="51">O63+O64</f>
        <v>540139.00000000023</v>
      </c>
      <c r="P65" s="199">
        <f t="shared" ref="P65" si="52">P63+P64</f>
        <v>107263</v>
      </c>
      <c r="Q65" s="200">
        <f>Q63+Q64</f>
        <v>2036327</v>
      </c>
      <c r="R65" s="198">
        <f t="shared" ref="R65" si="53">R63+R64</f>
        <v>1471809</v>
      </c>
      <c r="S65" s="198">
        <f t="shared" ref="S65" si="54">S63+S64</f>
        <v>1074607</v>
      </c>
      <c r="T65" s="199">
        <f t="shared" ref="T65" si="55">T63+T64</f>
        <v>467533</v>
      </c>
      <c r="U65" s="200">
        <v>2289901</v>
      </c>
      <c r="V65" s="198">
        <f t="shared" ref="V65:X65" si="56">V63+V64</f>
        <v>1003213</v>
      </c>
      <c r="W65" s="198">
        <f t="shared" si="56"/>
        <v>457521</v>
      </c>
      <c r="X65" s="199">
        <f t="shared" si="56"/>
        <v>139751.29953000002</v>
      </c>
      <c r="Y65" s="200">
        <v>1068636</v>
      </c>
      <c r="Z65" s="198">
        <f>Z63+Z64</f>
        <v>695264</v>
      </c>
      <c r="AA65" s="198">
        <f>AA63+AA64</f>
        <v>352426</v>
      </c>
      <c r="AB65" s="198">
        <f t="shared" ref="AB65" si="57">AB63+AB64</f>
        <v>1645</v>
      </c>
      <c r="AC65" s="200">
        <f t="shared" ref="AC65" si="58">AC63+AC64</f>
        <v>453590</v>
      </c>
      <c r="AD65" s="198">
        <f t="shared" ref="AD65" si="59">AD63+AD64</f>
        <v>253044</v>
      </c>
      <c r="AE65" s="198">
        <f t="shared" ref="AE65:AI65" si="60">AE63+AE64</f>
        <v>168072</v>
      </c>
      <c r="AF65" s="198">
        <f t="shared" si="60"/>
        <v>163449</v>
      </c>
      <c r="AG65" s="200">
        <f t="shared" si="60"/>
        <v>892266</v>
      </c>
      <c r="AH65" s="198">
        <f t="shared" si="60"/>
        <v>619124</v>
      </c>
      <c r="AI65" s="198">
        <f t="shared" si="60"/>
        <v>354313</v>
      </c>
      <c r="AJ65" s="198">
        <v>189949</v>
      </c>
      <c r="AK65" s="200">
        <v>422255</v>
      </c>
      <c r="AL65" s="198">
        <v>205600</v>
      </c>
      <c r="AM65" s="198">
        <v>95617</v>
      </c>
      <c r="AN65" s="198">
        <v>56964</v>
      </c>
      <c r="AO65" s="200">
        <v>308877</v>
      </c>
    </row>
    <row r="66" spans="1:41" ht="16.5" thickTop="1" thickBot="1">
      <c r="A66" s="196"/>
      <c r="B66" s="197" t="s">
        <v>262</v>
      </c>
      <c r="C66" s="198"/>
      <c r="D66" s="199"/>
      <c r="E66" s="200"/>
      <c r="F66" s="198"/>
      <c r="G66" s="198"/>
      <c r="H66" s="199"/>
      <c r="I66" s="200"/>
      <c r="J66" s="198"/>
      <c r="K66" s="198"/>
      <c r="L66" s="199"/>
      <c r="M66" s="200"/>
      <c r="N66" s="198"/>
      <c r="O66" s="198"/>
      <c r="P66" s="199"/>
      <c r="Q66" s="200"/>
      <c r="R66" s="198"/>
      <c r="S66" s="198"/>
      <c r="T66" s="199"/>
      <c r="U66" s="200"/>
      <c r="V66" s="198"/>
      <c r="W66" s="198"/>
      <c r="X66" s="199"/>
      <c r="Y66" s="200"/>
      <c r="Z66" s="198"/>
      <c r="AA66" s="198"/>
      <c r="AB66" s="198"/>
      <c r="AC66" s="200"/>
      <c r="AD66" s="198"/>
      <c r="AE66" s="198"/>
      <c r="AF66" s="198"/>
      <c r="AG66" s="200"/>
      <c r="AH66" s="198"/>
      <c r="AI66" s="198"/>
      <c r="AJ66" s="198"/>
      <c r="AK66" s="200"/>
      <c r="AL66" s="198"/>
      <c r="AM66" s="198"/>
      <c r="AN66" s="198"/>
      <c r="AO66" s="200"/>
    </row>
    <row r="67" spans="1:41" ht="15.75" thickTop="1">
      <c r="A67" s="196"/>
      <c r="B67" s="202" t="s">
        <v>263</v>
      </c>
      <c r="C67" s="193">
        <v>-150869</v>
      </c>
      <c r="D67" s="194">
        <v>22228</v>
      </c>
      <c r="E67" s="195">
        <v>264449</v>
      </c>
      <c r="F67" s="193">
        <v>96945</v>
      </c>
      <c r="G67" s="193">
        <v>164820</v>
      </c>
      <c r="H67" s="194">
        <v>52585.188859999995</v>
      </c>
      <c r="I67" s="195">
        <v>63268</v>
      </c>
      <c r="J67" s="193">
        <v>-386335</v>
      </c>
      <c r="K67" s="193">
        <v>314549</v>
      </c>
      <c r="L67" s="194">
        <v>417826</v>
      </c>
      <c r="M67" s="195">
        <v>209138</v>
      </c>
      <c r="N67" s="193">
        <v>285989</v>
      </c>
      <c r="O67" s="193">
        <v>474768</v>
      </c>
      <c r="P67" s="194">
        <v>704706</v>
      </c>
      <c r="Q67" s="195">
        <v>279426</v>
      </c>
      <c r="R67" s="193">
        <v>83309</v>
      </c>
      <c r="S67" s="193">
        <v>-239218</v>
      </c>
      <c r="T67" s="194">
        <v>-243495</v>
      </c>
      <c r="U67" s="195">
        <v>-1102364</v>
      </c>
      <c r="V67" s="193">
        <v>-421388</v>
      </c>
      <c r="W67" s="193">
        <v>-135751</v>
      </c>
      <c r="X67" s="194">
        <v>-13036</v>
      </c>
      <c r="Y67" s="195">
        <v>24249</v>
      </c>
      <c r="Z67" s="193">
        <v>168864</v>
      </c>
      <c r="AA67" s="193">
        <v>198370</v>
      </c>
      <c r="AB67" s="193">
        <v>170770</v>
      </c>
      <c r="AC67" s="195">
        <v>446782</v>
      </c>
      <c r="AD67" s="193">
        <v>301934</v>
      </c>
      <c r="AE67" s="193">
        <v>348720</v>
      </c>
      <c r="AF67" s="193">
        <v>109456</v>
      </c>
      <c r="AG67" s="195">
        <v>-336697</v>
      </c>
      <c r="AH67" s="193">
        <v>-280609</v>
      </c>
      <c r="AI67" s="193">
        <v>-449197</v>
      </c>
      <c r="AJ67" s="193">
        <v>-521399</v>
      </c>
      <c r="AK67" s="195">
        <v>-218403</v>
      </c>
      <c r="AL67" s="193">
        <v>-258582</v>
      </c>
      <c r="AM67" s="193">
        <v>-83175</v>
      </c>
      <c r="AN67" s="193">
        <v>-80507</v>
      </c>
      <c r="AO67" s="195">
        <v>12302</v>
      </c>
    </row>
    <row r="68" spans="1:41">
      <c r="B68" s="201" t="s">
        <v>264</v>
      </c>
      <c r="C68" s="193">
        <v>0</v>
      </c>
      <c r="D68" s="194"/>
      <c r="E68" s="195">
        <v>0</v>
      </c>
      <c r="F68" s="193">
        <v>0</v>
      </c>
      <c r="G68" s="193">
        <v>0</v>
      </c>
      <c r="H68" s="194">
        <v>0</v>
      </c>
      <c r="I68" s="195">
        <v>0</v>
      </c>
      <c r="J68" s="193">
        <v>0</v>
      </c>
      <c r="K68" s="193">
        <v>0</v>
      </c>
      <c r="L68" s="194">
        <v>0</v>
      </c>
      <c r="M68" s="195">
        <v>0</v>
      </c>
      <c r="N68" s="193">
        <v>0</v>
      </c>
      <c r="O68" s="193">
        <v>0</v>
      </c>
      <c r="P68" s="194">
        <v>0</v>
      </c>
      <c r="Q68" s="195">
        <v>0</v>
      </c>
      <c r="R68" s="193">
        <v>0</v>
      </c>
      <c r="S68" s="193"/>
      <c r="T68" s="194">
        <v>0</v>
      </c>
      <c r="U68" s="195">
        <v>0</v>
      </c>
      <c r="V68" s="193">
        <v>0</v>
      </c>
      <c r="W68" s="193">
        <v>0</v>
      </c>
      <c r="X68" s="194">
        <v>0</v>
      </c>
      <c r="Y68" s="195">
        <v>0</v>
      </c>
      <c r="Z68" s="193">
        <v>0</v>
      </c>
      <c r="AA68" s="193">
        <v>0</v>
      </c>
      <c r="AB68" s="193">
        <v>0</v>
      </c>
      <c r="AC68" s="195">
        <v>0</v>
      </c>
      <c r="AD68" s="193">
        <v>0</v>
      </c>
      <c r="AE68" s="193">
        <v>0</v>
      </c>
      <c r="AF68" s="193">
        <v>0</v>
      </c>
      <c r="AG68" s="195">
        <v>0</v>
      </c>
      <c r="AH68" s="193">
        <v>0</v>
      </c>
      <c r="AI68" s="193">
        <v>0</v>
      </c>
      <c r="AJ68" s="193">
        <v>0</v>
      </c>
      <c r="AK68" s="195">
        <v>11668</v>
      </c>
      <c r="AL68" s="193">
        <v>11668</v>
      </c>
      <c r="AM68" s="193">
        <v>11668</v>
      </c>
      <c r="AN68" s="193">
        <v>11668</v>
      </c>
      <c r="AO68" s="195">
        <v>0</v>
      </c>
    </row>
    <row r="69" spans="1:41">
      <c r="B69" s="201" t="s">
        <v>265</v>
      </c>
      <c r="C69" s="193">
        <v>-318127</v>
      </c>
      <c r="D69" s="194">
        <v>-167251</v>
      </c>
      <c r="E69" s="195">
        <v>-1075968</v>
      </c>
      <c r="F69" s="193">
        <v>-820747</v>
      </c>
      <c r="G69" s="193">
        <v>-539874</v>
      </c>
      <c r="H69" s="194">
        <v>-302574</v>
      </c>
      <c r="I69" s="195">
        <v>-670902</v>
      </c>
      <c r="J69" s="193">
        <v>-412924</v>
      </c>
      <c r="K69" s="193">
        <v>-234434</v>
      </c>
      <c r="L69" s="194">
        <v>-98271</v>
      </c>
      <c r="M69" s="195">
        <v>-412374</v>
      </c>
      <c r="N69" s="193">
        <v>-310733</v>
      </c>
      <c r="O69" s="193">
        <v>-227487</v>
      </c>
      <c r="P69" s="194">
        <v>-91668</v>
      </c>
      <c r="Q69" s="195">
        <v>-268492</v>
      </c>
      <c r="R69" s="193">
        <v>-158297</v>
      </c>
      <c r="S69" s="193">
        <v>-62037</v>
      </c>
      <c r="T69" s="194">
        <v>-21079</v>
      </c>
      <c r="U69" s="195">
        <v>-266310</v>
      </c>
      <c r="V69" s="193">
        <v>-169221</v>
      </c>
      <c r="W69" s="193">
        <v>-102910</v>
      </c>
      <c r="X69" s="194">
        <v>-22153</v>
      </c>
      <c r="Y69" s="195">
        <v>-132264</v>
      </c>
      <c r="Z69" s="193">
        <v>-90839</v>
      </c>
      <c r="AA69" s="193">
        <v>-54903</v>
      </c>
      <c r="AB69" s="193">
        <v>-27451</v>
      </c>
      <c r="AC69" s="195">
        <v>-159422</v>
      </c>
      <c r="AD69" s="193">
        <v>-100122</v>
      </c>
      <c r="AE69" s="193">
        <v>-60066</v>
      </c>
      <c r="AF69" s="193">
        <v>-32438</v>
      </c>
      <c r="AG69" s="195">
        <v>-200931</v>
      </c>
      <c r="AH69" s="193">
        <v>-99096</v>
      </c>
      <c r="AI69" s="193">
        <v>-59332</v>
      </c>
      <c r="AJ69" s="193">
        <v>-23795</v>
      </c>
      <c r="AK69" s="195">
        <v>-151844</v>
      </c>
      <c r="AL69" s="193">
        <v>-84279</v>
      </c>
      <c r="AM69" s="193">
        <v>-40505</v>
      </c>
      <c r="AN69" s="193">
        <v>-13061</v>
      </c>
      <c r="AO69" s="195">
        <v>-39754</v>
      </c>
    </row>
    <row r="70" spans="1:41">
      <c r="B70" s="201" t="s">
        <v>282</v>
      </c>
      <c r="C70" s="193">
        <v>0</v>
      </c>
      <c r="D70" s="194"/>
      <c r="E70" s="195">
        <v>0</v>
      </c>
      <c r="F70" s="193">
        <v>0</v>
      </c>
      <c r="G70" s="193">
        <v>0</v>
      </c>
      <c r="H70" s="194">
        <v>0</v>
      </c>
      <c r="I70" s="195">
        <v>0</v>
      </c>
      <c r="J70" s="193">
        <v>0</v>
      </c>
      <c r="K70" s="193">
        <v>0</v>
      </c>
      <c r="L70" s="194">
        <v>0</v>
      </c>
      <c r="M70" s="195">
        <v>0</v>
      </c>
      <c r="N70" s="193">
        <v>0</v>
      </c>
      <c r="O70" s="193">
        <v>0</v>
      </c>
      <c r="P70" s="194">
        <v>0</v>
      </c>
      <c r="Q70" s="195">
        <v>0</v>
      </c>
      <c r="R70" s="193">
        <v>0</v>
      </c>
      <c r="S70" s="193">
        <v>0</v>
      </c>
      <c r="T70" s="194">
        <v>0</v>
      </c>
      <c r="U70" s="195">
        <v>0</v>
      </c>
      <c r="V70" s="193">
        <v>0</v>
      </c>
      <c r="W70" s="193">
        <v>0</v>
      </c>
      <c r="X70" s="194">
        <v>0</v>
      </c>
      <c r="Y70" s="195">
        <v>0</v>
      </c>
      <c r="Z70" s="193">
        <v>0</v>
      </c>
      <c r="AA70" s="193">
        <v>0</v>
      </c>
      <c r="AB70" s="193">
        <v>0</v>
      </c>
      <c r="AC70" s="195">
        <v>0</v>
      </c>
      <c r="AD70" s="193">
        <v>0</v>
      </c>
      <c r="AE70" s="193">
        <v>0</v>
      </c>
      <c r="AF70" s="193">
        <v>0</v>
      </c>
      <c r="AG70" s="195">
        <v>1285</v>
      </c>
      <c r="AH70" s="193">
        <v>1285</v>
      </c>
      <c r="AI70" s="193">
        <v>0</v>
      </c>
      <c r="AJ70" s="193">
        <v>0</v>
      </c>
      <c r="AK70" s="195">
        <v>1657</v>
      </c>
      <c r="AL70" s="193">
        <v>1657</v>
      </c>
      <c r="AM70" s="193">
        <v>1657</v>
      </c>
      <c r="AN70" s="193">
        <v>0</v>
      </c>
      <c r="AO70" s="195">
        <v>0</v>
      </c>
    </row>
    <row r="71" spans="1:41">
      <c r="B71" s="201" t="s">
        <v>305</v>
      </c>
      <c r="C71" s="193">
        <v>0</v>
      </c>
      <c r="D71" s="194"/>
      <c r="E71" s="195">
        <v>0</v>
      </c>
      <c r="F71" s="193">
        <v>0</v>
      </c>
      <c r="G71" s="193">
        <v>0</v>
      </c>
      <c r="H71" s="194">
        <v>0</v>
      </c>
      <c r="I71" s="195">
        <v>0</v>
      </c>
      <c r="J71" s="193">
        <v>0</v>
      </c>
      <c r="K71" s="193">
        <v>0</v>
      </c>
      <c r="L71" s="194">
        <v>0</v>
      </c>
      <c r="M71" s="195">
        <v>0</v>
      </c>
      <c r="N71" s="193">
        <v>0</v>
      </c>
      <c r="O71" s="193">
        <v>0</v>
      </c>
      <c r="P71" s="194">
        <v>0</v>
      </c>
      <c r="Q71" s="195">
        <v>0</v>
      </c>
      <c r="R71" s="193">
        <v>0</v>
      </c>
      <c r="S71" s="193">
        <v>0</v>
      </c>
      <c r="T71" s="194">
        <v>0</v>
      </c>
      <c r="U71" s="195">
        <v>0</v>
      </c>
      <c r="V71" s="193">
        <v>0</v>
      </c>
      <c r="W71" s="193">
        <v>0</v>
      </c>
      <c r="X71" s="194">
        <v>0</v>
      </c>
      <c r="Y71" s="195">
        <v>0</v>
      </c>
      <c r="Z71" s="193">
        <v>0</v>
      </c>
      <c r="AA71" s="193">
        <v>0</v>
      </c>
      <c r="AB71" s="193">
        <v>0</v>
      </c>
      <c r="AC71" s="195">
        <v>6175</v>
      </c>
      <c r="AD71" s="193">
        <v>0</v>
      </c>
      <c r="AE71" s="193">
        <v>0</v>
      </c>
      <c r="AF71" s="193">
        <v>0</v>
      </c>
      <c r="AG71" s="195">
        <v>22</v>
      </c>
      <c r="AH71" s="193">
        <v>22</v>
      </c>
      <c r="AI71" s="193">
        <v>0</v>
      </c>
      <c r="AJ71" s="193">
        <v>0</v>
      </c>
      <c r="AK71" s="195">
        <v>0</v>
      </c>
      <c r="AL71" s="193">
        <v>0</v>
      </c>
      <c r="AM71" s="193">
        <v>0</v>
      </c>
      <c r="AN71" s="193">
        <v>0</v>
      </c>
      <c r="AO71" s="195">
        <v>0</v>
      </c>
    </row>
    <row r="72" spans="1:41">
      <c r="B72" s="201" t="s">
        <v>267</v>
      </c>
      <c r="C72" s="193">
        <v>0</v>
      </c>
      <c r="D72" s="194"/>
      <c r="E72" s="195">
        <v>0</v>
      </c>
      <c r="F72" s="193">
        <v>0</v>
      </c>
      <c r="G72" s="193">
        <v>0</v>
      </c>
      <c r="H72" s="194">
        <v>0</v>
      </c>
      <c r="I72" s="195">
        <v>0</v>
      </c>
      <c r="J72" s="193">
        <v>0</v>
      </c>
      <c r="K72" s="193">
        <v>0</v>
      </c>
      <c r="L72" s="194">
        <v>0</v>
      </c>
      <c r="M72" s="195">
        <v>0</v>
      </c>
      <c r="N72" s="193">
        <v>0</v>
      </c>
      <c r="O72" s="193">
        <v>0</v>
      </c>
      <c r="P72" s="194">
        <v>0</v>
      </c>
      <c r="Q72" s="195">
        <v>0</v>
      </c>
      <c r="R72" s="193">
        <v>0</v>
      </c>
      <c r="S72" s="193">
        <v>0</v>
      </c>
      <c r="T72" s="194">
        <v>0</v>
      </c>
      <c r="U72" s="195">
        <v>0</v>
      </c>
      <c r="V72" s="193">
        <v>0</v>
      </c>
      <c r="W72" s="193">
        <v>0</v>
      </c>
      <c r="X72" s="194">
        <v>0</v>
      </c>
      <c r="Y72" s="195">
        <v>0</v>
      </c>
      <c r="Z72" s="193">
        <v>0</v>
      </c>
      <c r="AA72" s="193">
        <v>0</v>
      </c>
      <c r="AB72" s="193">
        <v>0</v>
      </c>
      <c r="AC72" s="195">
        <v>0</v>
      </c>
      <c r="AD72" s="193">
        <v>0</v>
      </c>
      <c r="AE72" s="193">
        <v>0</v>
      </c>
      <c r="AF72" s="193">
        <v>0</v>
      </c>
      <c r="AG72" s="195">
        <v>0</v>
      </c>
      <c r="AH72" s="193">
        <v>0</v>
      </c>
      <c r="AI72" s="193">
        <v>0</v>
      </c>
      <c r="AJ72" s="193">
        <v>0</v>
      </c>
      <c r="AK72" s="195">
        <v>-110000</v>
      </c>
      <c r="AL72" s="193">
        <v>-58500</v>
      </c>
      <c r="AM72" s="193">
        <v>0</v>
      </c>
      <c r="AN72" s="193">
        <v>0</v>
      </c>
      <c r="AO72" s="195">
        <v>0</v>
      </c>
    </row>
    <row r="73" spans="1:41">
      <c r="B73" s="201" t="s">
        <v>268</v>
      </c>
      <c r="C73" s="193">
        <v>-762</v>
      </c>
      <c r="D73" s="194">
        <v>-234</v>
      </c>
      <c r="E73" s="195">
        <v>0</v>
      </c>
      <c r="F73" s="193">
        <v>0</v>
      </c>
      <c r="G73" s="193">
        <v>0</v>
      </c>
      <c r="H73" s="194">
        <v>0</v>
      </c>
      <c r="I73" s="195">
        <v>-15000</v>
      </c>
      <c r="J73" s="193">
        <v>0</v>
      </c>
      <c r="K73" s="193">
        <v>0</v>
      </c>
      <c r="L73" s="194">
        <v>0</v>
      </c>
      <c r="M73" s="195">
        <v>0</v>
      </c>
      <c r="N73" s="193">
        <v>0</v>
      </c>
      <c r="O73" s="193">
        <v>0</v>
      </c>
      <c r="P73" s="194">
        <v>0</v>
      </c>
      <c r="Q73" s="195">
        <v>-20865</v>
      </c>
      <c r="R73" s="193">
        <v>-14340</v>
      </c>
      <c r="S73" s="193">
        <v>0</v>
      </c>
      <c r="T73" s="194">
        <v>0</v>
      </c>
      <c r="U73" s="195">
        <v>-35700</v>
      </c>
      <c r="V73" s="193">
        <v>-35700</v>
      </c>
      <c r="W73" s="193">
        <v>-22500</v>
      </c>
      <c r="X73" s="194">
        <v>-8500</v>
      </c>
      <c r="Y73" s="195">
        <v>-12500</v>
      </c>
      <c r="Z73" s="193">
        <v>-5000</v>
      </c>
      <c r="AA73" s="193">
        <v>0</v>
      </c>
      <c r="AB73" s="193">
        <v>0</v>
      </c>
      <c r="AC73" s="195">
        <v>0</v>
      </c>
      <c r="AD73" s="193">
        <v>0</v>
      </c>
      <c r="AE73" s="193">
        <v>0</v>
      </c>
      <c r="AF73" s="193">
        <v>0</v>
      </c>
      <c r="AG73" s="195">
        <v>0</v>
      </c>
      <c r="AH73" s="193">
        <v>0</v>
      </c>
      <c r="AI73" s="193">
        <v>0</v>
      </c>
      <c r="AJ73" s="193">
        <v>0</v>
      </c>
      <c r="AK73" s="195">
        <v>0</v>
      </c>
      <c r="AL73" s="193">
        <v>0</v>
      </c>
      <c r="AM73" s="193">
        <v>0</v>
      </c>
      <c r="AN73" s="193">
        <v>0</v>
      </c>
      <c r="AO73" s="195">
        <v>0</v>
      </c>
    </row>
    <row r="74" spans="1:41">
      <c r="B74" s="201" t="s">
        <v>346</v>
      </c>
      <c r="C74" s="193">
        <v>0</v>
      </c>
      <c r="D74" s="194"/>
      <c r="E74" s="195">
        <v>0</v>
      </c>
      <c r="F74" s="193">
        <v>0</v>
      </c>
      <c r="G74" s="193">
        <v>0</v>
      </c>
      <c r="H74" s="194">
        <v>0</v>
      </c>
      <c r="I74" s="195">
        <v>0</v>
      </c>
      <c r="J74" s="193">
        <v>0</v>
      </c>
      <c r="K74" s="193">
        <v>0</v>
      </c>
      <c r="L74" s="194">
        <v>0</v>
      </c>
      <c r="M74" s="195">
        <v>-804</v>
      </c>
      <c r="N74" s="193">
        <v>-804</v>
      </c>
      <c r="O74" s="193">
        <v>-804</v>
      </c>
      <c r="P74" s="194">
        <v>0</v>
      </c>
      <c r="Q74" s="195">
        <v>0</v>
      </c>
      <c r="R74" s="193">
        <v>-48396</v>
      </c>
      <c r="S74" s="193">
        <v>0</v>
      </c>
      <c r="T74" s="194">
        <v>0</v>
      </c>
      <c r="U74" s="195">
        <v>-8769</v>
      </c>
      <c r="V74" s="193">
        <v>-8769</v>
      </c>
      <c r="W74" s="193">
        <v>-8769</v>
      </c>
      <c r="X74" s="194"/>
      <c r="Y74" s="195">
        <v>-30547</v>
      </c>
      <c r="Z74" s="193"/>
      <c r="AA74" s="193"/>
      <c r="AB74" s="193"/>
      <c r="AC74" s="195"/>
      <c r="AD74" s="193"/>
      <c r="AE74" s="193"/>
      <c r="AF74" s="193"/>
      <c r="AG74" s="195"/>
      <c r="AH74" s="193"/>
      <c r="AI74" s="193"/>
      <c r="AJ74" s="193"/>
      <c r="AK74" s="195"/>
      <c r="AL74" s="193"/>
      <c r="AM74" s="193"/>
      <c r="AN74" s="193"/>
      <c r="AO74" s="195"/>
    </row>
    <row r="75" spans="1:41">
      <c r="B75" s="201" t="s">
        <v>283</v>
      </c>
      <c r="C75" s="193">
        <v>0</v>
      </c>
      <c r="D75" s="194"/>
      <c r="E75" s="195">
        <v>0</v>
      </c>
      <c r="F75" s="193">
        <v>0</v>
      </c>
      <c r="G75" s="193">
        <v>0</v>
      </c>
      <c r="H75" s="194">
        <v>0</v>
      </c>
      <c r="I75" s="195">
        <v>0</v>
      </c>
      <c r="J75" s="193">
        <v>0</v>
      </c>
      <c r="K75" s="193">
        <v>0</v>
      </c>
      <c r="L75" s="194">
        <v>0</v>
      </c>
      <c r="M75" s="195">
        <v>0</v>
      </c>
      <c r="N75" s="193">
        <v>0</v>
      </c>
      <c r="O75" s="193">
        <v>0</v>
      </c>
      <c r="P75" s="194">
        <v>0</v>
      </c>
      <c r="Q75" s="195">
        <v>0</v>
      </c>
      <c r="R75" s="193">
        <v>0</v>
      </c>
      <c r="S75" s="193">
        <v>0</v>
      </c>
      <c r="T75" s="194">
        <v>0</v>
      </c>
      <c r="U75" s="195">
        <v>0</v>
      </c>
      <c r="V75" s="193">
        <v>0</v>
      </c>
      <c r="W75" s="193">
        <v>0</v>
      </c>
      <c r="X75" s="194">
        <v>0</v>
      </c>
      <c r="Y75" s="195">
        <v>0</v>
      </c>
      <c r="Z75" s="193">
        <v>-30547</v>
      </c>
      <c r="AA75" s="193">
        <v>0</v>
      </c>
      <c r="AB75" s="193">
        <v>0</v>
      </c>
      <c r="AC75" s="195">
        <v>0</v>
      </c>
      <c r="AD75" s="193">
        <v>0</v>
      </c>
      <c r="AE75" s="193">
        <v>0</v>
      </c>
      <c r="AF75" s="193">
        <v>0</v>
      </c>
      <c r="AG75" s="195">
        <v>0</v>
      </c>
      <c r="AH75" s="193">
        <v>0</v>
      </c>
      <c r="AI75" s="193">
        <v>0</v>
      </c>
      <c r="AJ75" s="193">
        <v>0</v>
      </c>
      <c r="AK75" s="195">
        <v>0</v>
      </c>
      <c r="AL75" s="193">
        <v>0</v>
      </c>
      <c r="AM75" s="193">
        <v>0</v>
      </c>
      <c r="AN75" s="193">
        <v>0</v>
      </c>
      <c r="AO75" s="195">
        <v>185514</v>
      </c>
    </row>
    <row r="76" spans="1:41">
      <c r="B76" s="201" t="s">
        <v>357</v>
      </c>
      <c r="C76" s="193">
        <v>0</v>
      </c>
      <c r="D76" s="194"/>
      <c r="E76" s="195">
        <v>0</v>
      </c>
      <c r="F76" s="193">
        <v>0</v>
      </c>
      <c r="G76" s="193">
        <v>0</v>
      </c>
      <c r="H76" s="194">
        <v>0</v>
      </c>
      <c r="I76" s="195">
        <v>0</v>
      </c>
      <c r="J76" s="193">
        <v>0</v>
      </c>
      <c r="K76" s="193">
        <v>0</v>
      </c>
      <c r="L76" s="194">
        <v>0</v>
      </c>
      <c r="M76" s="195">
        <v>-3632</v>
      </c>
      <c r="N76" s="193">
        <v>-3632</v>
      </c>
      <c r="O76" s="193">
        <v>-2201</v>
      </c>
      <c r="P76" s="194">
        <v>-132</v>
      </c>
      <c r="Q76" s="195">
        <v>-487</v>
      </c>
      <c r="R76" s="193">
        <v>-460</v>
      </c>
      <c r="S76" s="193">
        <v>-329</v>
      </c>
      <c r="T76" s="194">
        <v>-275</v>
      </c>
      <c r="U76" s="195">
        <v>-1034</v>
      </c>
      <c r="V76" s="193">
        <v>0</v>
      </c>
      <c r="W76" s="193">
        <v>0</v>
      </c>
      <c r="X76" s="194">
        <v>0</v>
      </c>
      <c r="Y76" s="195">
        <v>0</v>
      </c>
      <c r="Z76" s="193">
        <v>0</v>
      </c>
      <c r="AA76" s="193">
        <v>0</v>
      </c>
      <c r="AB76" s="193">
        <v>0</v>
      </c>
      <c r="AC76" s="195">
        <v>0</v>
      </c>
      <c r="AD76" s="193">
        <v>0</v>
      </c>
      <c r="AE76" s="193">
        <v>0</v>
      </c>
      <c r="AF76" s="193">
        <v>0</v>
      </c>
      <c r="AG76" s="195">
        <v>0</v>
      </c>
      <c r="AH76" s="193">
        <v>0</v>
      </c>
      <c r="AI76" s="193">
        <v>0</v>
      </c>
      <c r="AJ76" s="193">
        <v>0</v>
      </c>
      <c r="AK76" s="195">
        <v>0</v>
      </c>
      <c r="AL76" s="193">
        <v>0</v>
      </c>
      <c r="AM76" s="193">
        <v>0</v>
      </c>
      <c r="AN76" s="193">
        <v>0</v>
      </c>
      <c r="AO76" s="195">
        <v>0</v>
      </c>
    </row>
    <row r="77" spans="1:41">
      <c r="B77" s="239" t="s">
        <v>396</v>
      </c>
      <c r="C77" s="193">
        <v>0</v>
      </c>
      <c r="D77" s="194"/>
      <c r="E77" s="195">
        <v>0</v>
      </c>
      <c r="F77" s="193">
        <v>0</v>
      </c>
      <c r="G77" s="193">
        <v>0</v>
      </c>
      <c r="H77" s="194">
        <v>0</v>
      </c>
      <c r="I77" s="195">
        <v>0</v>
      </c>
      <c r="J77" s="193">
        <v>0</v>
      </c>
      <c r="K77" s="193">
        <v>0</v>
      </c>
      <c r="L77" s="194">
        <v>0</v>
      </c>
      <c r="M77" s="195">
        <v>0</v>
      </c>
      <c r="N77" s="193">
        <v>0</v>
      </c>
      <c r="O77" s="193">
        <v>0</v>
      </c>
      <c r="P77" s="194">
        <v>0</v>
      </c>
      <c r="Q77" s="195">
        <v>-48396</v>
      </c>
      <c r="R77" s="193">
        <v>0</v>
      </c>
      <c r="S77" s="193">
        <v>0</v>
      </c>
      <c r="T77" s="194"/>
      <c r="U77" s="195">
        <v>0</v>
      </c>
      <c r="V77" s="193">
        <v>0</v>
      </c>
      <c r="W77" s="193">
        <v>0</v>
      </c>
      <c r="X77" s="194">
        <v>0</v>
      </c>
      <c r="Y77" s="195">
        <v>0</v>
      </c>
      <c r="Z77" s="193">
        <v>0</v>
      </c>
      <c r="AA77" s="193">
        <v>0</v>
      </c>
      <c r="AB77" s="193">
        <v>0</v>
      </c>
      <c r="AC77" s="195">
        <v>0</v>
      </c>
      <c r="AD77" s="193">
        <v>0</v>
      </c>
      <c r="AE77" s="193">
        <v>0</v>
      </c>
      <c r="AF77" s="193">
        <v>0</v>
      </c>
      <c r="AG77" s="195">
        <v>0</v>
      </c>
      <c r="AH77" s="193">
        <v>0</v>
      </c>
      <c r="AI77" s="193">
        <v>0</v>
      </c>
      <c r="AJ77" s="193">
        <v>0</v>
      </c>
      <c r="AK77" s="195">
        <v>0</v>
      </c>
      <c r="AL77" s="193">
        <v>0</v>
      </c>
      <c r="AM77" s="193">
        <v>0</v>
      </c>
      <c r="AN77" s="193">
        <v>0</v>
      </c>
      <c r="AO77" s="195">
        <v>0</v>
      </c>
    </row>
    <row r="78" spans="1:41" ht="15.75" thickBot="1">
      <c r="A78" s="196"/>
      <c r="B78" s="197" t="s">
        <v>270</v>
      </c>
      <c r="C78" s="198">
        <f t="shared" ref="C78" si="61">SUM(C67:C77)</f>
        <v>-469758</v>
      </c>
      <c r="D78" s="199">
        <f t="shared" ref="D78" si="62">SUM(D67:D77)</f>
        <v>-145257</v>
      </c>
      <c r="E78" s="200">
        <f t="shared" ref="E78" si="63">SUM(E67:E77)</f>
        <v>-811519</v>
      </c>
      <c r="F78" s="198">
        <f t="shared" ref="F78:G78" si="64">SUM(F67:F77)</f>
        <v>-723802</v>
      </c>
      <c r="G78" s="198">
        <f t="shared" si="64"/>
        <v>-375054</v>
      </c>
      <c r="H78" s="199">
        <f t="shared" ref="H78" si="65">SUM(H67:H77)</f>
        <v>-249988.81114000001</v>
      </c>
      <c r="I78" s="200">
        <f t="shared" ref="I78" si="66">SUM(I67:I77)</f>
        <v>-622634</v>
      </c>
      <c r="J78" s="198">
        <f t="shared" ref="J78:O78" si="67">SUM(J67:J77)</f>
        <v>-799259</v>
      </c>
      <c r="K78" s="198">
        <f t="shared" si="67"/>
        <v>80115</v>
      </c>
      <c r="L78" s="199">
        <f t="shared" si="67"/>
        <v>319555</v>
      </c>
      <c r="M78" s="200">
        <f t="shared" si="67"/>
        <v>-207672</v>
      </c>
      <c r="N78" s="198">
        <f t="shared" si="67"/>
        <v>-29180</v>
      </c>
      <c r="O78" s="198">
        <f t="shared" si="67"/>
        <v>244276</v>
      </c>
      <c r="P78" s="199">
        <f t="shared" ref="P78" si="68">SUM(P67:P76)</f>
        <v>612906</v>
      </c>
      <c r="Q78" s="200">
        <f>SUM(Q67:Q77)</f>
        <v>-58814</v>
      </c>
      <c r="R78" s="198">
        <f>SUM(R67:R77)</f>
        <v>-138184</v>
      </c>
      <c r="S78" s="198">
        <f>SUM(S67:S77)</f>
        <v>-301584</v>
      </c>
      <c r="T78" s="199">
        <f>SUM(T67:T76)</f>
        <v>-264849</v>
      </c>
      <c r="U78" s="200">
        <f t="shared" ref="U78:AI78" si="69">SUM(U67:U77)</f>
        <v>-1414177</v>
      </c>
      <c r="V78" s="198">
        <f t="shared" si="69"/>
        <v>-635078</v>
      </c>
      <c r="W78" s="198">
        <f t="shared" si="69"/>
        <v>-269930</v>
      </c>
      <c r="X78" s="199">
        <f t="shared" si="69"/>
        <v>-43689</v>
      </c>
      <c r="Y78" s="200">
        <f t="shared" si="69"/>
        <v>-151062</v>
      </c>
      <c r="Z78" s="198">
        <f t="shared" si="69"/>
        <v>42478</v>
      </c>
      <c r="AA78" s="198">
        <f t="shared" si="69"/>
        <v>143467</v>
      </c>
      <c r="AB78" s="198">
        <f t="shared" si="69"/>
        <v>143319</v>
      </c>
      <c r="AC78" s="200">
        <f t="shared" si="69"/>
        <v>293535</v>
      </c>
      <c r="AD78" s="198">
        <f t="shared" si="69"/>
        <v>201812</v>
      </c>
      <c r="AE78" s="198">
        <f t="shared" si="69"/>
        <v>288654</v>
      </c>
      <c r="AF78" s="198">
        <f t="shared" si="69"/>
        <v>77018</v>
      </c>
      <c r="AG78" s="200">
        <f t="shared" si="69"/>
        <v>-536321</v>
      </c>
      <c r="AH78" s="198">
        <f t="shared" si="69"/>
        <v>-378398</v>
      </c>
      <c r="AI78" s="198">
        <f t="shared" si="69"/>
        <v>-508529</v>
      </c>
      <c r="AJ78" s="198">
        <v>-545194</v>
      </c>
      <c r="AK78" s="200">
        <v>-466922</v>
      </c>
      <c r="AL78" s="198">
        <v>-388036</v>
      </c>
      <c r="AM78" s="198">
        <v>-110355</v>
      </c>
      <c r="AN78" s="198">
        <v>-81900</v>
      </c>
      <c r="AO78" s="200">
        <v>158062</v>
      </c>
    </row>
    <row r="79" spans="1:41" ht="16.5" thickTop="1" thickBot="1">
      <c r="A79" s="196"/>
      <c r="B79" s="197" t="s">
        <v>271</v>
      </c>
      <c r="C79" s="198"/>
      <c r="D79" s="199"/>
      <c r="E79" s="200"/>
      <c r="F79" s="198"/>
      <c r="G79" s="198"/>
      <c r="H79" s="199"/>
      <c r="I79" s="200"/>
      <c r="J79" s="198"/>
      <c r="K79" s="198"/>
      <c r="L79" s="199"/>
      <c r="M79" s="200"/>
      <c r="N79" s="198"/>
      <c r="O79" s="198"/>
      <c r="P79" s="199"/>
      <c r="Q79" s="200"/>
      <c r="R79" s="198"/>
      <c r="S79" s="198"/>
      <c r="T79" s="199"/>
      <c r="U79" s="200"/>
      <c r="V79" s="198"/>
      <c r="W79" s="198"/>
      <c r="X79" s="199"/>
      <c r="Y79" s="200"/>
      <c r="Z79" s="198"/>
      <c r="AA79" s="198"/>
      <c r="AB79" s="198"/>
      <c r="AC79" s="200"/>
      <c r="AD79" s="198"/>
      <c r="AE79" s="198"/>
      <c r="AF79" s="198"/>
      <c r="AG79" s="200"/>
      <c r="AH79" s="198"/>
      <c r="AI79" s="198"/>
      <c r="AJ79" s="198"/>
      <c r="AK79" s="200"/>
      <c r="AL79" s="198"/>
      <c r="AM79" s="198"/>
      <c r="AN79" s="198"/>
      <c r="AO79" s="200"/>
    </row>
    <row r="80" spans="1:41" ht="15" thickTop="1">
      <c r="B80" s="201" t="s">
        <v>272</v>
      </c>
      <c r="C80" s="193">
        <v>-272326</v>
      </c>
      <c r="D80" s="194">
        <v>-79720</v>
      </c>
      <c r="E80" s="195">
        <v>-719203</v>
      </c>
      <c r="F80" s="193">
        <v>-710087</v>
      </c>
      <c r="G80" s="193">
        <v>-127493</v>
      </c>
      <c r="H80" s="194">
        <v>-1650</v>
      </c>
      <c r="I80" s="195">
        <v>-1266365</v>
      </c>
      <c r="J80" s="193">
        <v>-631811</v>
      </c>
      <c r="K80" s="193">
        <v>-189312.04584679432</v>
      </c>
      <c r="L80" s="194">
        <v>-2057</v>
      </c>
      <c r="M80" s="195">
        <v>-89995</v>
      </c>
      <c r="N80" s="193">
        <v>-89026</v>
      </c>
      <c r="O80" s="193">
        <v>-81075</v>
      </c>
      <c r="P80" s="194">
        <v>-962</v>
      </c>
      <c r="Q80" s="195">
        <v>-128846</v>
      </c>
      <c r="R80" s="193">
        <v>-115847</v>
      </c>
      <c r="S80" s="193">
        <v>-96082</v>
      </c>
      <c r="T80" s="194">
        <v>-82998</v>
      </c>
      <c r="U80" s="195">
        <v>-1052919</v>
      </c>
      <c r="V80" s="193">
        <v>-326954</v>
      </c>
      <c r="W80" s="193">
        <v>-306440</v>
      </c>
      <c r="X80" s="194">
        <v>-166675</v>
      </c>
      <c r="Y80" s="195">
        <v>-228357</v>
      </c>
      <c r="Z80" s="193">
        <v>-212713</v>
      </c>
      <c r="AA80" s="193">
        <v>-211276</v>
      </c>
      <c r="AB80" s="193">
        <v>-56935</v>
      </c>
      <c r="AC80" s="195">
        <v>-868177</v>
      </c>
      <c r="AD80" s="193">
        <v>-754424</v>
      </c>
      <c r="AE80" s="193">
        <v>-710863</v>
      </c>
      <c r="AF80" s="193">
        <v>-271993</v>
      </c>
      <c r="AG80" s="195">
        <v>-736616</v>
      </c>
      <c r="AH80" s="193">
        <v>-611031</v>
      </c>
      <c r="AI80" s="193">
        <v>-349943</v>
      </c>
      <c r="AJ80" s="193">
        <v>-90301</v>
      </c>
      <c r="AK80" s="195">
        <v>-469137</v>
      </c>
      <c r="AL80" s="193">
        <v>-325083</v>
      </c>
      <c r="AM80" s="193">
        <v>-285805</v>
      </c>
      <c r="AN80" s="193">
        <v>-190697</v>
      </c>
      <c r="AO80" s="195">
        <v>-108071</v>
      </c>
    </row>
    <row r="81" spans="1:41">
      <c r="B81" s="201" t="s">
        <v>273</v>
      </c>
      <c r="C81" s="193">
        <v>-194725</v>
      </c>
      <c r="D81" s="194">
        <v>-114020</v>
      </c>
      <c r="E81" s="195">
        <v>-381038</v>
      </c>
      <c r="F81" s="193">
        <v>-295066</v>
      </c>
      <c r="G81" s="193">
        <v>-177434</v>
      </c>
      <c r="H81" s="194">
        <v>-51794.952167881573</v>
      </c>
      <c r="I81" s="195">
        <v>-353092</v>
      </c>
      <c r="J81" s="193">
        <v>-222078</v>
      </c>
      <c r="K81" s="193">
        <v>-118423</v>
      </c>
      <c r="L81" s="194">
        <v>-1738</v>
      </c>
      <c r="M81" s="195">
        <v>-153800</v>
      </c>
      <c r="N81" s="193">
        <v>-80522</v>
      </c>
      <c r="O81" s="193">
        <v>-79304</v>
      </c>
      <c r="P81" s="194">
        <v>-259</v>
      </c>
      <c r="Q81" s="195">
        <v>-145724</v>
      </c>
      <c r="R81" s="193">
        <v>-66510</v>
      </c>
      <c r="S81" s="193">
        <v>-63622</v>
      </c>
      <c r="T81" s="194">
        <v>-5766</v>
      </c>
      <c r="U81" s="195">
        <v>-75525</v>
      </c>
      <c r="V81" s="193">
        <v>-27029</v>
      </c>
      <c r="W81" s="193">
        <v>-20653</v>
      </c>
      <c r="X81" s="194">
        <v>-6446</v>
      </c>
      <c r="Y81" s="195">
        <v>-68743</v>
      </c>
      <c r="Z81" s="193">
        <v>-42182</v>
      </c>
      <c r="AA81" s="193">
        <v>-30771</v>
      </c>
      <c r="AB81" s="193">
        <v>-15373</v>
      </c>
      <c r="AC81" s="195">
        <v>-223890</v>
      </c>
      <c r="AD81" s="193">
        <v>-82990</v>
      </c>
      <c r="AE81" s="193">
        <v>-59793</v>
      </c>
      <c r="AF81" s="193">
        <v>-33344</v>
      </c>
      <c r="AG81" s="195">
        <v>-135521</v>
      </c>
      <c r="AH81" s="193">
        <v>-92107</v>
      </c>
      <c r="AI81" s="193">
        <v>-61286</v>
      </c>
      <c r="AJ81" s="193">
        <v>-23119</v>
      </c>
      <c r="AK81" s="195">
        <v>-109583</v>
      </c>
      <c r="AL81" s="193">
        <v>-55839</v>
      </c>
      <c r="AM81" s="193">
        <v>-44044</v>
      </c>
      <c r="AN81" s="193">
        <v>-9896</v>
      </c>
      <c r="AO81" s="195">
        <v>-82574</v>
      </c>
    </row>
    <row r="82" spans="1:41">
      <c r="B82" s="201" t="s">
        <v>274</v>
      </c>
      <c r="C82" s="193">
        <v>428869</v>
      </c>
      <c r="D82" s="194">
        <v>173022</v>
      </c>
      <c r="E82" s="195">
        <v>1900734</v>
      </c>
      <c r="F82" s="193">
        <v>1727815</v>
      </c>
      <c r="G82" s="193">
        <v>631096</v>
      </c>
      <c r="H82" s="194">
        <v>111288</v>
      </c>
      <c r="I82" s="195">
        <v>1565024</v>
      </c>
      <c r="J82" s="193">
        <v>1350716</v>
      </c>
      <c r="K82" s="193">
        <v>600525</v>
      </c>
      <c r="L82" s="194">
        <v>500000</v>
      </c>
      <c r="M82" s="195">
        <v>750006</v>
      </c>
      <c r="N82" s="193">
        <v>6</v>
      </c>
      <c r="O82" s="193">
        <v>2</v>
      </c>
      <c r="P82" s="194">
        <v>1</v>
      </c>
      <c r="Q82" s="195">
        <v>508</v>
      </c>
      <c r="R82" s="193">
        <v>594</v>
      </c>
      <c r="S82" s="193">
        <v>562</v>
      </c>
      <c r="T82" s="194">
        <v>0</v>
      </c>
      <c r="U82" s="195">
        <v>1050001</v>
      </c>
      <c r="V82" s="193">
        <v>550001</v>
      </c>
      <c r="W82" s="193">
        <v>350001</v>
      </c>
      <c r="X82" s="194">
        <v>0</v>
      </c>
      <c r="Y82" s="195">
        <v>263705</v>
      </c>
      <c r="Z82" s="193">
        <v>272742</v>
      </c>
      <c r="AA82" s="193">
        <v>305290</v>
      </c>
      <c r="AB82" s="193">
        <v>141500</v>
      </c>
      <c r="AC82" s="195">
        <v>512653</v>
      </c>
      <c r="AD82" s="193">
        <v>493224</v>
      </c>
      <c r="AE82" s="193">
        <v>454131</v>
      </c>
      <c r="AF82" s="193">
        <v>162981</v>
      </c>
      <c r="AG82" s="195">
        <v>861759</v>
      </c>
      <c r="AH82" s="193">
        <v>792314</v>
      </c>
      <c r="AI82" s="193">
        <v>725480</v>
      </c>
      <c r="AJ82" s="193">
        <v>620628</v>
      </c>
      <c r="AK82" s="195">
        <v>714900</v>
      </c>
      <c r="AL82" s="193">
        <v>543080</v>
      </c>
      <c r="AM82" s="193">
        <v>291215</v>
      </c>
      <c r="AN82" s="193">
        <v>11167</v>
      </c>
      <c r="AO82" s="195">
        <v>3941</v>
      </c>
    </row>
    <row r="83" spans="1:41">
      <c r="B83" s="201" t="s">
        <v>275</v>
      </c>
      <c r="C83" s="193">
        <v>-227</v>
      </c>
      <c r="D83" s="194">
        <v>-11</v>
      </c>
      <c r="E83" s="195">
        <v>-1319692</v>
      </c>
      <c r="F83" s="193">
        <v>-635552</v>
      </c>
      <c r="G83" s="193">
        <v>-244526</v>
      </c>
      <c r="H83" s="194">
        <v>-140</v>
      </c>
      <c r="I83" s="195">
        <v>-438648</v>
      </c>
      <c r="J83" s="193">
        <v>-145344</v>
      </c>
      <c r="K83" s="193">
        <v>-145266</v>
      </c>
      <c r="L83" s="194">
        <v>-109465</v>
      </c>
      <c r="M83" s="195">
        <v>-345392</v>
      </c>
      <c r="N83" s="193">
        <v>-192181</v>
      </c>
      <c r="O83" s="193">
        <v>-188155</v>
      </c>
      <c r="P83" s="194">
        <v>-125</v>
      </c>
      <c r="Q83" s="195">
        <v>-1355350</v>
      </c>
      <c r="R83" s="193">
        <v>-867247</v>
      </c>
      <c r="S83" s="193">
        <v>-257272</v>
      </c>
      <c r="T83" s="194">
        <v>-13231</v>
      </c>
      <c r="U83" s="195">
        <v>-1365042</v>
      </c>
      <c r="V83" s="193">
        <v>-645509</v>
      </c>
      <c r="W83" s="193">
        <v>-352710</v>
      </c>
      <c r="X83" s="194">
        <v>-144</v>
      </c>
      <c r="Y83" s="195">
        <v>-110562</v>
      </c>
      <c r="Z83" s="193">
        <v>-40163</v>
      </c>
      <c r="AA83" s="193">
        <v>-40159</v>
      </c>
      <c r="AB83" s="193">
        <v>-61</v>
      </c>
      <c r="AC83" s="195">
        <v>-24985</v>
      </c>
      <c r="AD83" s="193">
        <v>-24842</v>
      </c>
      <c r="AE83" s="193">
        <v>-24879</v>
      </c>
      <c r="AF83" s="193">
        <v>-109</v>
      </c>
      <c r="AG83" s="195">
        <v>-206961</v>
      </c>
      <c r="AH83" s="193">
        <v>-89162</v>
      </c>
      <c r="AI83" s="193">
        <v>-89115</v>
      </c>
      <c r="AJ83" s="193">
        <v>-106</v>
      </c>
      <c r="AK83" s="195">
        <v>-387365</v>
      </c>
      <c r="AL83" s="193">
        <v>-288944</v>
      </c>
      <c r="AM83" s="193">
        <v>-29199</v>
      </c>
      <c r="AN83" s="193">
        <v>-1</v>
      </c>
      <c r="AO83" s="195">
        <v>-23838</v>
      </c>
    </row>
    <row r="84" spans="1:41">
      <c r="B84" s="201" t="s">
        <v>335</v>
      </c>
      <c r="C84" s="193">
        <v>0</v>
      </c>
      <c r="D84" s="194">
        <v>0</v>
      </c>
      <c r="E84" s="195">
        <v>-62748</v>
      </c>
      <c r="F84" s="193">
        <v>-62748</v>
      </c>
      <c r="G84" s="193">
        <v>-52708</v>
      </c>
      <c r="H84" s="194">
        <v>-24842</v>
      </c>
      <c r="I84" s="195">
        <v>-62223</v>
      </c>
      <c r="J84" s="193">
        <v>-21085</v>
      </c>
      <c r="K84" s="193">
        <v>-17637</v>
      </c>
      <c r="L84" s="194">
        <v>-17637</v>
      </c>
      <c r="M84" s="195">
        <v>-1582</v>
      </c>
      <c r="N84" s="193">
        <v>-1582</v>
      </c>
      <c r="O84" s="193">
        <v>-1582</v>
      </c>
      <c r="P84" s="194">
        <v>0</v>
      </c>
      <c r="Q84" s="195">
        <v>-43824</v>
      </c>
      <c r="R84" s="193">
        <v>-43824</v>
      </c>
      <c r="S84" s="193">
        <v>-29400</v>
      </c>
      <c r="T84" s="194">
        <v>0</v>
      </c>
      <c r="U84" s="195">
        <v>-248</v>
      </c>
      <c r="V84" s="193">
        <v>-248</v>
      </c>
      <c r="W84" s="193">
        <v>-248</v>
      </c>
      <c r="X84" s="194">
        <v>-248</v>
      </c>
      <c r="Y84" s="195">
        <v>-144201</v>
      </c>
      <c r="Z84" s="193">
        <v>-143019</v>
      </c>
      <c r="AA84" s="193">
        <v>-89110</v>
      </c>
      <c r="AB84" s="193">
        <v>-76205</v>
      </c>
      <c r="AC84" s="195">
        <v>-112429</v>
      </c>
      <c r="AD84" s="193">
        <v>-102251</v>
      </c>
      <c r="AE84" s="193">
        <v>-52116</v>
      </c>
      <c r="AF84" s="193">
        <v>-23554</v>
      </c>
      <c r="AG84" s="195">
        <v>-18342</v>
      </c>
      <c r="AH84" s="193"/>
      <c r="AI84" s="193"/>
      <c r="AJ84" s="193"/>
      <c r="AK84" s="195"/>
      <c r="AL84" s="193"/>
      <c r="AM84" s="193"/>
      <c r="AN84" s="193"/>
      <c r="AO84" s="195"/>
    </row>
    <row r="85" spans="1:41">
      <c r="B85" s="201" t="s">
        <v>411</v>
      </c>
      <c r="C85" s="193">
        <v>-612</v>
      </c>
      <c r="D85" s="194">
        <v>-257</v>
      </c>
      <c r="E85" s="195">
        <v>-1681</v>
      </c>
      <c r="F85" s="193">
        <v>-1231</v>
      </c>
      <c r="G85" s="193">
        <v>-805</v>
      </c>
      <c r="H85" s="194">
        <v>-395</v>
      </c>
      <c r="I85" s="195">
        <v>-1240</v>
      </c>
      <c r="J85" s="193">
        <v>-789</v>
      </c>
      <c r="K85" s="193">
        <v>-540</v>
      </c>
      <c r="L85" s="194">
        <v>-249</v>
      </c>
      <c r="M85" s="195">
        <v>-190</v>
      </c>
      <c r="N85" s="193">
        <v>0</v>
      </c>
      <c r="O85" s="193">
        <v>0</v>
      </c>
      <c r="P85" s="194">
        <v>0</v>
      </c>
      <c r="Q85" s="195">
        <v>0</v>
      </c>
      <c r="R85" s="193">
        <v>0</v>
      </c>
      <c r="S85" s="193">
        <v>0</v>
      </c>
      <c r="T85" s="194">
        <v>0</v>
      </c>
      <c r="U85" s="195">
        <v>0</v>
      </c>
      <c r="V85" s="193">
        <v>0</v>
      </c>
      <c r="W85" s="193">
        <v>0</v>
      </c>
      <c r="X85" s="194">
        <v>0</v>
      </c>
      <c r="Y85" s="195">
        <v>0</v>
      </c>
      <c r="Z85" s="193">
        <v>0</v>
      </c>
      <c r="AA85" s="193">
        <v>0</v>
      </c>
      <c r="AB85" s="193">
        <v>0</v>
      </c>
      <c r="AC85" s="195">
        <v>0</v>
      </c>
      <c r="AD85" s="193">
        <v>0</v>
      </c>
      <c r="AE85" s="193">
        <v>0</v>
      </c>
      <c r="AF85" s="193">
        <v>0</v>
      </c>
      <c r="AG85" s="195">
        <v>0</v>
      </c>
      <c r="AH85" s="193">
        <v>0</v>
      </c>
      <c r="AI85" s="193">
        <v>0</v>
      </c>
      <c r="AJ85" s="193">
        <v>0</v>
      </c>
      <c r="AK85" s="195">
        <v>0</v>
      </c>
      <c r="AL85" s="193">
        <v>0</v>
      </c>
      <c r="AM85" s="193">
        <v>0</v>
      </c>
      <c r="AN85" s="193">
        <v>0</v>
      </c>
      <c r="AO85" s="195">
        <v>0</v>
      </c>
    </row>
    <row r="86" spans="1:41">
      <c r="B86" s="201" t="s">
        <v>412</v>
      </c>
      <c r="C86" s="193">
        <v>-760</v>
      </c>
      <c r="D86" s="194">
        <v>-364</v>
      </c>
      <c r="E86" s="195">
        <v>-1561</v>
      </c>
      <c r="F86" s="193">
        <v>-1188</v>
      </c>
      <c r="G86" s="193">
        <v>-805</v>
      </c>
      <c r="H86" s="194">
        <v>-408</v>
      </c>
      <c r="I86" s="195">
        <v>-1551</v>
      </c>
      <c r="J86" s="193">
        <v>-1232</v>
      </c>
      <c r="K86" s="193">
        <v>-847</v>
      </c>
      <c r="L86" s="194">
        <v>-413</v>
      </c>
      <c r="M86" s="195">
        <v>-184</v>
      </c>
      <c r="N86" s="193">
        <v>0</v>
      </c>
      <c r="O86" s="193">
        <v>0</v>
      </c>
      <c r="P86" s="194">
        <v>0</v>
      </c>
      <c r="Q86" s="195">
        <v>0</v>
      </c>
      <c r="R86" s="193">
        <v>0</v>
      </c>
      <c r="S86" s="193">
        <v>0</v>
      </c>
      <c r="T86" s="194">
        <v>0</v>
      </c>
      <c r="U86" s="195">
        <v>0</v>
      </c>
      <c r="V86" s="193">
        <v>0</v>
      </c>
      <c r="W86" s="193">
        <v>0</v>
      </c>
      <c r="X86" s="194">
        <v>0</v>
      </c>
      <c r="Y86" s="195">
        <v>0</v>
      </c>
      <c r="Z86" s="193">
        <v>0</v>
      </c>
      <c r="AA86" s="193">
        <v>0</v>
      </c>
      <c r="AB86" s="193">
        <v>0</v>
      </c>
      <c r="AC86" s="195">
        <v>0</v>
      </c>
      <c r="AD86" s="193">
        <v>0</v>
      </c>
      <c r="AE86" s="193">
        <v>0</v>
      </c>
      <c r="AF86" s="193">
        <v>0</v>
      </c>
      <c r="AG86" s="195">
        <v>0</v>
      </c>
      <c r="AH86" s="193">
        <v>0</v>
      </c>
      <c r="AI86" s="193">
        <v>0</v>
      </c>
      <c r="AJ86" s="193">
        <v>0</v>
      </c>
      <c r="AK86" s="195">
        <v>0</v>
      </c>
      <c r="AL86" s="193">
        <v>0</v>
      </c>
      <c r="AM86" s="193">
        <v>0</v>
      </c>
      <c r="AN86" s="193">
        <v>0</v>
      </c>
      <c r="AO86" s="195">
        <v>0</v>
      </c>
    </row>
    <row r="87" spans="1:41" ht="15">
      <c r="A87" s="196"/>
      <c r="B87" s="201" t="s">
        <v>305</v>
      </c>
      <c r="C87" s="193">
        <v>0</v>
      </c>
      <c r="D87" s="194">
        <v>0</v>
      </c>
      <c r="E87" s="195">
        <v>0</v>
      </c>
      <c r="F87" s="193">
        <v>0</v>
      </c>
      <c r="G87" s="193">
        <v>0</v>
      </c>
      <c r="H87" s="194">
        <v>0</v>
      </c>
      <c r="I87" s="195">
        <v>0</v>
      </c>
      <c r="J87" s="193">
        <v>0</v>
      </c>
      <c r="K87" s="193">
        <v>0</v>
      </c>
      <c r="L87" s="194">
        <v>0</v>
      </c>
      <c r="M87" s="195">
        <v>0</v>
      </c>
      <c r="N87" s="193">
        <v>0</v>
      </c>
      <c r="O87" s="193">
        <v>0</v>
      </c>
      <c r="P87" s="194">
        <v>0</v>
      </c>
      <c r="Q87" s="195">
        <v>0</v>
      </c>
      <c r="R87" s="193">
        <v>0</v>
      </c>
      <c r="S87" s="193">
        <v>0</v>
      </c>
      <c r="T87" s="194">
        <v>0</v>
      </c>
      <c r="U87" s="195">
        <v>0</v>
      </c>
      <c r="V87" s="193">
        <v>0</v>
      </c>
      <c r="W87" s="193">
        <v>0</v>
      </c>
      <c r="X87" s="194">
        <v>0</v>
      </c>
      <c r="Y87" s="195">
        <v>0</v>
      </c>
      <c r="Z87" s="193">
        <v>0</v>
      </c>
      <c r="AA87" s="193">
        <v>0</v>
      </c>
      <c r="AB87" s="193">
        <v>0</v>
      </c>
      <c r="AC87" s="195">
        <v>-38152</v>
      </c>
      <c r="AD87" s="193"/>
      <c r="AE87" s="193">
        <v>0</v>
      </c>
      <c r="AF87" s="193">
        <v>0</v>
      </c>
      <c r="AG87" s="195">
        <v>0</v>
      </c>
      <c r="AH87" s="193">
        <v>0</v>
      </c>
      <c r="AI87" s="193">
        <v>0</v>
      </c>
      <c r="AJ87" s="193">
        <v>0</v>
      </c>
      <c r="AK87" s="195">
        <v>0</v>
      </c>
      <c r="AL87" s="193">
        <v>0</v>
      </c>
      <c r="AM87" s="193">
        <v>0</v>
      </c>
      <c r="AN87" s="193">
        <v>1108</v>
      </c>
      <c r="AO87" s="195">
        <v>0</v>
      </c>
    </row>
    <row r="88" spans="1:41" ht="15.75" thickBot="1">
      <c r="A88" s="196"/>
      <c r="B88" s="197" t="s">
        <v>276</v>
      </c>
      <c r="C88" s="198">
        <f t="shared" ref="C88" si="70">SUM(C80:C87)</f>
        <v>-39781</v>
      </c>
      <c r="D88" s="199">
        <f t="shared" ref="D88" si="71">SUM(D80:D87)</f>
        <v>-21350</v>
      </c>
      <c r="E88" s="200">
        <f t="shared" ref="E88" si="72">SUM(E80:E87)</f>
        <v>-585189</v>
      </c>
      <c r="F88" s="198">
        <f t="shared" ref="F88:G88" si="73">SUM(F80:F87)</f>
        <v>21943</v>
      </c>
      <c r="G88" s="198">
        <f t="shared" si="73"/>
        <v>27325</v>
      </c>
      <c r="H88" s="199">
        <f t="shared" ref="H88" si="74">SUM(H80:H87)</f>
        <v>32058.047832118427</v>
      </c>
      <c r="I88" s="200">
        <f t="shared" ref="I88" si="75">SUM(I80:I87)</f>
        <v>-558095</v>
      </c>
      <c r="J88" s="198">
        <f t="shared" ref="J88" si="76">SUM(J80:J87)</f>
        <v>328377</v>
      </c>
      <c r="K88" s="198">
        <f t="shared" ref="K88" si="77">SUM(K80:K87)</f>
        <v>128499.95415320568</v>
      </c>
      <c r="L88" s="199">
        <f t="shared" ref="L88" si="78">SUM(L80:L87)</f>
        <v>368441</v>
      </c>
      <c r="M88" s="200">
        <f t="shared" ref="M88" si="79">SUM(M80:M87)</f>
        <v>158863</v>
      </c>
      <c r="N88" s="198">
        <f t="shared" ref="N88" si="80">SUM(N80:N87)</f>
        <v>-363305</v>
      </c>
      <c r="O88" s="198">
        <f t="shared" ref="O88" si="81">SUM(O80:O87)</f>
        <v>-350114</v>
      </c>
      <c r="P88" s="199">
        <f t="shared" ref="P88" si="82">SUM(P80:P87)</f>
        <v>-1345</v>
      </c>
      <c r="Q88" s="200">
        <f>SUM(Q80:Q87)</f>
        <v>-1673236</v>
      </c>
      <c r="R88" s="198">
        <f>SUM(R80:R87)</f>
        <v>-1092834</v>
      </c>
      <c r="S88" s="198">
        <f>SUM(S80:S87)</f>
        <v>-445814</v>
      </c>
      <c r="T88" s="199">
        <f t="shared" ref="T88" si="83">SUM(T80:T87)</f>
        <v>-101995</v>
      </c>
      <c r="U88" s="200">
        <f t="shared" ref="U88" si="84">SUM(U80:U87)</f>
        <v>-1443733</v>
      </c>
      <c r="V88" s="198">
        <f>SUM(V80:V87)</f>
        <v>-449739</v>
      </c>
      <c r="W88" s="198">
        <f>SUM(W80:W87)</f>
        <v>-330050</v>
      </c>
      <c r="X88" s="199">
        <f t="shared" ref="X88" si="85">SUM(X80:X87)</f>
        <v>-173513</v>
      </c>
      <c r="Y88" s="200">
        <f t="shared" ref="Y88" si="86">SUM(Y80:Y87)</f>
        <v>-288158</v>
      </c>
      <c r="Z88" s="198">
        <f t="shared" ref="Z88:AA88" si="87">SUM(Z80:Z87)</f>
        <v>-165335</v>
      </c>
      <c r="AA88" s="198">
        <f t="shared" si="87"/>
        <v>-66026</v>
      </c>
      <c r="AB88" s="198">
        <f t="shared" ref="AB88" si="88">SUM(AB80:AB87)</f>
        <v>-7074</v>
      </c>
      <c r="AC88" s="200">
        <f t="shared" ref="AC88" si="89">SUM(AC80:AC87)</f>
        <v>-754980</v>
      </c>
      <c r="AD88" s="198">
        <f t="shared" ref="AD88" si="90">SUM(AD80:AD87)</f>
        <v>-471283</v>
      </c>
      <c r="AE88" s="198">
        <f t="shared" ref="AE88:AI88" si="91">SUM(AE80:AE87)</f>
        <v>-393520</v>
      </c>
      <c r="AF88" s="198">
        <f t="shared" si="91"/>
        <v>-166019</v>
      </c>
      <c r="AG88" s="200">
        <f t="shared" si="91"/>
        <v>-235681</v>
      </c>
      <c r="AH88" s="198">
        <f t="shared" si="91"/>
        <v>14</v>
      </c>
      <c r="AI88" s="198">
        <f t="shared" si="91"/>
        <v>225136</v>
      </c>
      <c r="AJ88" s="198">
        <v>507102</v>
      </c>
      <c r="AK88" s="200">
        <v>-251185</v>
      </c>
      <c r="AL88" s="198">
        <v>-126786</v>
      </c>
      <c r="AM88" s="198">
        <v>-67833</v>
      </c>
      <c r="AN88" s="198">
        <v>-188319</v>
      </c>
      <c r="AO88" s="200">
        <v>-210542</v>
      </c>
    </row>
    <row r="89" spans="1:41" ht="9" customHeight="1" thickTop="1">
      <c r="B89" s="201"/>
      <c r="C89" s="193"/>
      <c r="D89" s="194"/>
      <c r="E89" s="195"/>
      <c r="F89" s="193"/>
      <c r="G89" s="193"/>
      <c r="H89" s="194"/>
      <c r="I89" s="195"/>
      <c r="J89" s="193"/>
      <c r="K89" s="193"/>
      <c r="L89" s="194"/>
      <c r="M89" s="195"/>
      <c r="N89" s="193"/>
      <c r="O89" s="193"/>
      <c r="P89" s="194"/>
      <c r="Q89" s="195"/>
      <c r="R89" s="193"/>
      <c r="S89" s="193"/>
      <c r="T89" s="194"/>
      <c r="U89" s="195"/>
      <c r="V89" s="193"/>
      <c r="W89" s="193"/>
      <c r="X89" s="194"/>
      <c r="Y89" s="195"/>
      <c r="Z89" s="193"/>
      <c r="AA89" s="193"/>
      <c r="AB89" s="193"/>
      <c r="AC89" s="195"/>
      <c r="AD89" s="193"/>
      <c r="AE89" s="193"/>
      <c r="AF89" s="193"/>
      <c r="AG89" s="195"/>
      <c r="AH89" s="193"/>
      <c r="AI89" s="193"/>
      <c r="AJ89" s="193"/>
      <c r="AK89" s="195"/>
      <c r="AL89" s="193"/>
      <c r="AM89" s="193"/>
      <c r="AN89" s="193"/>
      <c r="AO89" s="195"/>
    </row>
    <row r="90" spans="1:41" ht="15">
      <c r="A90" s="196"/>
      <c r="B90" s="251" t="s">
        <v>284</v>
      </c>
      <c r="C90" s="211">
        <v>7182</v>
      </c>
      <c r="D90" s="212">
        <v>72</v>
      </c>
      <c r="E90" s="213">
        <v>-37486</v>
      </c>
      <c r="F90" s="211">
        <v>34815</v>
      </c>
      <c r="G90" s="211">
        <v>21960.914314916125</v>
      </c>
      <c r="H90" s="212">
        <v>10620</v>
      </c>
      <c r="I90" s="213">
        <v>-9860</v>
      </c>
      <c r="J90" s="211">
        <v>-13867</v>
      </c>
      <c r="K90" s="211">
        <v>-2880</v>
      </c>
      <c r="L90" s="212">
        <v>-5964</v>
      </c>
      <c r="M90" s="213">
        <v>-75233</v>
      </c>
      <c r="N90" s="211">
        <v>-57084</v>
      </c>
      <c r="O90" s="211">
        <v>-41407</v>
      </c>
      <c r="P90" s="212">
        <v>-19482</v>
      </c>
      <c r="Q90" s="213">
        <v>-233332</v>
      </c>
      <c r="R90" s="211">
        <v>-156952</v>
      </c>
      <c r="S90" s="211">
        <v>-110728</v>
      </c>
      <c r="T90" s="212">
        <v>-101194</v>
      </c>
      <c r="U90" s="213">
        <v>-25666</v>
      </c>
      <c r="V90" s="211">
        <v>-18871</v>
      </c>
      <c r="W90" s="211">
        <v>-22043</v>
      </c>
      <c r="X90" s="212">
        <v>-1814</v>
      </c>
      <c r="Y90" s="213">
        <v>-6089</v>
      </c>
      <c r="Z90" s="211">
        <v>-6682</v>
      </c>
      <c r="AA90" s="211">
        <v>11701</v>
      </c>
      <c r="AB90" s="211">
        <v>-3043</v>
      </c>
      <c r="AC90" s="213">
        <v>107838</v>
      </c>
      <c r="AD90" s="211">
        <v>-14376</v>
      </c>
      <c r="AE90" s="211">
        <v>-900</v>
      </c>
      <c r="AF90" s="211">
        <v>-7588</v>
      </c>
      <c r="AG90" s="213">
        <v>2719</v>
      </c>
      <c r="AH90" s="211">
        <v>-15366</v>
      </c>
      <c r="AI90" s="211">
        <v>-8645</v>
      </c>
      <c r="AJ90" s="211">
        <v>-141</v>
      </c>
      <c r="AK90" s="213">
        <v>-8935</v>
      </c>
      <c r="AL90" s="211">
        <v>-6651</v>
      </c>
      <c r="AM90" s="211">
        <v>-1717</v>
      </c>
      <c r="AN90" s="211">
        <v>0</v>
      </c>
      <c r="AO90" s="213">
        <v>0</v>
      </c>
    </row>
    <row r="91" spans="1:41" ht="15">
      <c r="A91" s="196"/>
      <c r="B91" s="251" t="s">
        <v>277</v>
      </c>
      <c r="C91" s="211">
        <f t="shared" ref="C91" si="92">C65+C78+C88+C90</f>
        <v>115480</v>
      </c>
      <c r="D91" s="212">
        <f t="shared" ref="D91" si="93">D65+D78+D88+D90</f>
        <v>132662</v>
      </c>
      <c r="E91" s="213">
        <f t="shared" ref="E91" si="94">E65+E78+E88+E90</f>
        <v>-325071</v>
      </c>
      <c r="F91" s="211">
        <f t="shared" ref="F91:G91" si="95">F65+F78+F88+F90</f>
        <v>232042</v>
      </c>
      <c r="G91" s="211">
        <f t="shared" si="95"/>
        <v>290289.54847000004</v>
      </c>
      <c r="H91" s="212">
        <f t="shared" ref="H91" si="96">H65+H78+H88+H90</f>
        <v>-71470.059015489387</v>
      </c>
      <c r="I91" s="213">
        <f t="shared" ref="I91" si="97">I65+I78+I88+I90</f>
        <v>-497862</v>
      </c>
      <c r="J91" s="211">
        <f t="shared" ref="J91" si="98">J65+J78+J88+J90</f>
        <v>-220359.00162188709</v>
      </c>
      <c r="K91" s="211">
        <f t="shared" ref="K91" si="99">K65+K78+K88+K90</f>
        <v>195600.52111638541</v>
      </c>
      <c r="L91" s="212">
        <f t="shared" ref="L91" si="100">L65+L78+L88+L90</f>
        <v>533025</v>
      </c>
      <c r="M91" s="213">
        <f t="shared" ref="M91" si="101">M65+M78+M88+M90</f>
        <v>941082</v>
      </c>
      <c r="N91" s="211">
        <f t="shared" ref="N91" si="102">N65+N78+N88+N90</f>
        <v>467687</v>
      </c>
      <c r="O91" s="211">
        <f t="shared" ref="O91" si="103">O65+O78+O88+O90</f>
        <v>392894.00000000023</v>
      </c>
      <c r="P91" s="212">
        <f t="shared" ref="P91:Q91" si="104">P65+P78+P88+P90</f>
        <v>699342</v>
      </c>
      <c r="Q91" s="213">
        <f t="shared" si="104"/>
        <v>70945</v>
      </c>
      <c r="R91" s="211">
        <f>R65+R78+R88+R90</f>
        <v>83839</v>
      </c>
      <c r="S91" s="211">
        <f>S65+S78+S88+S90</f>
        <v>216481</v>
      </c>
      <c r="T91" s="212">
        <f t="shared" ref="T91" si="105">T65+T78+T88+T90</f>
        <v>-505</v>
      </c>
      <c r="U91" s="213">
        <f>U65+U78+U88+U90</f>
        <v>-593675</v>
      </c>
      <c r="V91" s="211">
        <f>V65+V78+V88+V90</f>
        <v>-100475</v>
      </c>
      <c r="W91" s="211">
        <f t="shared" ref="W91:X91" si="106">W65+W78+W88+W90</f>
        <v>-164502</v>
      </c>
      <c r="X91" s="212">
        <f t="shared" si="106"/>
        <v>-79264.700469999982</v>
      </c>
      <c r="Y91" s="213">
        <f t="shared" ref="Y91" si="107">Y65+Y78+Y88+Y90</f>
        <v>623327</v>
      </c>
      <c r="Z91" s="211">
        <f t="shared" ref="Z91" si="108">Z65+Z78+Z88+Z90</f>
        <v>565725</v>
      </c>
      <c r="AA91" s="211">
        <f t="shared" ref="AA91" si="109">AA65+AA78+AA88+AA90</f>
        <v>441568</v>
      </c>
      <c r="AB91" s="211">
        <f t="shared" ref="AB91" si="110">AB65+AB78+AB88+AB90</f>
        <v>134847</v>
      </c>
      <c r="AC91" s="213">
        <f t="shared" ref="AC91" si="111">AC65+AC78+AC88+AC90</f>
        <v>99983</v>
      </c>
      <c r="AD91" s="211">
        <f t="shared" ref="AD91" si="112">AD65+AD78+AD88+AD90</f>
        <v>-30803</v>
      </c>
      <c r="AE91" s="211">
        <f t="shared" ref="AE91:AI91" si="113">AE65+AE78+AE88+AE90</f>
        <v>62306</v>
      </c>
      <c r="AF91" s="211">
        <f t="shared" si="113"/>
        <v>66860</v>
      </c>
      <c r="AG91" s="213">
        <f t="shared" si="113"/>
        <v>122983</v>
      </c>
      <c r="AH91" s="211">
        <f t="shared" si="113"/>
        <v>225374</v>
      </c>
      <c r="AI91" s="211">
        <f t="shared" si="113"/>
        <v>62275</v>
      </c>
      <c r="AJ91" s="211">
        <v>151716</v>
      </c>
      <c r="AK91" s="213">
        <v>-304787</v>
      </c>
      <c r="AL91" s="211">
        <v>-315873</v>
      </c>
      <c r="AM91" s="211">
        <v>-84288</v>
      </c>
      <c r="AN91" s="211">
        <v>-213255</v>
      </c>
      <c r="AO91" s="213">
        <v>256397</v>
      </c>
    </row>
    <row r="92" spans="1:41">
      <c r="B92" s="202" t="s">
        <v>279</v>
      </c>
      <c r="C92" s="193">
        <f>E93</f>
        <v>520271</v>
      </c>
      <c r="D92" s="194">
        <v>520271</v>
      </c>
      <c r="E92" s="195">
        <v>845342</v>
      </c>
      <c r="F92" s="193">
        <v>845342</v>
      </c>
      <c r="G92" s="193">
        <v>845342</v>
      </c>
      <c r="H92" s="194">
        <v>845342</v>
      </c>
      <c r="I92" s="195">
        <v>1343204</v>
      </c>
      <c r="J92" s="193">
        <v>1343204</v>
      </c>
      <c r="K92" s="193">
        <v>1343204</v>
      </c>
      <c r="L92" s="194">
        <v>1343204</v>
      </c>
      <c r="M92" s="195">
        <v>402122</v>
      </c>
      <c r="N92" s="193">
        <v>402122</v>
      </c>
      <c r="O92" s="193">
        <v>402122</v>
      </c>
      <c r="P92" s="194">
        <v>402122</v>
      </c>
      <c r="Q92" s="195">
        <v>331177</v>
      </c>
      <c r="R92" s="193">
        <f>S92</f>
        <v>331177</v>
      </c>
      <c r="S92" s="193">
        <v>331177</v>
      </c>
      <c r="T92" s="194">
        <v>331177</v>
      </c>
      <c r="U92" s="195">
        <f>V92</f>
        <v>924852</v>
      </c>
      <c r="V92" s="193">
        <v>924852</v>
      </c>
      <c r="W92" s="193">
        <v>924852</v>
      </c>
      <c r="X92" s="194">
        <v>924852</v>
      </c>
      <c r="Y92" s="195">
        <f>Z92</f>
        <v>301525</v>
      </c>
      <c r="Z92" s="193">
        <v>301525</v>
      </c>
      <c r="AA92" s="193">
        <v>301525</v>
      </c>
      <c r="AB92" s="193">
        <v>301525</v>
      </c>
      <c r="AC92" s="195">
        <f>AD92</f>
        <v>201542</v>
      </c>
      <c r="AD92" s="193">
        <f>AE92</f>
        <v>201542</v>
      </c>
      <c r="AE92" s="193">
        <f>AF92</f>
        <v>201542</v>
      </c>
      <c r="AF92" s="193">
        <v>201542</v>
      </c>
      <c r="AG92" s="195">
        <v>78559</v>
      </c>
      <c r="AH92" s="193">
        <v>78559</v>
      </c>
      <c r="AI92" s="193">
        <v>78559</v>
      </c>
      <c r="AJ92" s="193">
        <v>78559</v>
      </c>
      <c r="AK92" s="195">
        <v>383346</v>
      </c>
      <c r="AL92" s="193">
        <v>383346</v>
      </c>
      <c r="AM92" s="193">
        <v>383346</v>
      </c>
      <c r="AN92" s="193">
        <v>383346</v>
      </c>
      <c r="AO92" s="195">
        <v>126949</v>
      </c>
    </row>
    <row r="93" spans="1:41" ht="15">
      <c r="A93" s="196"/>
      <c r="B93" s="251" t="s">
        <v>278</v>
      </c>
      <c r="C93" s="211">
        <f>C91+C92</f>
        <v>635751</v>
      </c>
      <c r="D93" s="212">
        <f t="shared" ref="D93" si="114">D91+D92</f>
        <v>652933</v>
      </c>
      <c r="E93" s="213">
        <f t="shared" ref="E93" si="115">E91+E92</f>
        <v>520271</v>
      </c>
      <c r="F93" s="211">
        <f>F91+F92</f>
        <v>1077384</v>
      </c>
      <c r="G93" s="211">
        <f>G91+G92</f>
        <v>1135631.54847</v>
      </c>
      <c r="H93" s="212">
        <f t="shared" ref="H93" si="116">H91+H92</f>
        <v>773871.94098451058</v>
      </c>
      <c r="I93" s="213">
        <f t="shared" ref="I93" si="117">I91+I92</f>
        <v>845342</v>
      </c>
      <c r="J93" s="211">
        <f>J91+J92</f>
        <v>1122844.9983781129</v>
      </c>
      <c r="K93" s="211">
        <f>K91+K92</f>
        <v>1538804.5211163855</v>
      </c>
      <c r="L93" s="212">
        <f t="shared" ref="L93" si="118">L91+L92</f>
        <v>1876229</v>
      </c>
      <c r="M93" s="213">
        <f t="shared" ref="M93" si="119">M91+M92</f>
        <v>1343204</v>
      </c>
      <c r="N93" s="211">
        <f t="shared" ref="N93" si="120">N91+N92</f>
        <v>869809</v>
      </c>
      <c r="O93" s="211">
        <f t="shared" ref="O93" si="121">O91+O92</f>
        <v>795016.00000000023</v>
      </c>
      <c r="P93" s="212">
        <f t="shared" ref="P93" si="122">P91+P92</f>
        <v>1101464</v>
      </c>
      <c r="Q93" s="213">
        <f>Q91+Q92</f>
        <v>402122</v>
      </c>
      <c r="R93" s="211">
        <f>R91+R92</f>
        <v>415016</v>
      </c>
      <c r="S93" s="211">
        <f>S91+S92</f>
        <v>547658</v>
      </c>
      <c r="T93" s="212">
        <f t="shared" ref="T93" si="123">T91+T92</f>
        <v>330672</v>
      </c>
      <c r="U93" s="213">
        <f>U91+U92</f>
        <v>331177</v>
      </c>
      <c r="V93" s="211">
        <f t="shared" ref="V93:X93" si="124">V91+V92</f>
        <v>824377</v>
      </c>
      <c r="W93" s="211">
        <f t="shared" si="124"/>
        <v>760350</v>
      </c>
      <c r="X93" s="212">
        <f t="shared" si="124"/>
        <v>845587.29952999996</v>
      </c>
      <c r="Y93" s="213">
        <f t="shared" ref="Y93" si="125">Y91+Y92</f>
        <v>924852</v>
      </c>
      <c r="Z93" s="211">
        <f t="shared" ref="Z93" si="126">Z91+Z92</f>
        <v>867250</v>
      </c>
      <c r="AA93" s="211">
        <f t="shared" ref="AA93" si="127">AA91+AA92</f>
        <v>743093</v>
      </c>
      <c r="AB93" s="211">
        <f t="shared" ref="AB93" si="128">AB91+AB92</f>
        <v>436372</v>
      </c>
      <c r="AC93" s="213">
        <f t="shared" ref="AC93" si="129">AC91+AC92</f>
        <v>301525</v>
      </c>
      <c r="AD93" s="211">
        <f t="shared" ref="AD93" si="130">AD91+AD92</f>
        <v>170739</v>
      </c>
      <c r="AE93" s="211">
        <f t="shared" ref="AE93:AI93" si="131">AE91+AE92</f>
        <v>263848</v>
      </c>
      <c r="AF93" s="211">
        <f t="shared" si="131"/>
        <v>268402</v>
      </c>
      <c r="AG93" s="213">
        <f t="shared" si="131"/>
        <v>201542</v>
      </c>
      <c r="AH93" s="211">
        <f t="shared" si="131"/>
        <v>303933</v>
      </c>
      <c r="AI93" s="211">
        <f t="shared" si="131"/>
        <v>140834</v>
      </c>
      <c r="AJ93" s="211">
        <v>230275</v>
      </c>
      <c r="AK93" s="213">
        <v>78559</v>
      </c>
      <c r="AL93" s="211">
        <v>67473</v>
      </c>
      <c r="AM93" s="211">
        <v>299058</v>
      </c>
      <c r="AN93" s="211">
        <v>170091</v>
      </c>
      <c r="AO93" s="213">
        <v>383346</v>
      </c>
    </row>
    <row r="94" spans="1:41" ht="12.75">
      <c r="A94" s="252"/>
      <c r="B94" s="252"/>
      <c r="C94" s="252"/>
      <c r="D94" s="252"/>
      <c r="E94" s="252"/>
      <c r="F94" s="252"/>
      <c r="G94" s="252"/>
      <c r="H94" s="252"/>
      <c r="I94" s="252"/>
      <c r="J94" s="252"/>
      <c r="K94" s="252"/>
      <c r="L94" s="252"/>
      <c r="M94" s="252"/>
      <c r="N94" s="252"/>
      <c r="O94" s="252"/>
      <c r="P94" s="252"/>
      <c r="Q94" s="252"/>
      <c r="R94" s="252"/>
      <c r="S94" s="252"/>
      <c r="T94" s="252"/>
      <c r="U94" s="252"/>
      <c r="V94" s="252"/>
      <c r="W94" s="252"/>
      <c r="X94" s="252"/>
      <c r="Y94" s="252"/>
      <c r="Z94" s="252"/>
      <c r="AA94" s="252"/>
      <c r="AB94" s="252"/>
      <c r="AC94" s="252"/>
      <c r="AD94" s="252"/>
      <c r="AE94" s="252"/>
      <c r="AF94" s="252"/>
      <c r="AG94" s="252"/>
      <c r="AH94" s="252"/>
      <c r="AI94" s="253"/>
      <c r="AJ94" s="253"/>
      <c r="AK94" s="252"/>
      <c r="AL94" s="253"/>
      <c r="AM94" s="253"/>
      <c r="AN94" s="253"/>
      <c r="AO94" s="252"/>
    </row>
    <row r="95" spans="1:41" ht="12.75">
      <c r="A95" s="252"/>
      <c r="B95" s="252"/>
      <c r="C95" s="252"/>
      <c r="D95" s="252"/>
      <c r="E95" s="252"/>
      <c r="F95" s="252"/>
      <c r="G95" s="252"/>
      <c r="H95" s="252"/>
      <c r="I95" s="252"/>
      <c r="J95" s="252"/>
      <c r="K95" s="252"/>
      <c r="L95" s="252"/>
      <c r="M95" s="252"/>
      <c r="N95" s="252"/>
      <c r="O95" s="252"/>
      <c r="P95" s="252"/>
      <c r="Q95" s="252"/>
      <c r="R95" s="252"/>
      <c r="S95" s="252"/>
      <c r="T95" s="252"/>
      <c r="U95" s="252"/>
      <c r="V95" s="252"/>
      <c r="W95" s="252"/>
      <c r="X95" s="252"/>
      <c r="Y95" s="252"/>
      <c r="Z95" s="252"/>
      <c r="AA95" s="252"/>
      <c r="AB95" s="252"/>
      <c r="AC95" s="252"/>
      <c r="AD95" s="252"/>
      <c r="AE95" s="252"/>
      <c r="AF95" s="252"/>
      <c r="AG95" s="252"/>
      <c r="AH95" s="252"/>
      <c r="AI95" s="254"/>
      <c r="AJ95" s="254"/>
      <c r="AK95" s="252"/>
      <c r="AL95" s="254"/>
      <c r="AM95" s="254"/>
      <c r="AN95" s="254"/>
      <c r="AO95" s="252"/>
    </row>
  </sheetData>
  <mergeCells count="41">
    <mergeCell ref="M10:M11"/>
    <mergeCell ref="B7:B8"/>
    <mergeCell ref="B10:B11"/>
    <mergeCell ref="AN10:AN11"/>
    <mergeCell ref="AI10:AI11"/>
    <mergeCell ref="AH10:AH11"/>
    <mergeCell ref="AG10:AG11"/>
    <mergeCell ref="AF10:AF11"/>
    <mergeCell ref="AE10:AE11"/>
    <mergeCell ref="AD10:AD11"/>
    <mergeCell ref="AC10:AC11"/>
    <mergeCell ref="Z10:Z11"/>
    <mergeCell ref="Y10:Y11"/>
    <mergeCell ref="X10:X11"/>
    <mergeCell ref="W10:W11"/>
    <mergeCell ref="V10:V11"/>
    <mergeCell ref="S10:S11"/>
    <mergeCell ref="T10:T11"/>
    <mergeCell ref="N10:N11"/>
    <mergeCell ref="AB10:AB11"/>
    <mergeCell ref="AA10:AA11"/>
    <mergeCell ref="U10:U11"/>
    <mergeCell ref="R10:R11"/>
    <mergeCell ref="P10:P11"/>
    <mergeCell ref="O10:O11"/>
    <mergeCell ref="Q10:Q11"/>
    <mergeCell ref="AO10:AO11"/>
    <mergeCell ref="AM10:AM11"/>
    <mergeCell ref="AL10:AL11"/>
    <mergeCell ref="AK10:AK11"/>
    <mergeCell ref="AJ10:AJ11"/>
    <mergeCell ref="K10:K11"/>
    <mergeCell ref="H10:H11"/>
    <mergeCell ref="E10:E11"/>
    <mergeCell ref="F10:F11"/>
    <mergeCell ref="L10:L11"/>
    <mergeCell ref="C10:C11"/>
    <mergeCell ref="D10:D11"/>
    <mergeCell ref="G10:G11"/>
    <mergeCell ref="I10:I11"/>
    <mergeCell ref="J10:J11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AK11:AO11 AK10:AL10 AO10" numberStoredAsText="1"/>
  </ignoredErrors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515151"/>
    <pageSetUpPr fitToPage="1"/>
  </sheetPr>
  <dimension ref="B1:BF26"/>
  <sheetViews>
    <sheetView showGridLines="0" zoomScale="90" zoomScaleNormal="90" workbookViewId="0">
      <selection activeCell="C12" sqref="C12:C17"/>
    </sheetView>
  </sheetViews>
  <sheetFormatPr defaultColWidth="9.140625" defaultRowHeight="12.75"/>
  <cols>
    <col min="1" max="1" width="1.85546875" style="2" customWidth="1"/>
    <col min="2" max="2" width="40.85546875" style="2" customWidth="1"/>
    <col min="3" max="4" width="9.85546875" style="2" bestFit="1" customWidth="1"/>
    <col min="5" max="5" width="11.5703125" style="2" bestFit="1" customWidth="1"/>
    <col min="6" max="9" width="9.85546875" style="2" bestFit="1" customWidth="1"/>
    <col min="10" max="10" width="11.5703125" style="2" bestFit="1" customWidth="1"/>
    <col min="11" max="14" width="9.85546875" style="2" bestFit="1" customWidth="1"/>
    <col min="15" max="15" width="11.5703125" style="2" bestFit="1" customWidth="1"/>
    <col min="16" max="19" width="9.85546875" style="2" bestFit="1" customWidth="1"/>
    <col min="20" max="20" width="11.5703125" style="2" bestFit="1" customWidth="1"/>
    <col min="21" max="21" width="9.85546875" style="2" bestFit="1" customWidth="1"/>
    <col min="22" max="24" width="10.7109375" style="2" customWidth="1"/>
    <col min="25" max="27" width="11.5703125" style="2" bestFit="1" customWidth="1"/>
    <col min="28" max="39" width="10.7109375" style="2" customWidth="1"/>
    <col min="40" max="40" width="11.5703125" style="2" bestFit="1" customWidth="1"/>
    <col min="41" max="41" width="11.5703125" style="2" customWidth="1"/>
    <col min="42" max="42" width="11.140625" style="2" customWidth="1"/>
    <col min="43" max="44" width="9.85546875" style="284" bestFit="1" customWidth="1"/>
    <col min="45" max="45" width="10.7109375" style="2" customWidth="1"/>
    <col min="46" max="47" width="9.85546875" style="284" customWidth="1"/>
    <col min="48" max="49" width="9.85546875" style="284" bestFit="1" customWidth="1"/>
    <col min="50" max="50" width="10.7109375" style="2" customWidth="1"/>
    <col min="51" max="51" width="8.7109375" style="2" bestFit="1" customWidth="1"/>
    <col min="52" max="53" width="9.85546875" style="2" bestFit="1" customWidth="1"/>
    <col min="54" max="54" width="9.42578125" style="2" bestFit="1" customWidth="1"/>
    <col min="55" max="55" width="8.28515625" style="2" bestFit="1" customWidth="1"/>
    <col min="56" max="56" width="8.7109375" style="2" bestFit="1" customWidth="1"/>
    <col min="57" max="58" width="8.5703125" style="2" bestFit="1" customWidth="1"/>
    <col min="59" max="16384" width="9.140625" style="2"/>
  </cols>
  <sheetData>
    <row r="1" spans="2:58" s="181" customFormat="1" ht="9" customHeight="1">
      <c r="AQ1" s="183"/>
      <c r="AR1" s="183"/>
      <c r="AT1" s="183"/>
      <c r="AU1" s="183"/>
      <c r="AV1" s="183"/>
      <c r="AW1" s="183"/>
      <c r="AY1" s="255"/>
      <c r="AZ1" s="255"/>
      <c r="BA1" s="255"/>
      <c r="BB1" s="255"/>
      <c r="BC1" s="255"/>
      <c r="BD1" s="255"/>
      <c r="BE1" s="255"/>
      <c r="BF1" s="255"/>
    </row>
    <row r="2" spans="2:58" s="181" customFormat="1" ht="15.75" customHeight="1">
      <c r="AQ2" s="183"/>
      <c r="AR2" s="183"/>
      <c r="AT2" s="183"/>
      <c r="AU2" s="183"/>
      <c r="AV2" s="183"/>
      <c r="AW2" s="183"/>
      <c r="AY2" s="255"/>
      <c r="AZ2" s="255"/>
      <c r="BA2" s="255"/>
      <c r="BB2" s="255"/>
      <c r="BC2" s="255"/>
      <c r="BD2" s="255"/>
      <c r="BE2" s="255"/>
      <c r="BF2" s="255"/>
    </row>
    <row r="3" spans="2:58" s="181" customFormat="1" ht="15.75" customHeight="1">
      <c r="AQ3" s="183"/>
      <c r="AR3" s="183"/>
      <c r="AT3" s="183"/>
      <c r="AU3" s="183"/>
      <c r="AV3" s="183"/>
      <c r="AW3" s="183"/>
      <c r="AY3" s="255"/>
      <c r="AZ3" s="255"/>
      <c r="BA3" s="255"/>
      <c r="BB3" s="255"/>
      <c r="BC3" s="255"/>
      <c r="BD3" s="255"/>
      <c r="BE3" s="255"/>
      <c r="BF3" s="255"/>
    </row>
    <row r="4" spans="2:58" s="181" customFormat="1" ht="15.75" customHeight="1">
      <c r="AQ4" s="183"/>
      <c r="AR4" s="183"/>
      <c r="AT4" s="183"/>
      <c r="AU4" s="183"/>
      <c r="AV4" s="183"/>
      <c r="AW4" s="183"/>
      <c r="AY4" s="255"/>
      <c r="AZ4" s="255"/>
      <c r="BA4" s="255"/>
      <c r="BB4" s="255"/>
      <c r="BC4" s="255"/>
      <c r="BD4" s="255"/>
      <c r="BE4" s="255"/>
      <c r="BF4" s="255"/>
    </row>
    <row r="5" spans="2:58" s="255" customFormat="1" ht="15.75" customHeight="1">
      <c r="B5" s="256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6"/>
      <c r="W5" s="256"/>
      <c r="X5" s="256"/>
      <c r="Y5" s="256"/>
      <c r="Z5" s="256"/>
      <c r="AA5" s="256"/>
      <c r="AB5" s="256"/>
      <c r="AC5" s="256"/>
      <c r="AD5" s="256"/>
      <c r="AE5" s="256"/>
      <c r="AF5" s="256"/>
      <c r="AG5" s="256"/>
      <c r="AH5" s="256"/>
      <c r="AI5" s="256"/>
      <c r="AJ5" s="256"/>
      <c r="AK5" s="256"/>
      <c r="AL5" s="256"/>
      <c r="AM5" s="256"/>
      <c r="AN5" s="256"/>
      <c r="AO5" s="256"/>
      <c r="AP5" s="256"/>
      <c r="AQ5" s="257"/>
      <c r="AR5" s="257"/>
      <c r="AS5" s="256"/>
      <c r="AT5" s="257"/>
      <c r="AU5" s="257"/>
      <c r="AV5" s="257"/>
      <c r="AW5" s="257"/>
      <c r="AX5" s="256"/>
    </row>
    <row r="6" spans="2:58" s="255" customFormat="1" ht="9" customHeight="1">
      <c r="B6" s="256"/>
      <c r="C6" s="256"/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56"/>
      <c r="AQ6" s="257"/>
      <c r="AR6" s="257"/>
      <c r="AS6" s="256"/>
      <c r="AT6" s="257"/>
      <c r="AU6" s="257"/>
      <c r="AV6" s="257"/>
      <c r="AW6" s="257"/>
      <c r="AX6" s="256"/>
    </row>
    <row r="7" spans="2:58" s="181" customFormat="1" ht="15" customHeight="1">
      <c r="B7" s="434" t="s">
        <v>367</v>
      </c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232"/>
      <c r="AR7" s="232"/>
      <c r="AS7" s="189"/>
      <c r="AT7" s="232"/>
      <c r="AU7" s="232"/>
      <c r="AV7" s="232"/>
      <c r="AW7" s="232"/>
      <c r="AX7" s="189"/>
      <c r="AY7" s="255"/>
      <c r="AZ7" s="255"/>
      <c r="BA7" s="255"/>
      <c r="BB7" s="255"/>
      <c r="BC7" s="255"/>
      <c r="BD7" s="255"/>
      <c r="BE7" s="255"/>
      <c r="BF7" s="255"/>
    </row>
    <row r="8" spans="2:58" s="181" customFormat="1" ht="15" customHeight="1">
      <c r="B8" s="434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232"/>
      <c r="AR8" s="232"/>
      <c r="AS8" s="189"/>
      <c r="AT8" s="232"/>
      <c r="AU8" s="232"/>
      <c r="AV8" s="232"/>
      <c r="AW8" s="232"/>
      <c r="AX8" s="189"/>
      <c r="AY8" s="255"/>
      <c r="AZ8" s="255"/>
      <c r="BA8" s="255"/>
      <c r="BB8" s="255"/>
      <c r="BC8" s="255"/>
      <c r="BD8" s="255"/>
      <c r="BE8" s="255"/>
      <c r="BF8" s="255"/>
    </row>
    <row r="9" spans="2:58" s="255" customFormat="1" ht="9" customHeight="1">
      <c r="B9" s="256"/>
      <c r="C9" s="256"/>
      <c r="D9" s="256"/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6"/>
      <c r="AB9" s="256"/>
      <c r="AC9" s="256"/>
      <c r="AD9" s="256"/>
      <c r="AE9" s="256"/>
      <c r="AF9" s="256"/>
      <c r="AG9" s="256"/>
      <c r="AH9" s="256"/>
      <c r="AI9" s="256"/>
      <c r="AJ9" s="256"/>
      <c r="AK9" s="256"/>
      <c r="AL9" s="256"/>
      <c r="AM9" s="256"/>
      <c r="AN9" s="256"/>
      <c r="AO9" s="256"/>
      <c r="AP9" s="256"/>
      <c r="AQ9" s="257"/>
      <c r="AR9" s="257"/>
      <c r="AS9" s="256"/>
      <c r="AT9" s="257"/>
      <c r="AU9" s="257"/>
      <c r="AV9" s="257"/>
      <c r="AW9" s="257"/>
      <c r="AX9" s="256"/>
    </row>
    <row r="10" spans="2:58" s="259" customFormat="1" ht="15" customHeight="1">
      <c r="B10" s="458" t="s">
        <v>163</v>
      </c>
      <c r="C10" s="456" t="s">
        <v>459</v>
      </c>
      <c r="D10" s="454" t="s">
        <v>454</v>
      </c>
      <c r="E10" s="452">
        <v>2025</v>
      </c>
      <c r="F10" s="456" t="s">
        <v>450</v>
      </c>
      <c r="G10" s="456" t="s">
        <v>446</v>
      </c>
      <c r="H10" s="456" t="s">
        <v>442</v>
      </c>
      <c r="I10" s="454" t="s">
        <v>439</v>
      </c>
      <c r="J10" s="452">
        <v>2024</v>
      </c>
      <c r="K10" s="456" t="s">
        <v>432</v>
      </c>
      <c r="L10" s="456" t="s">
        <v>428</v>
      </c>
      <c r="M10" s="456" t="s">
        <v>425</v>
      </c>
      <c r="N10" s="454" t="s">
        <v>416</v>
      </c>
      <c r="O10" s="452">
        <v>2023</v>
      </c>
      <c r="P10" s="456" t="s">
        <v>406</v>
      </c>
      <c r="Q10" s="456" t="s">
        <v>400</v>
      </c>
      <c r="R10" s="456" t="s">
        <v>397</v>
      </c>
      <c r="S10" s="454" t="s">
        <v>390</v>
      </c>
      <c r="T10" s="452">
        <v>2022</v>
      </c>
      <c r="U10" s="456" t="s">
        <v>387</v>
      </c>
      <c r="V10" s="456" t="s">
        <v>381</v>
      </c>
      <c r="W10" s="456" t="s">
        <v>361</v>
      </c>
      <c r="X10" s="454" t="s">
        <v>359</v>
      </c>
      <c r="Y10" s="452">
        <v>2021</v>
      </c>
      <c r="Z10" s="456" t="s">
        <v>353</v>
      </c>
      <c r="AA10" s="456" t="s">
        <v>347</v>
      </c>
      <c r="AB10" s="456" t="s">
        <v>343</v>
      </c>
      <c r="AC10" s="454" t="s">
        <v>340</v>
      </c>
      <c r="AD10" s="452">
        <v>2020</v>
      </c>
      <c r="AE10" s="456" t="s">
        <v>337</v>
      </c>
      <c r="AF10" s="456" t="s">
        <v>333</v>
      </c>
      <c r="AG10" s="456" t="s">
        <v>327</v>
      </c>
      <c r="AH10" s="438" t="s">
        <v>325</v>
      </c>
      <c r="AI10" s="452">
        <v>2019</v>
      </c>
      <c r="AJ10" s="456" t="s">
        <v>324</v>
      </c>
      <c r="AK10" s="456" t="s">
        <v>321</v>
      </c>
      <c r="AL10" s="456" t="s">
        <v>311</v>
      </c>
      <c r="AM10" s="456" t="s">
        <v>307</v>
      </c>
      <c r="AN10" s="452">
        <v>2018</v>
      </c>
      <c r="AO10" s="456" t="s">
        <v>303</v>
      </c>
      <c r="AP10" s="456" t="s">
        <v>164</v>
      </c>
      <c r="AQ10" s="456" t="s">
        <v>166</v>
      </c>
      <c r="AR10" s="456" t="s">
        <v>167</v>
      </c>
      <c r="AS10" s="452">
        <v>2017</v>
      </c>
      <c r="AT10" s="456" t="s">
        <v>168</v>
      </c>
      <c r="AU10" s="456" t="s">
        <v>169</v>
      </c>
      <c r="AV10" s="456" t="s">
        <v>171</v>
      </c>
      <c r="AW10" s="456" t="s">
        <v>172</v>
      </c>
      <c r="AX10" s="452">
        <v>2016</v>
      </c>
      <c r="AY10" s="258"/>
      <c r="AZ10" s="258"/>
      <c r="BA10" s="258"/>
      <c r="BB10" s="258"/>
      <c r="BC10" s="258"/>
      <c r="BD10" s="258"/>
      <c r="BE10" s="258"/>
      <c r="BF10" s="258"/>
    </row>
    <row r="11" spans="2:58" s="259" customFormat="1" ht="15" customHeight="1">
      <c r="B11" s="459"/>
      <c r="C11" s="457"/>
      <c r="D11" s="455"/>
      <c r="E11" s="453"/>
      <c r="F11" s="457"/>
      <c r="G11" s="457"/>
      <c r="H11" s="457"/>
      <c r="I11" s="455"/>
      <c r="J11" s="453"/>
      <c r="K11" s="457"/>
      <c r="L11" s="457"/>
      <c r="M11" s="457"/>
      <c r="N11" s="455"/>
      <c r="O11" s="453"/>
      <c r="P11" s="457"/>
      <c r="Q11" s="457"/>
      <c r="R11" s="457"/>
      <c r="S11" s="455"/>
      <c r="T11" s="453"/>
      <c r="U11" s="457"/>
      <c r="V11" s="457"/>
      <c r="W11" s="457"/>
      <c r="X11" s="455"/>
      <c r="Y11" s="453"/>
      <c r="Z11" s="457"/>
      <c r="AA11" s="457"/>
      <c r="AB11" s="457"/>
      <c r="AC11" s="455"/>
      <c r="AD11" s="453"/>
      <c r="AE11" s="457"/>
      <c r="AF11" s="457"/>
      <c r="AG11" s="457"/>
      <c r="AH11" s="438"/>
      <c r="AI11" s="453"/>
      <c r="AJ11" s="457"/>
      <c r="AK11" s="457"/>
      <c r="AL11" s="457"/>
      <c r="AM11" s="457"/>
      <c r="AN11" s="453"/>
      <c r="AO11" s="457"/>
      <c r="AP11" s="457"/>
      <c r="AQ11" s="457"/>
      <c r="AR11" s="457"/>
      <c r="AS11" s="453"/>
      <c r="AT11" s="457"/>
      <c r="AU11" s="457"/>
      <c r="AV11" s="457"/>
      <c r="AW11" s="457"/>
      <c r="AX11" s="453"/>
      <c r="AY11" s="258"/>
      <c r="AZ11" s="258"/>
      <c r="BA11" s="258"/>
      <c r="BB11" s="258"/>
      <c r="BC11" s="258"/>
      <c r="BD11" s="258"/>
      <c r="BE11" s="258"/>
      <c r="BF11" s="258"/>
    </row>
    <row r="12" spans="2:58" s="265" customFormat="1" ht="15" customHeight="1">
      <c r="B12" s="260" t="s">
        <v>285</v>
      </c>
      <c r="C12" s="261">
        <v>123321</v>
      </c>
      <c r="D12" s="262">
        <v>37248</v>
      </c>
      <c r="E12" s="263">
        <v>481744</v>
      </c>
      <c r="F12" s="261">
        <v>-7366</v>
      </c>
      <c r="G12" s="261">
        <v>107258</v>
      </c>
      <c r="H12" s="261">
        <v>231502</v>
      </c>
      <c r="I12" s="262">
        <v>150352</v>
      </c>
      <c r="J12" s="263">
        <v>557118</v>
      </c>
      <c r="K12" s="261">
        <v>292736</v>
      </c>
      <c r="L12" s="261">
        <v>118948</v>
      </c>
      <c r="M12" s="261">
        <v>89535</v>
      </c>
      <c r="N12" s="262">
        <v>55899</v>
      </c>
      <c r="O12" s="263">
        <v>791273</v>
      </c>
      <c r="P12" s="261">
        <v>161183</v>
      </c>
      <c r="Q12" s="261">
        <v>190793</v>
      </c>
      <c r="R12" s="261">
        <v>186336</v>
      </c>
      <c r="S12" s="262">
        <v>252961</v>
      </c>
      <c r="T12" s="263">
        <v>1334303</v>
      </c>
      <c r="U12" s="261">
        <v>148330</v>
      </c>
      <c r="V12" s="261">
        <v>197790</v>
      </c>
      <c r="W12" s="261">
        <v>539150</v>
      </c>
      <c r="X12" s="262">
        <v>449030</v>
      </c>
      <c r="Y12" s="263">
        <v>2003833</v>
      </c>
      <c r="Z12" s="261">
        <v>687996</v>
      </c>
      <c r="AA12" s="261">
        <v>788055</v>
      </c>
      <c r="AB12" s="261">
        <v>246971</v>
      </c>
      <c r="AC12" s="262">
        <v>280811</v>
      </c>
      <c r="AD12" s="263">
        <v>370215</v>
      </c>
      <c r="AE12" s="261">
        <v>289133</v>
      </c>
      <c r="AF12" s="261">
        <v>156276</v>
      </c>
      <c r="AG12" s="261">
        <v>19173</v>
      </c>
      <c r="AH12" s="261">
        <v>-94367</v>
      </c>
      <c r="AI12" s="263">
        <v>172358</v>
      </c>
      <c r="AJ12" s="261">
        <v>138071</v>
      </c>
      <c r="AK12" s="261">
        <v>-22317</v>
      </c>
      <c r="AL12" s="261">
        <v>416</v>
      </c>
      <c r="AM12" s="261">
        <v>56189</v>
      </c>
      <c r="AN12" s="263">
        <v>547440</v>
      </c>
      <c r="AO12" s="261">
        <v>165852</v>
      </c>
      <c r="AP12" s="261">
        <v>146319</v>
      </c>
      <c r="AQ12" s="261">
        <v>70750</v>
      </c>
      <c r="AR12" s="261">
        <v>164518</v>
      </c>
      <c r="AS12" s="263">
        <v>306264</v>
      </c>
      <c r="AT12" s="261">
        <v>108318</v>
      </c>
      <c r="AU12" s="261">
        <v>138346</v>
      </c>
      <c r="AV12" s="261">
        <v>26755</v>
      </c>
      <c r="AW12" s="261">
        <v>32845</v>
      </c>
      <c r="AX12" s="263">
        <v>280836</v>
      </c>
      <c r="AY12" s="264"/>
      <c r="AZ12" s="264"/>
      <c r="BA12" s="264"/>
      <c r="BB12" s="264"/>
      <c r="BC12" s="264"/>
      <c r="BD12" s="264"/>
      <c r="BE12" s="264"/>
      <c r="BF12" s="264"/>
    </row>
    <row r="13" spans="2:58" s="265" customFormat="1" ht="15" customHeight="1">
      <c r="B13" s="266" t="s">
        <v>287</v>
      </c>
      <c r="C13" s="267">
        <v>90454</v>
      </c>
      <c r="D13" s="268">
        <v>15069</v>
      </c>
      <c r="E13" s="269">
        <v>166976</v>
      </c>
      <c r="F13" s="267">
        <v>-11982</v>
      </c>
      <c r="G13" s="267">
        <v>23629</v>
      </c>
      <c r="H13" s="267">
        <v>82614</v>
      </c>
      <c r="I13" s="268">
        <v>72713</v>
      </c>
      <c r="J13" s="269">
        <v>226926</v>
      </c>
      <c r="K13" s="267">
        <v>106877</v>
      </c>
      <c r="L13" s="267">
        <v>36865</v>
      </c>
      <c r="M13" s="267">
        <v>15772</v>
      </c>
      <c r="N13" s="268">
        <v>67413</v>
      </c>
      <c r="O13" s="269">
        <v>374188</v>
      </c>
      <c r="P13" s="267">
        <v>-61290</v>
      </c>
      <c r="Q13" s="267">
        <v>58123</v>
      </c>
      <c r="R13" s="267">
        <v>172537</v>
      </c>
      <c r="S13" s="268">
        <v>204818</v>
      </c>
      <c r="T13" s="269">
        <v>717687</v>
      </c>
      <c r="U13" s="267">
        <v>101309</v>
      </c>
      <c r="V13" s="267">
        <v>73026</v>
      </c>
      <c r="W13" s="267">
        <v>290134</v>
      </c>
      <c r="X13" s="268">
        <v>253220</v>
      </c>
      <c r="Y13" s="269">
        <v>1031490</v>
      </c>
      <c r="Z13" s="267">
        <v>355070</v>
      </c>
      <c r="AA13" s="267">
        <v>322099</v>
      </c>
      <c r="AB13" s="267">
        <v>205326</v>
      </c>
      <c r="AC13" s="268">
        <v>148995</v>
      </c>
      <c r="AD13" s="269">
        <v>230942</v>
      </c>
      <c r="AE13" s="267">
        <v>105635</v>
      </c>
      <c r="AF13" s="267">
        <v>50484</v>
      </c>
      <c r="AG13" s="267">
        <v>39638</v>
      </c>
      <c r="AH13" s="267">
        <v>35185</v>
      </c>
      <c r="AI13" s="269">
        <v>84252</v>
      </c>
      <c r="AJ13" s="267">
        <v>-71996</v>
      </c>
      <c r="AK13" s="267">
        <v>47899</v>
      </c>
      <c r="AL13" s="267">
        <v>56409</v>
      </c>
      <c r="AM13" s="267">
        <v>51939</v>
      </c>
      <c r="AN13" s="269">
        <v>129297</v>
      </c>
      <c r="AO13" s="267">
        <v>-34131</v>
      </c>
      <c r="AP13" s="267">
        <v>19195</v>
      </c>
      <c r="AQ13" s="267">
        <v>64122</v>
      </c>
      <c r="AR13" s="267">
        <v>80111</v>
      </c>
      <c r="AS13" s="269">
        <v>30597</v>
      </c>
      <c r="AT13" s="267">
        <v>-33183</v>
      </c>
      <c r="AU13" s="267">
        <v>13221</v>
      </c>
      <c r="AV13" s="267">
        <v>36824</v>
      </c>
      <c r="AW13" s="267">
        <v>13735</v>
      </c>
      <c r="AX13" s="269">
        <v>187771</v>
      </c>
      <c r="AY13" s="270"/>
      <c r="AZ13" s="270"/>
      <c r="BA13" s="270"/>
      <c r="BB13" s="270"/>
      <c r="BC13" s="270"/>
      <c r="BD13" s="270"/>
      <c r="BE13" s="270"/>
      <c r="BF13" s="270"/>
    </row>
    <row r="14" spans="2:58" s="265" customFormat="1" ht="15" customHeight="1">
      <c r="B14" s="271" t="s">
        <v>286</v>
      </c>
      <c r="C14" s="267">
        <v>86706</v>
      </c>
      <c r="D14" s="268">
        <v>32653</v>
      </c>
      <c r="E14" s="269">
        <v>144807</v>
      </c>
      <c r="F14" s="267">
        <v>59356</v>
      </c>
      <c r="G14" s="267">
        <v>55173</v>
      </c>
      <c r="H14" s="267">
        <v>-2340</v>
      </c>
      <c r="I14" s="268">
        <v>32616</v>
      </c>
      <c r="J14" s="269">
        <v>-159025</v>
      </c>
      <c r="K14" s="267">
        <v>-57318</v>
      </c>
      <c r="L14" s="267">
        <v>-25994</v>
      </c>
      <c r="M14" s="267">
        <v>-69673</v>
      </c>
      <c r="N14" s="268">
        <v>-6041</v>
      </c>
      <c r="O14" s="269">
        <v>-185827</v>
      </c>
      <c r="P14" s="267">
        <v>-79726</v>
      </c>
      <c r="Q14" s="267">
        <v>-34079</v>
      </c>
      <c r="R14" s="267">
        <v>-47553.999999999993</v>
      </c>
      <c r="S14" s="268">
        <v>-24468</v>
      </c>
      <c r="T14" s="269">
        <v>328268</v>
      </c>
      <c r="U14" s="267">
        <v>-26103</v>
      </c>
      <c r="V14" s="267">
        <v>316159</v>
      </c>
      <c r="W14" s="267">
        <v>-29896</v>
      </c>
      <c r="X14" s="268">
        <v>68109</v>
      </c>
      <c r="Y14" s="269">
        <v>-90835</v>
      </c>
      <c r="Z14" s="267">
        <v>46038</v>
      </c>
      <c r="AA14" s="267">
        <v>-145825</v>
      </c>
      <c r="AB14" s="267">
        <v>-76147</v>
      </c>
      <c r="AC14" s="268">
        <v>85099.000000000015</v>
      </c>
      <c r="AD14" s="269">
        <v>147363</v>
      </c>
      <c r="AE14" s="267">
        <v>-37614</v>
      </c>
      <c r="AF14" s="267">
        <v>56703</v>
      </c>
      <c r="AG14" s="267">
        <v>27531</v>
      </c>
      <c r="AH14" s="267">
        <v>100743</v>
      </c>
      <c r="AI14" s="269">
        <v>140921</v>
      </c>
      <c r="AJ14" s="267">
        <v>16207</v>
      </c>
      <c r="AK14" s="267">
        <v>91984</v>
      </c>
      <c r="AL14" s="267">
        <v>27020</v>
      </c>
      <c r="AM14" s="267">
        <v>5712</v>
      </c>
      <c r="AN14" s="269">
        <v>153905</v>
      </c>
      <c r="AO14" s="267">
        <v>3646</v>
      </c>
      <c r="AP14" s="267">
        <v>17829</v>
      </c>
      <c r="AQ14" s="267">
        <v>104943</v>
      </c>
      <c r="AR14" s="267">
        <v>27487</v>
      </c>
      <c r="AS14" s="269">
        <v>93836</v>
      </c>
      <c r="AT14" s="267">
        <v>50234</v>
      </c>
      <c r="AU14" s="267">
        <v>-1081</v>
      </c>
      <c r="AV14" s="267">
        <v>33003</v>
      </c>
      <c r="AW14" s="267">
        <v>11680</v>
      </c>
      <c r="AX14" s="269">
        <v>99759</v>
      </c>
      <c r="AY14" s="270"/>
      <c r="AZ14" s="270"/>
      <c r="BA14" s="270"/>
      <c r="BB14" s="270"/>
      <c r="BC14" s="270"/>
      <c r="BD14" s="270"/>
      <c r="BE14" s="270"/>
      <c r="BF14" s="270"/>
    </row>
    <row r="15" spans="2:58" s="265" customFormat="1" ht="15" customHeight="1">
      <c r="B15" s="271" t="s">
        <v>288</v>
      </c>
      <c r="C15" s="267">
        <v>85671</v>
      </c>
      <c r="D15" s="268">
        <v>69064</v>
      </c>
      <c r="E15" s="269">
        <v>316152</v>
      </c>
      <c r="F15" s="267">
        <v>85324</v>
      </c>
      <c r="G15" s="267">
        <v>73569</v>
      </c>
      <c r="H15" s="267">
        <v>77412</v>
      </c>
      <c r="I15" s="268">
        <v>79852</v>
      </c>
      <c r="J15" s="269">
        <v>322978</v>
      </c>
      <c r="K15" s="267">
        <v>93684</v>
      </c>
      <c r="L15" s="267">
        <v>78727</v>
      </c>
      <c r="M15" s="267">
        <v>79698</v>
      </c>
      <c r="N15" s="268">
        <v>70868</v>
      </c>
      <c r="O15" s="269">
        <v>246977</v>
      </c>
      <c r="P15" s="267">
        <v>63439</v>
      </c>
      <c r="Q15" s="267">
        <v>67689</v>
      </c>
      <c r="R15" s="267">
        <v>59076</v>
      </c>
      <c r="S15" s="268">
        <v>56771</v>
      </c>
      <c r="T15" s="269">
        <v>247296</v>
      </c>
      <c r="U15" s="267">
        <v>63419</v>
      </c>
      <c r="V15" s="267">
        <v>66815</v>
      </c>
      <c r="W15" s="267">
        <v>61491</v>
      </c>
      <c r="X15" s="268">
        <v>55573</v>
      </c>
      <c r="Y15" s="269">
        <v>219354</v>
      </c>
      <c r="Z15" s="267">
        <v>63264</v>
      </c>
      <c r="AA15" s="267">
        <v>56655</v>
      </c>
      <c r="AB15" s="267">
        <v>49621</v>
      </c>
      <c r="AC15" s="268">
        <v>49813</v>
      </c>
      <c r="AD15" s="269">
        <v>197951</v>
      </c>
      <c r="AE15" s="267">
        <v>48909</v>
      </c>
      <c r="AF15" s="267">
        <v>51937</v>
      </c>
      <c r="AG15" s="267">
        <v>49889</v>
      </c>
      <c r="AH15" s="267">
        <v>47216</v>
      </c>
      <c r="AI15" s="269">
        <v>183080</v>
      </c>
      <c r="AJ15" s="267">
        <v>58480</v>
      </c>
      <c r="AK15" s="267">
        <v>40410</v>
      </c>
      <c r="AL15" s="267">
        <v>41000</v>
      </c>
      <c r="AM15" s="267">
        <v>43191</v>
      </c>
      <c r="AN15" s="269">
        <v>176380</v>
      </c>
      <c r="AO15" s="267">
        <v>40866</v>
      </c>
      <c r="AP15" s="267">
        <v>62105</v>
      </c>
      <c r="AQ15" s="272">
        <v>36589</v>
      </c>
      <c r="AR15" s="272">
        <v>36821</v>
      </c>
      <c r="AS15" s="269">
        <v>200102</v>
      </c>
      <c r="AT15" s="272">
        <v>91531</v>
      </c>
      <c r="AU15" s="272">
        <v>35971</v>
      </c>
      <c r="AV15" s="272">
        <v>36293</v>
      </c>
      <c r="AW15" s="272">
        <v>36308</v>
      </c>
      <c r="AX15" s="269">
        <v>109611</v>
      </c>
      <c r="AY15" s="270"/>
      <c r="AZ15" s="270"/>
      <c r="BA15" s="270"/>
      <c r="BB15" s="270"/>
      <c r="BC15" s="270"/>
      <c r="BD15" s="270"/>
      <c r="BE15" s="270"/>
      <c r="BF15" s="270"/>
    </row>
    <row r="16" spans="2:58" s="265" customFormat="1" ht="7.5" customHeight="1">
      <c r="B16" s="273"/>
      <c r="C16" s="267"/>
      <c r="D16" s="268"/>
      <c r="E16" s="269"/>
      <c r="F16" s="267"/>
      <c r="G16" s="267"/>
      <c r="H16" s="267"/>
      <c r="I16" s="268"/>
      <c r="J16" s="269"/>
      <c r="K16" s="267"/>
      <c r="L16" s="267"/>
      <c r="M16" s="267"/>
      <c r="N16" s="268"/>
      <c r="O16" s="269"/>
      <c r="P16" s="267"/>
      <c r="Q16" s="267"/>
      <c r="R16" s="267"/>
      <c r="S16" s="268"/>
      <c r="T16" s="269"/>
      <c r="U16" s="267"/>
      <c r="V16" s="267"/>
      <c r="W16" s="267"/>
      <c r="X16" s="268"/>
      <c r="Y16" s="269"/>
      <c r="Z16" s="267"/>
      <c r="AA16" s="267"/>
      <c r="AB16" s="267"/>
      <c r="AC16" s="268"/>
      <c r="AD16" s="269"/>
      <c r="AE16" s="267"/>
      <c r="AF16" s="267"/>
      <c r="AG16" s="267"/>
      <c r="AH16" s="267"/>
      <c r="AI16" s="269"/>
      <c r="AJ16" s="267"/>
      <c r="AK16" s="267"/>
      <c r="AL16" s="267"/>
      <c r="AM16" s="267"/>
      <c r="AN16" s="269"/>
      <c r="AO16" s="267"/>
      <c r="AP16" s="267"/>
      <c r="AQ16" s="267"/>
      <c r="AR16" s="267"/>
      <c r="AS16" s="269"/>
      <c r="AT16" s="267"/>
      <c r="AU16" s="267"/>
      <c r="AV16" s="267"/>
      <c r="AW16" s="267"/>
      <c r="AX16" s="269"/>
      <c r="AY16" s="270"/>
      <c r="AZ16" s="270"/>
      <c r="BA16" s="270"/>
      <c r="BB16" s="270"/>
      <c r="BC16" s="270"/>
      <c r="BD16" s="270"/>
      <c r="BE16" s="270"/>
      <c r="BF16" s="270"/>
    </row>
    <row r="17" spans="2:58" s="274" customFormat="1" ht="15" customHeight="1">
      <c r="B17" s="260" t="s">
        <v>155</v>
      </c>
      <c r="C17" s="261">
        <f t="shared" ref="C17" si="0">SUM(C12:C16)</f>
        <v>386152</v>
      </c>
      <c r="D17" s="262">
        <f t="shared" ref="D17" si="1">SUM(D12:D16)</f>
        <v>154034</v>
      </c>
      <c r="E17" s="263">
        <f t="shared" ref="E17:F17" si="2">SUM(E12:E16)</f>
        <v>1109679</v>
      </c>
      <c r="F17" s="261">
        <f t="shared" si="2"/>
        <v>125332</v>
      </c>
      <c r="G17" s="261">
        <f t="shared" ref="G17" si="3">SUM(G12:G16)</f>
        <v>259629</v>
      </c>
      <c r="H17" s="261">
        <f t="shared" ref="H17" si="4">SUM(H12:H16)</f>
        <v>389188</v>
      </c>
      <c r="I17" s="262">
        <f t="shared" ref="I17" si="5">SUM(I12:I16)</f>
        <v>335533</v>
      </c>
      <c r="J17" s="263">
        <f t="shared" ref="J17:K17" si="6">SUM(J12:J16)</f>
        <v>947997</v>
      </c>
      <c r="K17" s="261">
        <f t="shared" si="6"/>
        <v>435979</v>
      </c>
      <c r="L17" s="261">
        <f t="shared" ref="L17" si="7">SUM(L12:L16)</f>
        <v>208546</v>
      </c>
      <c r="M17" s="261">
        <f t="shared" ref="M17" si="8">SUM(M12:M16)</f>
        <v>115332</v>
      </c>
      <c r="N17" s="262">
        <f t="shared" ref="N17" si="9">SUM(N12:N16)</f>
        <v>188139</v>
      </c>
      <c r="O17" s="263">
        <f t="shared" ref="O17:P17" si="10">SUM(O12:O16)</f>
        <v>1226611</v>
      </c>
      <c r="P17" s="261">
        <f t="shared" si="10"/>
        <v>83606</v>
      </c>
      <c r="Q17" s="261">
        <f t="shared" ref="Q17" si="11">SUM(Q12:Q16)</f>
        <v>282526</v>
      </c>
      <c r="R17" s="261">
        <f t="shared" ref="R17" si="12">SUM(R12:R16)</f>
        <v>370395</v>
      </c>
      <c r="S17" s="262">
        <f t="shared" ref="S17" si="13">SUM(S12:S16)</f>
        <v>490082</v>
      </c>
      <c r="T17" s="263">
        <f t="shared" ref="T17" si="14">SUM(T12:T16)</f>
        <v>2627554</v>
      </c>
      <c r="U17" s="261">
        <f t="shared" ref="U17" si="15">SUM(U12:U16)</f>
        <v>286955</v>
      </c>
      <c r="V17" s="261">
        <f t="shared" ref="V17" si="16">SUM(V12:V16)</f>
        <v>653790</v>
      </c>
      <c r="W17" s="261">
        <f t="shared" ref="W17" si="17">SUM(W12:W16)</f>
        <v>860879</v>
      </c>
      <c r="X17" s="262">
        <f t="shared" ref="X17" si="18">SUM(X12:X16)</f>
        <v>825932</v>
      </c>
      <c r="Y17" s="263">
        <v>3163842</v>
      </c>
      <c r="Z17" s="261">
        <v>1152368</v>
      </c>
      <c r="AA17" s="261">
        <f t="shared" ref="AA17:AF17" si="19">SUM(AA12:AA16)</f>
        <v>1020984</v>
      </c>
      <c r="AB17" s="261">
        <f t="shared" si="19"/>
        <v>425771</v>
      </c>
      <c r="AC17" s="262">
        <f t="shared" si="19"/>
        <v>564718</v>
      </c>
      <c r="AD17" s="263">
        <f t="shared" si="19"/>
        <v>946471</v>
      </c>
      <c r="AE17" s="261">
        <f t="shared" si="19"/>
        <v>406063</v>
      </c>
      <c r="AF17" s="261">
        <f t="shared" si="19"/>
        <v>315400</v>
      </c>
      <c r="AG17" s="261">
        <f t="shared" ref="AG17" si="20">SUM(AG12:AG16)</f>
        <v>136231</v>
      </c>
      <c r="AH17" s="261">
        <f t="shared" ref="AH17" si="21">SUM(AH12:AH16)</f>
        <v>88777</v>
      </c>
      <c r="AI17" s="263">
        <f t="shared" ref="AI17:AP17" si="22">SUM(AI12:AI16)</f>
        <v>580611</v>
      </c>
      <c r="AJ17" s="261">
        <f t="shared" si="22"/>
        <v>140762</v>
      </c>
      <c r="AK17" s="261">
        <f t="shared" si="22"/>
        <v>157976</v>
      </c>
      <c r="AL17" s="261">
        <f t="shared" si="22"/>
        <v>124845</v>
      </c>
      <c r="AM17" s="261">
        <f t="shared" si="22"/>
        <v>157031</v>
      </c>
      <c r="AN17" s="263">
        <f t="shared" si="22"/>
        <v>1007022</v>
      </c>
      <c r="AO17" s="261">
        <f t="shared" si="22"/>
        <v>176233</v>
      </c>
      <c r="AP17" s="261">
        <f t="shared" si="22"/>
        <v>245448</v>
      </c>
      <c r="AQ17" s="261">
        <f>SUM(AQ12:AQ16)</f>
        <v>276404</v>
      </c>
      <c r="AR17" s="261">
        <v>308937</v>
      </c>
      <c r="AS17" s="263">
        <v>630799</v>
      </c>
      <c r="AT17" s="261">
        <v>216900</v>
      </c>
      <c r="AU17" s="261">
        <v>186457</v>
      </c>
      <c r="AV17" s="261">
        <v>132875</v>
      </c>
      <c r="AW17" s="261">
        <v>94568</v>
      </c>
      <c r="AX17" s="263">
        <v>677977</v>
      </c>
      <c r="AY17" s="264"/>
      <c r="AZ17" s="264"/>
      <c r="BA17" s="264"/>
      <c r="BB17" s="264"/>
      <c r="BC17" s="264"/>
      <c r="BD17" s="264"/>
      <c r="BE17" s="264"/>
      <c r="BF17" s="264"/>
    </row>
    <row r="18" spans="2:58" s="274" customFormat="1" ht="6" customHeight="1">
      <c r="B18" s="275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  <c r="P18" s="275"/>
      <c r="Q18" s="275"/>
      <c r="R18" s="275"/>
      <c r="S18" s="275"/>
      <c r="T18" s="275"/>
      <c r="U18" s="275"/>
      <c r="V18" s="275"/>
      <c r="W18" s="275"/>
      <c r="X18" s="275"/>
      <c r="Y18" s="275"/>
      <c r="Z18" s="275"/>
      <c r="AA18" s="275"/>
      <c r="AB18" s="275"/>
      <c r="AC18" s="275"/>
      <c r="AD18" s="275"/>
      <c r="AE18" s="275"/>
      <c r="AF18" s="275"/>
      <c r="AG18" s="275"/>
      <c r="AH18" s="275"/>
      <c r="AI18" s="275"/>
      <c r="AJ18" s="275"/>
      <c r="AK18" s="275"/>
      <c r="AL18" s="275"/>
      <c r="AM18" s="275"/>
      <c r="AN18" s="275"/>
      <c r="AO18" s="275"/>
      <c r="AP18" s="275"/>
      <c r="AQ18" s="276"/>
      <c r="AR18" s="276"/>
      <c r="AS18" s="275"/>
      <c r="AT18" s="276"/>
      <c r="AU18" s="276"/>
      <c r="AV18" s="276"/>
      <c r="AW18" s="276"/>
      <c r="AX18" s="275"/>
      <c r="AY18" s="277"/>
      <c r="AZ18" s="277"/>
      <c r="BA18" s="277"/>
      <c r="BB18" s="277"/>
      <c r="BC18" s="277"/>
      <c r="BD18" s="277"/>
      <c r="BE18" s="277"/>
      <c r="BF18" s="277"/>
    </row>
    <row r="19" spans="2:58" s="265" customFormat="1" ht="14.25">
      <c r="B19" s="278" t="s">
        <v>413</v>
      </c>
      <c r="C19" s="278"/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278"/>
      <c r="Q19" s="278"/>
      <c r="R19" s="278"/>
      <c r="S19" s="278"/>
      <c r="T19" s="278"/>
      <c r="U19" s="278"/>
      <c r="V19" s="278"/>
      <c r="W19" s="278"/>
      <c r="X19" s="278"/>
      <c r="Y19" s="278"/>
      <c r="Z19" s="278"/>
      <c r="AA19" s="278"/>
      <c r="AB19" s="278"/>
      <c r="AC19" s="278"/>
      <c r="AD19" s="278"/>
      <c r="AE19" s="278"/>
      <c r="AF19" s="278"/>
      <c r="AG19" s="278"/>
      <c r="AH19" s="278"/>
      <c r="AI19" s="278"/>
      <c r="AJ19" s="278"/>
      <c r="AK19" s="278"/>
      <c r="AL19" s="278"/>
      <c r="AM19" s="278"/>
      <c r="AN19" s="278"/>
      <c r="AO19" s="278"/>
      <c r="AP19" s="278"/>
      <c r="AQ19" s="279"/>
      <c r="AR19" s="279"/>
      <c r="AS19" s="278"/>
      <c r="AT19" s="279"/>
      <c r="AU19" s="279"/>
      <c r="AV19" s="279"/>
      <c r="AW19" s="279"/>
      <c r="AX19" s="278"/>
      <c r="AY19" s="280"/>
      <c r="BD19" s="280"/>
    </row>
    <row r="20" spans="2:58">
      <c r="AQ20" s="281"/>
      <c r="AR20" s="281"/>
      <c r="AT20" s="281"/>
      <c r="AU20" s="281"/>
      <c r="AV20" s="281"/>
      <c r="AW20" s="281"/>
      <c r="BA20" s="85"/>
    </row>
    <row r="21" spans="2:58">
      <c r="AQ21" s="282"/>
      <c r="AR21" s="283"/>
      <c r="BA21" s="85"/>
    </row>
    <row r="22" spans="2:58">
      <c r="AQ22" s="283"/>
      <c r="AR22" s="283"/>
    </row>
    <row r="23" spans="2:58">
      <c r="AQ23" s="283"/>
      <c r="AR23" s="283"/>
      <c r="AY23" s="85"/>
    </row>
    <row r="24" spans="2:58">
      <c r="AQ24" s="283"/>
      <c r="AR24" s="283"/>
    </row>
    <row r="25" spans="2:58">
      <c r="AQ25" s="283"/>
      <c r="AR25" s="283"/>
    </row>
    <row r="26" spans="2:58">
      <c r="AQ26" s="283"/>
      <c r="AR26" s="283"/>
    </row>
  </sheetData>
  <mergeCells count="50">
    <mergeCell ref="E10:E11"/>
    <mergeCell ref="F10:F11"/>
    <mergeCell ref="G10:G11"/>
    <mergeCell ref="B7:B8"/>
    <mergeCell ref="B10:B11"/>
    <mergeCell ref="D10:D11"/>
    <mergeCell ref="C10:C11"/>
    <mergeCell ref="I10:I11"/>
    <mergeCell ref="H10:H11"/>
    <mergeCell ref="AX10:AX11"/>
    <mergeCell ref="AV10:AV11"/>
    <mergeCell ref="AU10:AU11"/>
    <mergeCell ref="AT10:AT11"/>
    <mergeCell ref="AR10:AR11"/>
    <mergeCell ref="AQ10:AQ11"/>
    <mergeCell ref="AW10:AW11"/>
    <mergeCell ref="AS10:AS11"/>
    <mergeCell ref="AI10:AI11"/>
    <mergeCell ref="AJ10:AJ11"/>
    <mergeCell ref="AP10:AP11"/>
    <mergeCell ref="AL10:AL11"/>
    <mergeCell ref="R10:R11"/>
    <mergeCell ref="Q10:Q11"/>
    <mergeCell ref="AN10:AN11"/>
    <mergeCell ref="AM10:AM11"/>
    <mergeCell ref="AO10:AO11"/>
    <mergeCell ref="AF10:AF11"/>
    <mergeCell ref="AG10:AG11"/>
    <mergeCell ref="AH10:AH11"/>
    <mergeCell ref="J10:J11"/>
    <mergeCell ref="K10:K11"/>
    <mergeCell ref="AA10:AA11"/>
    <mergeCell ref="AC10:AC11"/>
    <mergeCell ref="AK10:AK11"/>
    <mergeCell ref="M10:M11"/>
    <mergeCell ref="L10:L11"/>
    <mergeCell ref="O10:O11"/>
    <mergeCell ref="P10:P11"/>
    <mergeCell ref="N10:N11"/>
    <mergeCell ref="W10:W11"/>
    <mergeCell ref="V10:V11"/>
    <mergeCell ref="T10:T11"/>
    <mergeCell ref="U10:U11"/>
    <mergeCell ref="S10:S11"/>
    <mergeCell ref="AE10:AE11"/>
    <mergeCell ref="AD10:AD11"/>
    <mergeCell ref="X10:X11"/>
    <mergeCell ref="Z10:Z11"/>
    <mergeCell ref="Y10:Y11"/>
    <mergeCell ref="AB10:AB11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515151"/>
    <pageSetUpPr fitToPage="1"/>
  </sheetPr>
  <dimension ref="B1:AS38"/>
  <sheetViews>
    <sheetView showGridLines="0" zoomScale="90" zoomScaleNormal="9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A18" sqref="A18:XFD18"/>
    </sheetView>
  </sheetViews>
  <sheetFormatPr defaultColWidth="9.140625" defaultRowHeight="14.25"/>
  <cols>
    <col min="1" max="1" width="1.7109375" style="289" customWidth="1"/>
    <col min="2" max="2" width="57.28515625" style="289" customWidth="1"/>
    <col min="3" max="3" width="11.42578125" style="313" bestFit="1" customWidth="1"/>
    <col min="4" max="10" width="20.7109375" style="313" customWidth="1"/>
    <col min="11" max="11" width="22.42578125" style="313" customWidth="1"/>
    <col min="12" max="14" width="20.7109375" style="313" customWidth="1"/>
    <col min="15" max="15" width="23.28515625" style="313" customWidth="1"/>
    <col min="16" max="16" width="16" style="313" customWidth="1"/>
    <col min="17" max="17" width="17.5703125" style="313" customWidth="1"/>
    <col min="18" max="18" width="22.42578125" style="313" bestFit="1" customWidth="1"/>
    <col min="19" max="19" width="23.140625" style="313" bestFit="1" customWidth="1"/>
    <col min="20" max="20" width="16" style="313" customWidth="1"/>
    <col min="21" max="21" width="17.7109375" style="313" bestFit="1" customWidth="1"/>
    <col min="22" max="22" width="22.42578125" style="313" bestFit="1" customWidth="1"/>
    <col min="23" max="23" width="23.140625" style="313" bestFit="1" customWidth="1"/>
    <col min="24" max="24" width="16.28515625" style="313" bestFit="1" customWidth="1"/>
    <col min="25" max="25" width="17.7109375" style="313" bestFit="1" customWidth="1"/>
    <col min="26" max="26" width="22.42578125" style="313" bestFit="1" customWidth="1"/>
    <col min="27" max="27" width="23.140625" style="313" bestFit="1" customWidth="1"/>
    <col min="28" max="28" width="16.28515625" style="313" bestFit="1" customWidth="1"/>
    <col min="29" max="29" width="17.7109375" style="313" bestFit="1" customWidth="1"/>
    <col min="30" max="30" width="22.42578125" style="313" bestFit="1" customWidth="1"/>
    <col min="31" max="31" width="23.140625" style="313" bestFit="1" customWidth="1"/>
    <col min="32" max="32" width="16.28515625" style="313" bestFit="1" customWidth="1"/>
    <col min="33" max="33" width="17.7109375" style="313" bestFit="1" customWidth="1"/>
    <col min="34" max="34" width="22.42578125" style="313" bestFit="1" customWidth="1"/>
    <col min="35" max="35" width="23.140625" style="313" bestFit="1" customWidth="1"/>
    <col min="36" max="36" width="16.28515625" style="313" bestFit="1" customWidth="1"/>
    <col min="37" max="37" width="17.7109375" style="313" bestFit="1" customWidth="1"/>
    <col min="38" max="38" width="22.42578125" style="313" bestFit="1" customWidth="1"/>
    <col min="39" max="39" width="23.140625" style="313" bestFit="1" customWidth="1"/>
    <col min="40" max="40" width="16.28515625" style="313" bestFit="1" customWidth="1"/>
    <col min="41" max="41" width="17.7109375" style="313" bestFit="1" customWidth="1"/>
    <col min="42" max="42" width="22.42578125" style="313" bestFit="1" customWidth="1"/>
    <col min="43" max="43" width="9.140625" style="289"/>
    <col min="44" max="44" width="13.85546875" style="289" bestFit="1" customWidth="1"/>
    <col min="45" max="16384" width="9.140625" style="289"/>
  </cols>
  <sheetData>
    <row r="1" spans="2:44" s="181" customFormat="1" ht="9" customHeight="1"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</row>
    <row r="2" spans="2:44" s="181" customFormat="1" ht="15.75" customHeight="1"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3"/>
      <c r="AM2" s="183"/>
      <c r="AN2" s="183"/>
      <c r="AO2" s="183"/>
      <c r="AP2" s="183"/>
    </row>
    <row r="3" spans="2:44" s="181" customFormat="1" ht="15.75" customHeight="1"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</row>
    <row r="4" spans="2:44" s="181" customFormat="1" ht="15.75" customHeight="1"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</row>
    <row r="5" spans="2:44" s="255" customFormat="1" ht="15.75" customHeight="1">
      <c r="B5" s="256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7"/>
      <c r="AN5" s="257"/>
      <c r="AO5" s="257"/>
      <c r="AP5" s="257"/>
      <c r="AQ5" s="181"/>
    </row>
    <row r="6" spans="2:44" s="255" customFormat="1" ht="9" customHeight="1">
      <c r="B6" s="256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  <c r="Y6" s="257"/>
      <c r="Z6" s="257"/>
      <c r="AA6" s="257"/>
      <c r="AB6" s="257"/>
      <c r="AC6" s="257"/>
      <c r="AD6" s="257"/>
      <c r="AE6" s="257"/>
      <c r="AF6" s="257"/>
      <c r="AG6" s="257"/>
      <c r="AH6" s="257"/>
      <c r="AI6" s="257"/>
      <c r="AJ6" s="257"/>
      <c r="AK6" s="257"/>
      <c r="AL6" s="257"/>
      <c r="AM6" s="257"/>
      <c r="AN6" s="257"/>
      <c r="AO6" s="257"/>
      <c r="AP6" s="257"/>
    </row>
    <row r="7" spans="2:44" s="181" customFormat="1" ht="15" customHeight="1">
      <c r="B7" s="434" t="s">
        <v>366</v>
      </c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2"/>
      <c r="AJ7" s="232"/>
      <c r="AK7" s="232"/>
      <c r="AL7" s="232"/>
      <c r="AM7" s="232"/>
      <c r="AN7" s="232"/>
      <c r="AO7" s="232"/>
      <c r="AP7" s="232"/>
    </row>
    <row r="8" spans="2:44" s="181" customFormat="1" ht="15" customHeight="1">
      <c r="B8" s="434"/>
      <c r="C8" s="232"/>
      <c r="D8" s="232"/>
      <c r="E8" s="232"/>
      <c r="F8" s="232"/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2"/>
      <c r="AB8" s="232"/>
      <c r="AC8" s="232"/>
      <c r="AD8" s="232"/>
      <c r="AE8" s="232"/>
      <c r="AF8" s="232"/>
      <c r="AG8" s="232"/>
      <c r="AH8" s="232"/>
      <c r="AI8" s="232"/>
      <c r="AJ8" s="232"/>
      <c r="AK8" s="232"/>
      <c r="AL8" s="232"/>
      <c r="AM8" s="232"/>
      <c r="AN8" s="232"/>
      <c r="AO8" s="232"/>
      <c r="AP8" s="232"/>
    </row>
    <row r="9" spans="2:44" s="255" customFormat="1" ht="9" customHeight="1">
      <c r="B9" s="256"/>
      <c r="C9" s="257"/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7"/>
      <c r="AB9" s="257"/>
      <c r="AC9" s="257"/>
      <c r="AD9" s="257"/>
      <c r="AE9" s="257"/>
      <c r="AF9" s="257"/>
      <c r="AG9" s="257"/>
      <c r="AH9" s="257"/>
      <c r="AI9" s="257"/>
      <c r="AJ9" s="257"/>
      <c r="AK9" s="257"/>
      <c r="AL9" s="257"/>
      <c r="AM9" s="257"/>
      <c r="AN9" s="257"/>
      <c r="AO9" s="257"/>
      <c r="AP9" s="257"/>
    </row>
    <row r="10" spans="2:44" ht="30" customHeight="1">
      <c r="B10" s="285" t="s">
        <v>373</v>
      </c>
      <c r="C10" s="286" t="s">
        <v>179</v>
      </c>
      <c r="D10" s="287">
        <v>46203</v>
      </c>
      <c r="E10" s="417" t="s">
        <v>456</v>
      </c>
      <c r="F10" s="397" t="s">
        <v>453</v>
      </c>
      <c r="G10" s="417" t="s">
        <v>449</v>
      </c>
      <c r="H10" s="287">
        <v>45838</v>
      </c>
      <c r="I10" s="417" t="s">
        <v>441</v>
      </c>
      <c r="J10" s="397" t="s">
        <v>435</v>
      </c>
      <c r="K10" s="286" t="s">
        <v>431</v>
      </c>
      <c r="L10" s="287">
        <v>45473</v>
      </c>
      <c r="M10" s="417" t="s">
        <v>419</v>
      </c>
      <c r="N10" s="397" t="s">
        <v>414</v>
      </c>
      <c r="O10" s="286" t="s">
        <v>403</v>
      </c>
      <c r="P10" s="287">
        <v>45107</v>
      </c>
      <c r="Q10" s="417" t="s">
        <v>393</v>
      </c>
      <c r="R10" s="397" t="s">
        <v>389</v>
      </c>
      <c r="S10" s="286" t="s">
        <v>384</v>
      </c>
      <c r="T10" s="287">
        <v>44742</v>
      </c>
      <c r="U10" s="287">
        <v>44651</v>
      </c>
      <c r="V10" s="288" t="s">
        <v>356</v>
      </c>
      <c r="W10" s="287">
        <v>44469</v>
      </c>
      <c r="X10" s="287">
        <v>44377</v>
      </c>
      <c r="Y10" s="287">
        <v>44286</v>
      </c>
      <c r="Z10" s="288">
        <v>44196</v>
      </c>
      <c r="AA10" s="287">
        <v>44104</v>
      </c>
      <c r="AB10" s="287">
        <v>44012</v>
      </c>
      <c r="AC10" s="287">
        <v>43921</v>
      </c>
      <c r="AD10" s="288">
        <v>43830</v>
      </c>
      <c r="AE10" s="287">
        <v>43738</v>
      </c>
      <c r="AF10" s="287">
        <v>43646</v>
      </c>
      <c r="AG10" s="287">
        <v>43555</v>
      </c>
      <c r="AH10" s="288">
        <v>43465</v>
      </c>
      <c r="AI10" s="287">
        <v>43373</v>
      </c>
      <c r="AJ10" s="287">
        <v>43281</v>
      </c>
      <c r="AK10" s="287">
        <v>43190</v>
      </c>
      <c r="AL10" s="288">
        <v>43100</v>
      </c>
      <c r="AM10" s="287">
        <v>43008</v>
      </c>
      <c r="AN10" s="287">
        <v>42916</v>
      </c>
      <c r="AO10" s="287">
        <v>42825</v>
      </c>
      <c r="AP10" s="288">
        <v>42735</v>
      </c>
    </row>
    <row r="11" spans="2:44" s="294" customFormat="1" ht="15" customHeight="1">
      <c r="B11" s="290" t="s">
        <v>289</v>
      </c>
      <c r="C11" s="291"/>
      <c r="D11" s="291">
        <f t="shared" ref="D11:U11" si="0">SUM(D12:D18)</f>
        <v>3318646</v>
      </c>
      <c r="E11" s="291">
        <f t="shared" si="0"/>
        <v>3358517</v>
      </c>
      <c r="F11" s="292">
        <f t="shared" si="0"/>
        <v>3306353</v>
      </c>
      <c r="G11" s="291">
        <f t="shared" si="0"/>
        <v>3102854</v>
      </c>
      <c r="H11" s="291">
        <f t="shared" si="0"/>
        <v>2532705</v>
      </c>
      <c r="I11" s="291">
        <f t="shared" si="0"/>
        <v>2394536</v>
      </c>
      <c r="J11" s="292">
        <f t="shared" si="0"/>
        <v>2257940</v>
      </c>
      <c r="K11" s="291">
        <f t="shared" si="0"/>
        <v>2740027</v>
      </c>
      <c r="L11" s="291">
        <f t="shared" si="0"/>
        <v>2466710</v>
      </c>
      <c r="M11" s="291">
        <f t="shared" si="0"/>
        <v>2612087</v>
      </c>
      <c r="N11" s="292">
        <f t="shared" si="0"/>
        <v>2051421</v>
      </c>
      <c r="O11" s="291">
        <f t="shared" si="0"/>
        <v>1332245</v>
      </c>
      <c r="P11" s="291">
        <f t="shared" si="0"/>
        <v>1298608</v>
      </c>
      <c r="Q11" s="291">
        <f t="shared" si="0"/>
        <v>1428260</v>
      </c>
      <c r="R11" s="292">
        <f t="shared" si="0"/>
        <v>1391744</v>
      </c>
      <c r="S11" s="291">
        <f t="shared" si="0"/>
        <v>1430547</v>
      </c>
      <c r="T11" s="291">
        <f t="shared" si="0"/>
        <v>1415422</v>
      </c>
      <c r="U11" s="291">
        <f t="shared" si="0"/>
        <v>1432500</v>
      </c>
      <c r="V11" s="292">
        <v>1474829</v>
      </c>
      <c r="W11" s="291">
        <f>SUM(W12:W18)</f>
        <v>970003</v>
      </c>
      <c r="X11" s="291">
        <f>SUM(X12:X18)</f>
        <v>768559</v>
      </c>
      <c r="Y11" s="291">
        <v>557282.59436999995</v>
      </c>
      <c r="Z11" s="292">
        <f t="shared" ref="Z11:AJ11" si="1">SUM(Z12:Z18)</f>
        <v>713540</v>
      </c>
      <c r="AA11" s="291">
        <f t="shared" si="1"/>
        <v>734665</v>
      </c>
      <c r="AB11" s="291">
        <f t="shared" si="1"/>
        <v>761384</v>
      </c>
      <c r="AC11" s="291">
        <f t="shared" si="1"/>
        <v>761432</v>
      </c>
      <c r="AD11" s="292">
        <f t="shared" si="1"/>
        <v>673529</v>
      </c>
      <c r="AE11" s="291">
        <f t="shared" si="1"/>
        <v>763670</v>
      </c>
      <c r="AF11" s="291">
        <f t="shared" si="1"/>
        <v>769177</v>
      </c>
      <c r="AG11" s="291">
        <f t="shared" si="1"/>
        <v>908037</v>
      </c>
      <c r="AH11" s="292">
        <f t="shared" si="1"/>
        <v>997850</v>
      </c>
      <c r="AI11" s="291">
        <f t="shared" si="1"/>
        <v>1067194</v>
      </c>
      <c r="AJ11" s="291">
        <f t="shared" si="1"/>
        <v>1217756</v>
      </c>
      <c r="AK11" s="291">
        <v>1369176</v>
      </c>
      <c r="AL11" s="292">
        <v>778926</v>
      </c>
      <c r="AM11" s="291">
        <v>760693</v>
      </c>
      <c r="AN11" s="291">
        <v>549462</v>
      </c>
      <c r="AO11" s="291">
        <v>483183</v>
      </c>
      <c r="AP11" s="292">
        <v>597507</v>
      </c>
      <c r="AQ11" s="293"/>
      <c r="AR11" s="293"/>
    </row>
    <row r="12" spans="2:44" ht="15" customHeight="1">
      <c r="B12" s="295" t="s">
        <v>313</v>
      </c>
      <c r="C12" s="296" t="s">
        <v>149</v>
      </c>
      <c r="D12" s="296">
        <v>2527765</v>
      </c>
      <c r="E12" s="296">
        <v>2496329</v>
      </c>
      <c r="F12" s="297">
        <v>2496347</v>
      </c>
      <c r="G12" s="296">
        <v>2460286</v>
      </c>
      <c r="H12" s="296">
        <v>2079597</v>
      </c>
      <c r="I12" s="296">
        <v>2115240</v>
      </c>
      <c r="J12" s="297">
        <v>2089304</v>
      </c>
      <c r="K12" s="296">
        <v>2151302</v>
      </c>
      <c r="L12" s="296">
        <v>1574586</v>
      </c>
      <c r="M12" s="296">
        <v>1809946</v>
      </c>
      <c r="N12" s="297">
        <v>1755548</v>
      </c>
      <c r="O12" s="296">
        <v>1042458</v>
      </c>
      <c r="P12" s="296">
        <v>1008635</v>
      </c>
      <c r="Q12" s="296">
        <v>1131625</v>
      </c>
      <c r="R12" s="297">
        <v>1102149</v>
      </c>
      <c r="S12" s="296">
        <v>1137322</v>
      </c>
      <c r="T12" s="296">
        <v>1107311</v>
      </c>
      <c r="U12" s="296">
        <v>1120772</v>
      </c>
      <c r="V12" s="297">
        <v>1157764</v>
      </c>
      <c r="W12" s="296">
        <v>648566</v>
      </c>
      <c r="X12" s="296">
        <v>630935</v>
      </c>
      <c r="Y12" s="296">
        <v>274864.39536999998</v>
      </c>
      <c r="Z12" s="297">
        <v>337653</v>
      </c>
      <c r="AA12" s="296">
        <v>336700</v>
      </c>
      <c r="AB12" s="296">
        <v>334366</v>
      </c>
      <c r="AC12" s="296">
        <v>387846</v>
      </c>
      <c r="AD12" s="297">
        <v>406150</v>
      </c>
      <c r="AE12" s="296">
        <v>458658</v>
      </c>
      <c r="AF12" s="296">
        <v>455104</v>
      </c>
      <c r="AG12" s="296">
        <v>504205</v>
      </c>
      <c r="AH12" s="297">
        <f>151872+356058</f>
        <v>507930</v>
      </c>
      <c r="AI12" s="298">
        <f>207130+348392</f>
        <v>555522</v>
      </c>
      <c r="AJ12" s="298">
        <f>202349+353263</f>
        <v>555612</v>
      </c>
      <c r="AK12" s="298">
        <f>257887+344304</f>
        <v>602191</v>
      </c>
      <c r="AL12" s="297">
        <v>252554</v>
      </c>
      <c r="AM12" s="298">
        <v>313913</v>
      </c>
      <c r="AN12" s="298">
        <v>306299</v>
      </c>
      <c r="AO12" s="298">
        <v>372419</v>
      </c>
      <c r="AP12" s="297">
        <v>361418</v>
      </c>
      <c r="AQ12" s="293"/>
      <c r="AR12" s="293"/>
    </row>
    <row r="13" spans="2:44" ht="15" customHeight="1">
      <c r="B13" s="295" t="s">
        <v>351</v>
      </c>
      <c r="C13" s="296" t="s">
        <v>149</v>
      </c>
      <c r="D13" s="296">
        <v>0</v>
      </c>
      <c r="E13" s="296">
        <v>0</v>
      </c>
      <c r="F13" s="297">
        <v>0</v>
      </c>
      <c r="G13" s="296">
        <v>0</v>
      </c>
      <c r="H13" s="296">
        <v>0</v>
      </c>
      <c r="I13" s="296">
        <v>0</v>
      </c>
      <c r="J13" s="297">
        <v>0</v>
      </c>
      <c r="K13" s="296">
        <v>527471</v>
      </c>
      <c r="L13" s="296">
        <v>802520</v>
      </c>
      <c r="M13" s="296">
        <v>777983</v>
      </c>
      <c r="N13" s="297">
        <v>271206</v>
      </c>
      <c r="O13" s="296">
        <v>264436</v>
      </c>
      <c r="P13" s="296">
        <v>256007</v>
      </c>
      <c r="Q13" s="296">
        <v>249664</v>
      </c>
      <c r="R13" s="297">
        <v>242631</v>
      </c>
      <c r="S13" s="296">
        <v>233252</v>
      </c>
      <c r="T13" s="296">
        <v>226627</v>
      </c>
      <c r="U13" s="296">
        <v>217755</v>
      </c>
      <c r="V13" s="297">
        <v>210640</v>
      </c>
      <c r="W13" s="296">
        <v>203782</v>
      </c>
      <c r="X13" s="296">
        <v>0</v>
      </c>
      <c r="Y13" s="296">
        <v>0</v>
      </c>
      <c r="Z13" s="297">
        <v>0</v>
      </c>
      <c r="AA13" s="296">
        <v>0</v>
      </c>
      <c r="AB13" s="296">
        <v>0</v>
      </c>
      <c r="AC13" s="296">
        <v>0</v>
      </c>
      <c r="AD13" s="297">
        <v>0</v>
      </c>
      <c r="AE13" s="296">
        <v>0</v>
      </c>
      <c r="AF13" s="296">
        <v>0</v>
      </c>
      <c r="AG13" s="296">
        <v>0</v>
      </c>
      <c r="AH13" s="297">
        <v>0</v>
      </c>
      <c r="AI13" s="298">
        <v>0</v>
      </c>
      <c r="AJ13" s="298">
        <v>0</v>
      </c>
      <c r="AK13" s="298">
        <v>0</v>
      </c>
      <c r="AL13" s="297">
        <v>0</v>
      </c>
      <c r="AM13" s="298">
        <v>0</v>
      </c>
      <c r="AN13" s="298">
        <v>0</v>
      </c>
      <c r="AO13" s="298">
        <v>0</v>
      </c>
      <c r="AP13" s="297">
        <v>0</v>
      </c>
      <c r="AQ13" s="293"/>
      <c r="AR13" s="293"/>
    </row>
    <row r="14" spans="2:44" ht="15" customHeight="1">
      <c r="B14" s="295" t="s">
        <v>317</v>
      </c>
      <c r="C14" s="296" t="s">
        <v>149</v>
      </c>
      <c r="D14" s="296">
        <v>0</v>
      </c>
      <c r="E14" s="296"/>
      <c r="F14" s="297">
        <v>0</v>
      </c>
      <c r="G14" s="296">
        <v>0</v>
      </c>
      <c r="H14" s="296">
        <v>0</v>
      </c>
      <c r="I14" s="296">
        <v>0</v>
      </c>
      <c r="J14" s="297">
        <v>0</v>
      </c>
      <c r="K14" s="296">
        <v>0</v>
      </c>
      <c r="L14" s="296">
        <v>0</v>
      </c>
      <c r="M14" s="296">
        <v>0</v>
      </c>
      <c r="N14" s="297">
        <v>0</v>
      </c>
      <c r="O14" s="296">
        <v>0</v>
      </c>
      <c r="P14" s="296">
        <v>0</v>
      </c>
      <c r="Q14" s="296">
        <v>12570</v>
      </c>
      <c r="R14" s="297">
        <v>12347</v>
      </c>
      <c r="S14" s="296">
        <v>24893</v>
      </c>
      <c r="T14" s="296">
        <v>37652</v>
      </c>
      <c r="U14" s="296">
        <v>50297</v>
      </c>
      <c r="V14" s="297">
        <v>62706</v>
      </c>
      <c r="W14" s="296">
        <v>74134</v>
      </c>
      <c r="X14" s="296">
        <v>85362</v>
      </c>
      <c r="Y14" s="296">
        <v>226484.19899999999</v>
      </c>
      <c r="Z14" s="297">
        <v>316382</v>
      </c>
      <c r="AA14" s="296">
        <v>334945</v>
      </c>
      <c r="AB14" s="296">
        <v>355711</v>
      </c>
      <c r="AC14" s="296">
        <v>252455</v>
      </c>
      <c r="AD14" s="297">
        <v>196579</v>
      </c>
      <c r="AE14" s="296">
        <v>207692</v>
      </c>
      <c r="AF14" s="296">
        <v>266272</v>
      </c>
      <c r="AG14" s="296">
        <f>334690+18223</f>
        <v>352913</v>
      </c>
      <c r="AH14" s="297">
        <f>338815+69769+9308</f>
        <v>417892</v>
      </c>
      <c r="AI14" s="298">
        <f>340223+98143+9081</f>
        <v>447447</v>
      </c>
      <c r="AJ14" s="298">
        <f>389594+161254+18454</f>
        <v>569302</v>
      </c>
      <c r="AK14" s="298">
        <f>466122+196961+18008</f>
        <v>681091</v>
      </c>
      <c r="AL14" s="297">
        <f>351234+69729+27543</f>
        <v>448506</v>
      </c>
      <c r="AM14" s="298">
        <f>253852+110526+26824</f>
        <v>391202</v>
      </c>
      <c r="AN14" s="298">
        <f>148107+36790</f>
        <v>184897</v>
      </c>
      <c r="AO14" s="298">
        <f>35553+10063</f>
        <v>45616</v>
      </c>
      <c r="AP14" s="297">
        <f>4795+55695</f>
        <v>60490</v>
      </c>
      <c r="AQ14" s="293"/>
      <c r="AR14" s="293"/>
    </row>
    <row r="15" spans="2:44" ht="15" customHeight="1">
      <c r="B15" s="295" t="s">
        <v>308</v>
      </c>
      <c r="C15" s="296" t="s">
        <v>150</v>
      </c>
      <c r="D15" s="296">
        <v>366</v>
      </c>
      <c r="E15" s="296">
        <v>62940</v>
      </c>
      <c r="F15" s="297">
        <v>58462</v>
      </c>
      <c r="G15" s="296">
        <v>68383</v>
      </c>
      <c r="H15" s="296">
        <v>27684</v>
      </c>
      <c r="I15" s="296">
        <v>63599</v>
      </c>
      <c r="J15" s="297">
        <v>1185</v>
      </c>
      <c r="K15" s="296">
        <v>46469</v>
      </c>
      <c r="L15" s="296">
        <v>66115</v>
      </c>
      <c r="M15" s="296">
        <v>0</v>
      </c>
      <c r="N15" s="297">
        <v>6</v>
      </c>
      <c r="O15" s="296">
        <v>6</v>
      </c>
      <c r="P15" s="296">
        <v>1</v>
      </c>
      <c r="Q15" s="296">
        <v>2</v>
      </c>
      <c r="R15" s="297">
        <v>0</v>
      </c>
      <c r="S15" s="296">
        <v>2</v>
      </c>
      <c r="T15" s="296">
        <v>2</v>
      </c>
      <c r="U15" s="296">
        <v>1</v>
      </c>
      <c r="V15" s="297">
        <v>2</v>
      </c>
      <c r="W15" s="296">
        <v>2</v>
      </c>
      <c r="X15" s="296">
        <v>1</v>
      </c>
      <c r="Y15" s="296">
        <v>2</v>
      </c>
      <c r="Z15" s="297">
        <v>1</v>
      </c>
      <c r="AA15" s="296">
        <v>0</v>
      </c>
      <c r="AB15" s="296">
        <v>2</v>
      </c>
      <c r="AC15" s="296">
        <v>59390</v>
      </c>
      <c r="AD15" s="297">
        <v>6147</v>
      </c>
      <c r="AE15" s="296">
        <v>52943</v>
      </c>
      <c r="AF15" s="296">
        <v>176</v>
      </c>
      <c r="AG15" s="296">
        <v>1784</v>
      </c>
      <c r="AH15" s="297">
        <v>20040</v>
      </c>
      <c r="AI15" s="298">
        <v>26433</v>
      </c>
      <c r="AJ15" s="298">
        <v>50728</v>
      </c>
      <c r="AK15" s="298">
        <v>58438</v>
      </c>
      <c r="AL15" s="297">
        <v>47598</v>
      </c>
      <c r="AM15" s="298">
        <f>26541</f>
        <v>26541</v>
      </c>
      <c r="AN15" s="298">
        <v>29829</v>
      </c>
      <c r="AO15" s="298">
        <v>34034</v>
      </c>
      <c r="AP15" s="297">
        <v>57991</v>
      </c>
      <c r="AQ15" s="293"/>
      <c r="AR15" s="293"/>
    </row>
    <row r="16" spans="2:44" ht="15" customHeight="1">
      <c r="B16" s="295" t="s">
        <v>314</v>
      </c>
      <c r="C16" s="296" t="s">
        <v>149</v>
      </c>
      <c r="D16" s="296">
        <v>589919</v>
      </c>
      <c r="E16" s="296">
        <v>595882</v>
      </c>
      <c r="F16" s="297">
        <v>548841</v>
      </c>
      <c r="G16" s="296">
        <v>371954</v>
      </c>
      <c r="H16" s="296">
        <v>220522</v>
      </c>
      <c r="I16" s="296">
        <v>13347</v>
      </c>
      <c r="J16" s="297">
        <v>14034</v>
      </c>
      <c r="K16" s="296">
        <v>14785</v>
      </c>
      <c r="L16" s="296">
        <v>23489</v>
      </c>
      <c r="M16" s="296">
        <v>24158</v>
      </c>
      <c r="N16" s="297">
        <v>24661</v>
      </c>
      <c r="O16" s="296">
        <v>25345</v>
      </c>
      <c r="P16" s="296">
        <v>33965</v>
      </c>
      <c r="Q16" s="296">
        <v>34399</v>
      </c>
      <c r="R16" s="297">
        <v>34617</v>
      </c>
      <c r="S16" s="296">
        <v>35078</v>
      </c>
      <c r="T16" s="296">
        <v>43830</v>
      </c>
      <c r="U16" s="296">
        <v>43675</v>
      </c>
      <c r="V16" s="297">
        <v>43717</v>
      </c>
      <c r="W16" s="296">
        <v>43519</v>
      </c>
      <c r="X16" s="296">
        <v>52261</v>
      </c>
      <c r="Y16" s="296">
        <v>55932</v>
      </c>
      <c r="Z16" s="297">
        <v>59504</v>
      </c>
      <c r="AA16" s="296">
        <v>63020</v>
      </c>
      <c r="AB16" s="296">
        <v>71305</v>
      </c>
      <c r="AC16" s="296">
        <v>61741</v>
      </c>
      <c r="AD16" s="297">
        <v>64653</v>
      </c>
      <c r="AE16" s="296">
        <v>44377</v>
      </c>
      <c r="AF16" s="296">
        <v>47625</v>
      </c>
      <c r="AG16" s="296">
        <v>49135</v>
      </c>
      <c r="AH16" s="297">
        <v>51988</v>
      </c>
      <c r="AI16" s="298">
        <v>37792</v>
      </c>
      <c r="AJ16" s="298">
        <v>42114</v>
      </c>
      <c r="AK16" s="298">
        <v>27456</v>
      </c>
      <c r="AL16" s="297">
        <v>30268</v>
      </c>
      <c r="AM16" s="298">
        <v>29037</v>
      </c>
      <c r="AN16" s="298">
        <v>28437</v>
      </c>
      <c r="AO16" s="298">
        <v>31114</v>
      </c>
      <c r="AP16" s="297">
        <v>33675</v>
      </c>
      <c r="AQ16" s="293"/>
      <c r="AR16" s="293"/>
    </row>
    <row r="17" spans="2:45" ht="15" customHeight="1">
      <c r="B17" s="295" t="s">
        <v>436</v>
      </c>
      <c r="C17" s="296" t="s">
        <v>149</v>
      </c>
      <c r="D17" s="296">
        <v>200596</v>
      </c>
      <c r="E17" s="296">
        <v>203366</v>
      </c>
      <c r="F17" s="297">
        <v>202703</v>
      </c>
      <c r="G17" s="296">
        <v>202231</v>
      </c>
      <c r="H17" s="296">
        <v>202023</v>
      </c>
      <c r="I17" s="296">
        <v>202350</v>
      </c>
      <c r="J17" s="297">
        <v>153417</v>
      </c>
      <c r="K17" s="296"/>
      <c r="L17" s="296"/>
      <c r="M17" s="296"/>
      <c r="N17" s="297"/>
      <c r="O17" s="296"/>
      <c r="P17" s="296"/>
      <c r="Q17" s="296"/>
      <c r="R17" s="297"/>
      <c r="S17" s="296"/>
      <c r="T17" s="296"/>
      <c r="U17" s="296"/>
      <c r="V17" s="297"/>
      <c r="W17" s="296"/>
      <c r="X17" s="296"/>
      <c r="Y17" s="296"/>
      <c r="Z17" s="297"/>
      <c r="AA17" s="296"/>
      <c r="AB17" s="296"/>
      <c r="AC17" s="296"/>
      <c r="AD17" s="297"/>
      <c r="AE17" s="296"/>
      <c r="AF17" s="296"/>
      <c r="AG17" s="296"/>
      <c r="AH17" s="297"/>
      <c r="AI17" s="298"/>
      <c r="AJ17" s="298"/>
      <c r="AK17" s="298"/>
      <c r="AL17" s="297"/>
      <c r="AM17" s="298"/>
      <c r="AN17" s="298"/>
      <c r="AO17" s="298"/>
      <c r="AP17" s="297"/>
      <c r="AQ17" s="293"/>
      <c r="AR17" s="293"/>
    </row>
    <row r="18" spans="2:45" ht="15" customHeight="1">
      <c r="B18" s="295" t="s">
        <v>319</v>
      </c>
      <c r="C18" s="296" t="s">
        <v>149</v>
      </c>
      <c r="D18" s="296">
        <v>0</v>
      </c>
      <c r="E18" s="296"/>
      <c r="F18" s="297">
        <v>0</v>
      </c>
      <c r="G18" s="296">
        <v>0</v>
      </c>
      <c r="H18" s="296">
        <v>2879</v>
      </c>
      <c r="I18" s="296">
        <v>0</v>
      </c>
      <c r="J18" s="297">
        <v>0</v>
      </c>
      <c r="K18" s="296">
        <v>0</v>
      </c>
      <c r="L18" s="296">
        <v>0</v>
      </c>
      <c r="M18" s="296">
        <v>0</v>
      </c>
      <c r="N18" s="297">
        <v>0</v>
      </c>
      <c r="O18" s="296">
        <v>0</v>
      </c>
      <c r="P18" s="296">
        <v>0</v>
      </c>
      <c r="Q18" s="296">
        <v>0</v>
      </c>
      <c r="R18" s="297">
        <v>0</v>
      </c>
      <c r="S18" s="296">
        <v>0</v>
      </c>
      <c r="T18" s="296">
        <v>0</v>
      </c>
      <c r="U18" s="296">
        <v>0</v>
      </c>
      <c r="V18" s="297">
        <v>0</v>
      </c>
      <c r="W18" s="296">
        <v>0</v>
      </c>
      <c r="X18" s="296">
        <v>0</v>
      </c>
      <c r="Y18" s="296">
        <v>0</v>
      </c>
      <c r="Z18" s="297">
        <v>0</v>
      </c>
      <c r="AA18" s="296">
        <v>0</v>
      </c>
      <c r="AB18" s="296">
        <v>0</v>
      </c>
      <c r="AC18" s="296">
        <v>0</v>
      </c>
      <c r="AD18" s="297">
        <v>0</v>
      </c>
      <c r="AE18" s="296">
        <v>0</v>
      </c>
      <c r="AF18" s="296">
        <v>0</v>
      </c>
      <c r="AG18" s="296">
        <v>0</v>
      </c>
      <c r="AH18" s="297">
        <v>0</v>
      </c>
      <c r="AI18" s="298">
        <v>0</v>
      </c>
      <c r="AJ18" s="298">
        <v>0</v>
      </c>
      <c r="AK18" s="298">
        <v>0</v>
      </c>
      <c r="AL18" s="297">
        <v>0</v>
      </c>
      <c r="AM18" s="298">
        <v>0</v>
      </c>
      <c r="AN18" s="298">
        <v>0</v>
      </c>
      <c r="AO18" s="298">
        <v>0</v>
      </c>
      <c r="AP18" s="297">
        <v>83933</v>
      </c>
      <c r="AQ18" s="293"/>
      <c r="AR18" s="293"/>
    </row>
    <row r="19" spans="2:45" s="294" customFormat="1" ht="15" customHeight="1">
      <c r="B19" s="260" t="s">
        <v>290</v>
      </c>
      <c r="C19" s="291"/>
      <c r="D19" s="291">
        <f t="shared" ref="D19" si="2">SUM(D20:D23)</f>
        <v>372312</v>
      </c>
      <c r="E19" s="291">
        <f t="shared" ref="E19" si="3">SUM(E20:E23)</f>
        <v>240160</v>
      </c>
      <c r="F19" s="292">
        <f t="shared" ref="F19" si="4">SUM(F20:F23)</f>
        <v>209488</v>
      </c>
      <c r="G19" s="291">
        <f t="shared" ref="G19" si="5">SUM(G20:G23)</f>
        <v>204329</v>
      </c>
      <c r="H19" s="291">
        <f t="shared" ref="H19" si="6">SUM(H20:H23)</f>
        <v>261206</v>
      </c>
      <c r="I19" s="291">
        <f t="shared" ref="I19" si="7">SUM(I20:I23)</f>
        <v>45262</v>
      </c>
      <c r="J19" s="292">
        <f t="shared" ref="J19" si="8">SUM(J20:J23)</f>
        <v>48079</v>
      </c>
      <c r="K19" s="291">
        <f t="shared" ref="K19:L19" si="9">SUM(K20:K23)</f>
        <v>31034</v>
      </c>
      <c r="L19" s="291">
        <f t="shared" si="9"/>
        <v>31347</v>
      </c>
      <c r="M19" s="291">
        <f>SUM(M20:M23)</f>
        <v>0</v>
      </c>
      <c r="N19" s="292">
        <f>SUM(N20:N23)</f>
        <v>0</v>
      </c>
      <c r="O19" s="291">
        <f>SUM(O20:O23)</f>
        <v>0</v>
      </c>
      <c r="P19" s="291">
        <f>SUM(P20:P23)</f>
        <v>0</v>
      </c>
      <c r="Q19" s="291">
        <f>SUM(Q20:Q23)</f>
        <v>0</v>
      </c>
      <c r="R19" s="292">
        <v>0</v>
      </c>
      <c r="S19" s="291">
        <f>SUM(S20:S23)</f>
        <v>580</v>
      </c>
      <c r="T19" s="291">
        <v>0</v>
      </c>
      <c r="U19" s="291">
        <f>SUM(U20:U23)</f>
        <v>0</v>
      </c>
      <c r="V19" s="292">
        <v>0</v>
      </c>
      <c r="W19" s="291">
        <f>SUM(W20:W23)</f>
        <v>0</v>
      </c>
      <c r="X19" s="291">
        <f>SUM(X20:X23)</f>
        <v>0</v>
      </c>
      <c r="Y19" s="291">
        <v>0</v>
      </c>
      <c r="Z19" s="292">
        <f>SUM(Z20:Z23)</f>
        <v>0</v>
      </c>
      <c r="AA19" s="291">
        <f t="shared" ref="AA19" si="10">SUM(AA20:AA23)</f>
        <v>0</v>
      </c>
      <c r="AB19" s="291">
        <f t="shared" ref="AB19" si="11">SUM(AB20:AB23)</f>
        <v>0</v>
      </c>
      <c r="AC19" s="291">
        <f t="shared" ref="AC19" si="12">SUM(AC20:AC23)</f>
        <v>0</v>
      </c>
      <c r="AD19" s="292">
        <f t="shared" ref="AD19:AE19" si="13">SUM(AD20:AD23)</f>
        <v>4019</v>
      </c>
      <c r="AE19" s="291">
        <f t="shared" si="13"/>
        <v>0</v>
      </c>
      <c r="AF19" s="291">
        <f t="shared" ref="AF19:AJ19" si="14">SUM(AF20:AF23)</f>
        <v>21601</v>
      </c>
      <c r="AG19" s="291">
        <f t="shared" si="14"/>
        <v>29593</v>
      </c>
      <c r="AH19" s="292">
        <f t="shared" si="14"/>
        <v>29996</v>
      </c>
      <c r="AI19" s="291">
        <f t="shared" si="14"/>
        <v>41445.800000000003</v>
      </c>
      <c r="AJ19" s="291">
        <f t="shared" si="14"/>
        <v>60960</v>
      </c>
      <c r="AK19" s="291">
        <v>57988</v>
      </c>
      <c r="AL19" s="292">
        <v>61442</v>
      </c>
      <c r="AM19" s="291">
        <v>64118</v>
      </c>
      <c r="AN19" s="291">
        <v>49649</v>
      </c>
      <c r="AO19" s="291">
        <v>28294</v>
      </c>
      <c r="AP19" s="292">
        <v>4378</v>
      </c>
      <c r="AQ19" s="293"/>
      <c r="AR19" s="299"/>
      <c r="AS19" s="293"/>
    </row>
    <row r="20" spans="2:45" ht="15" customHeight="1">
      <c r="B20" s="295" t="s">
        <v>314</v>
      </c>
      <c r="C20" s="300" t="s">
        <v>151</v>
      </c>
      <c r="D20" s="296">
        <v>0</v>
      </c>
      <c r="E20" s="296"/>
      <c r="F20" s="297">
        <v>0</v>
      </c>
      <c r="G20" s="296">
        <v>0</v>
      </c>
      <c r="H20" s="296">
        <v>0</v>
      </c>
      <c r="I20" s="296">
        <v>0</v>
      </c>
      <c r="J20" s="297">
        <v>0</v>
      </c>
      <c r="K20" s="296">
        <v>0</v>
      </c>
      <c r="L20" s="296">
        <v>0</v>
      </c>
      <c r="M20" s="296">
        <v>0</v>
      </c>
      <c r="N20" s="297">
        <v>0</v>
      </c>
      <c r="O20" s="296">
        <v>0</v>
      </c>
      <c r="P20" s="296">
        <v>0</v>
      </c>
      <c r="Q20" s="296">
        <v>0</v>
      </c>
      <c r="R20" s="297">
        <v>0</v>
      </c>
      <c r="S20" s="296">
        <v>0</v>
      </c>
      <c r="T20" s="296">
        <v>0</v>
      </c>
      <c r="U20" s="296">
        <v>0</v>
      </c>
      <c r="V20" s="297">
        <v>0</v>
      </c>
      <c r="W20" s="296">
        <v>0</v>
      </c>
      <c r="X20" s="296">
        <v>0</v>
      </c>
      <c r="Y20" s="296">
        <v>0</v>
      </c>
      <c r="Z20" s="297">
        <v>0</v>
      </c>
      <c r="AA20" s="296">
        <v>0</v>
      </c>
      <c r="AB20" s="296">
        <v>0</v>
      </c>
      <c r="AC20" s="296">
        <v>0</v>
      </c>
      <c r="AD20" s="297">
        <v>0</v>
      </c>
      <c r="AE20" s="298">
        <v>0</v>
      </c>
      <c r="AF20" s="298">
        <v>0</v>
      </c>
      <c r="AG20" s="298">
        <v>0</v>
      </c>
      <c r="AH20" s="297">
        <v>0</v>
      </c>
      <c r="AI20" s="298">
        <v>244.4</v>
      </c>
      <c r="AJ20" s="298">
        <v>941</v>
      </c>
      <c r="AK20" s="298">
        <v>1421</v>
      </c>
      <c r="AL20" s="297">
        <v>2020</v>
      </c>
      <c r="AM20" s="298">
        <v>2515</v>
      </c>
      <c r="AN20" s="298">
        <v>3231</v>
      </c>
      <c r="AO20" s="298">
        <v>3676</v>
      </c>
      <c r="AP20" s="297">
        <v>4378</v>
      </c>
      <c r="AQ20" s="293"/>
      <c r="AR20" s="301"/>
      <c r="AS20" s="293"/>
    </row>
    <row r="21" spans="2:45" ht="15" customHeight="1">
      <c r="B21" s="295" t="s">
        <v>424</v>
      </c>
      <c r="C21" s="300" t="s">
        <v>151</v>
      </c>
      <c r="D21" s="296">
        <v>189921</v>
      </c>
      <c r="E21" s="296">
        <v>187934</v>
      </c>
      <c r="F21" s="297">
        <v>209488</v>
      </c>
      <c r="G21" s="296">
        <v>204329</v>
      </c>
      <c r="H21" s="296">
        <v>205993</v>
      </c>
      <c r="I21" s="296">
        <v>45262</v>
      </c>
      <c r="J21" s="297">
        <v>48079</v>
      </c>
      <c r="K21" s="296">
        <v>31034</v>
      </c>
      <c r="L21" s="296">
        <v>31347</v>
      </c>
      <c r="M21" s="296"/>
      <c r="N21" s="297"/>
      <c r="O21" s="296"/>
      <c r="P21" s="296"/>
      <c r="Q21" s="296"/>
      <c r="R21" s="297"/>
      <c r="S21" s="296"/>
      <c r="T21" s="296"/>
      <c r="U21" s="296"/>
      <c r="V21" s="297"/>
      <c r="W21" s="296"/>
      <c r="X21" s="296"/>
      <c r="Y21" s="296"/>
      <c r="Z21" s="297"/>
      <c r="AA21" s="296"/>
      <c r="AB21" s="296"/>
      <c r="AC21" s="296"/>
      <c r="AD21" s="297"/>
      <c r="AE21" s="298"/>
      <c r="AF21" s="298"/>
      <c r="AG21" s="298"/>
      <c r="AH21" s="297"/>
      <c r="AI21" s="298"/>
      <c r="AJ21" s="298"/>
      <c r="AK21" s="298"/>
      <c r="AL21" s="297"/>
      <c r="AM21" s="298"/>
      <c r="AN21" s="298"/>
      <c r="AO21" s="298"/>
      <c r="AP21" s="297"/>
      <c r="AQ21" s="293"/>
      <c r="AR21" s="301"/>
      <c r="AS21" s="293"/>
    </row>
    <row r="22" spans="2:45" ht="15" customHeight="1">
      <c r="B22" s="295" t="s">
        <v>462</v>
      </c>
      <c r="C22" s="300" t="s">
        <v>151</v>
      </c>
      <c r="D22" s="296">
        <v>182391</v>
      </c>
      <c r="E22" s="296">
        <v>52226</v>
      </c>
      <c r="F22" s="297">
        <v>0</v>
      </c>
      <c r="G22" s="296">
        <v>0</v>
      </c>
      <c r="H22" s="296">
        <v>55213</v>
      </c>
      <c r="I22" s="296">
        <v>0</v>
      </c>
      <c r="J22" s="297">
        <v>0</v>
      </c>
      <c r="K22" s="296">
        <v>0</v>
      </c>
      <c r="L22" s="296">
        <v>0</v>
      </c>
      <c r="M22" s="296">
        <v>0</v>
      </c>
      <c r="N22" s="297">
        <v>0</v>
      </c>
      <c r="O22" s="296">
        <v>0</v>
      </c>
      <c r="P22" s="296">
        <v>0</v>
      </c>
      <c r="Q22" s="296">
        <v>0</v>
      </c>
      <c r="R22" s="297">
        <v>0</v>
      </c>
      <c r="S22" s="296">
        <v>580</v>
      </c>
      <c r="T22" s="296">
        <v>0</v>
      </c>
      <c r="U22" s="296">
        <v>0</v>
      </c>
      <c r="V22" s="297">
        <v>0</v>
      </c>
      <c r="W22" s="296">
        <v>0</v>
      </c>
      <c r="X22" s="296">
        <v>0</v>
      </c>
      <c r="Y22" s="296">
        <v>0</v>
      </c>
      <c r="Z22" s="297">
        <v>0</v>
      </c>
      <c r="AA22" s="296">
        <v>0</v>
      </c>
      <c r="AB22" s="296">
        <v>0</v>
      </c>
      <c r="AC22" s="296">
        <v>0</v>
      </c>
      <c r="AD22" s="297">
        <v>4019</v>
      </c>
      <c r="AE22" s="298">
        <v>0</v>
      </c>
      <c r="AF22" s="302">
        <v>21601</v>
      </c>
      <c r="AG22" s="302">
        <v>29593</v>
      </c>
      <c r="AH22" s="297">
        <v>29996</v>
      </c>
      <c r="AI22" s="298">
        <v>41201.4</v>
      </c>
      <c r="AJ22" s="298">
        <v>60019</v>
      </c>
      <c r="AK22" s="298">
        <v>56567</v>
      </c>
      <c r="AL22" s="297">
        <v>59422</v>
      </c>
      <c r="AM22" s="298">
        <v>61603</v>
      </c>
      <c r="AN22" s="298">
        <v>46418</v>
      </c>
      <c r="AO22" s="298">
        <v>23319</v>
      </c>
      <c r="AP22" s="297">
        <v>0</v>
      </c>
      <c r="AQ22" s="293"/>
      <c r="AR22" s="299"/>
      <c r="AS22" s="293"/>
    </row>
    <row r="23" spans="2:45" ht="15" customHeight="1">
      <c r="B23" s="295" t="s">
        <v>320</v>
      </c>
      <c r="C23" s="300" t="s">
        <v>151</v>
      </c>
      <c r="D23" s="296">
        <v>0</v>
      </c>
      <c r="E23" s="296"/>
      <c r="F23" s="297">
        <v>0</v>
      </c>
      <c r="G23" s="296">
        <v>0</v>
      </c>
      <c r="H23" s="296">
        <v>0</v>
      </c>
      <c r="I23" s="296">
        <v>0</v>
      </c>
      <c r="J23" s="297">
        <v>0</v>
      </c>
      <c r="K23" s="296">
        <v>0</v>
      </c>
      <c r="L23" s="296">
        <v>0</v>
      </c>
      <c r="M23" s="296">
        <v>0</v>
      </c>
      <c r="N23" s="297">
        <v>0</v>
      </c>
      <c r="O23" s="296">
        <v>0</v>
      </c>
      <c r="P23" s="296">
        <v>0</v>
      </c>
      <c r="Q23" s="296">
        <v>0</v>
      </c>
      <c r="R23" s="297">
        <v>0</v>
      </c>
      <c r="S23" s="296">
        <v>0</v>
      </c>
      <c r="T23" s="296">
        <v>0</v>
      </c>
      <c r="U23" s="296">
        <v>0</v>
      </c>
      <c r="V23" s="297">
        <v>0</v>
      </c>
      <c r="W23" s="296">
        <v>0</v>
      </c>
      <c r="X23" s="296">
        <v>0</v>
      </c>
      <c r="Y23" s="296">
        <v>0</v>
      </c>
      <c r="Z23" s="297">
        <v>0</v>
      </c>
      <c r="AA23" s="296">
        <v>0</v>
      </c>
      <c r="AB23" s="296">
        <v>0</v>
      </c>
      <c r="AC23" s="296">
        <v>0</v>
      </c>
      <c r="AD23" s="297">
        <v>0</v>
      </c>
      <c r="AE23" s="298">
        <v>0</v>
      </c>
      <c r="AF23" s="298">
        <v>0</v>
      </c>
      <c r="AG23" s="298">
        <v>0</v>
      </c>
      <c r="AH23" s="297">
        <v>0</v>
      </c>
      <c r="AI23" s="298">
        <v>0</v>
      </c>
      <c r="AJ23" s="298">
        <v>0</v>
      </c>
      <c r="AK23" s="298">
        <v>0</v>
      </c>
      <c r="AL23" s="297">
        <v>0</v>
      </c>
      <c r="AM23" s="298">
        <v>0</v>
      </c>
      <c r="AN23" s="298">
        <v>0</v>
      </c>
      <c r="AO23" s="298">
        <v>1299</v>
      </c>
      <c r="AP23" s="297">
        <v>0</v>
      </c>
      <c r="AQ23" s="293"/>
      <c r="AR23" s="303"/>
    </row>
    <row r="24" spans="2:45" s="294" customFormat="1" ht="15" customHeight="1">
      <c r="B24" s="260" t="s">
        <v>291</v>
      </c>
      <c r="C24" s="291"/>
      <c r="D24" s="291">
        <f t="shared" ref="D24:T24" si="15">D19+D11</f>
        <v>3690958</v>
      </c>
      <c r="E24" s="291">
        <f t="shared" si="15"/>
        <v>3598677</v>
      </c>
      <c r="F24" s="292">
        <f t="shared" si="15"/>
        <v>3515841</v>
      </c>
      <c r="G24" s="291">
        <f t="shared" si="15"/>
        <v>3307183</v>
      </c>
      <c r="H24" s="291">
        <f t="shared" si="15"/>
        <v>2793911</v>
      </c>
      <c r="I24" s="291">
        <f t="shared" si="15"/>
        <v>2439798</v>
      </c>
      <c r="J24" s="292">
        <f t="shared" si="15"/>
        <v>2306019</v>
      </c>
      <c r="K24" s="291">
        <f t="shared" si="15"/>
        <v>2771061</v>
      </c>
      <c r="L24" s="291">
        <f t="shared" si="15"/>
        <v>2498057</v>
      </c>
      <c r="M24" s="291">
        <f t="shared" si="15"/>
        <v>2612087</v>
      </c>
      <c r="N24" s="292">
        <f t="shared" si="15"/>
        <v>2051421</v>
      </c>
      <c r="O24" s="291">
        <f t="shared" si="15"/>
        <v>1332245</v>
      </c>
      <c r="P24" s="291">
        <f t="shared" si="15"/>
        <v>1298608</v>
      </c>
      <c r="Q24" s="291">
        <f t="shared" si="15"/>
        <v>1428260</v>
      </c>
      <c r="R24" s="292">
        <f t="shared" si="15"/>
        <v>1391744</v>
      </c>
      <c r="S24" s="291">
        <f t="shared" si="15"/>
        <v>1431127</v>
      </c>
      <c r="T24" s="291">
        <f t="shared" si="15"/>
        <v>1415422</v>
      </c>
      <c r="U24" s="291">
        <v>1432500</v>
      </c>
      <c r="V24" s="292">
        <v>1474829</v>
      </c>
      <c r="W24" s="291">
        <f>W19+W11</f>
        <v>970003</v>
      </c>
      <c r="X24" s="291">
        <f>X19+X11</f>
        <v>768559</v>
      </c>
      <c r="Y24" s="291">
        <v>557282.59436999995</v>
      </c>
      <c r="Z24" s="292">
        <f>Z19+Z11</f>
        <v>713540</v>
      </c>
      <c r="AA24" s="291">
        <v>734665</v>
      </c>
      <c r="AB24" s="291">
        <f t="shared" ref="AB24:AJ24" si="16">AB19+AB11</f>
        <v>761384</v>
      </c>
      <c r="AC24" s="291">
        <f t="shared" si="16"/>
        <v>761432</v>
      </c>
      <c r="AD24" s="292">
        <f t="shared" si="16"/>
        <v>677548</v>
      </c>
      <c r="AE24" s="291">
        <f t="shared" si="16"/>
        <v>763670</v>
      </c>
      <c r="AF24" s="291">
        <f t="shared" si="16"/>
        <v>790778</v>
      </c>
      <c r="AG24" s="291">
        <f t="shared" si="16"/>
        <v>937630</v>
      </c>
      <c r="AH24" s="292">
        <f t="shared" si="16"/>
        <v>1027846</v>
      </c>
      <c r="AI24" s="291">
        <f t="shared" si="16"/>
        <v>1108639.8</v>
      </c>
      <c r="AJ24" s="291">
        <f t="shared" si="16"/>
        <v>1278716</v>
      </c>
      <c r="AK24" s="291">
        <v>1427164</v>
      </c>
      <c r="AL24" s="292">
        <v>840368</v>
      </c>
      <c r="AM24" s="291">
        <v>824811</v>
      </c>
      <c r="AN24" s="291">
        <v>599111</v>
      </c>
      <c r="AO24" s="291">
        <v>511477</v>
      </c>
      <c r="AP24" s="292">
        <v>601885</v>
      </c>
      <c r="AQ24" s="293"/>
      <c r="AR24" s="293"/>
    </row>
    <row r="25" spans="2:45" s="294" customFormat="1" ht="15" customHeight="1">
      <c r="B25" s="260" t="s">
        <v>292</v>
      </c>
      <c r="C25" s="291"/>
      <c r="D25" s="291">
        <f t="shared" ref="D25" si="17">D26+D27</f>
        <v>1375373</v>
      </c>
      <c r="E25" s="291">
        <f t="shared" ref="E25" si="18">E26+E27</f>
        <v>1204530</v>
      </c>
      <c r="F25" s="292">
        <f t="shared" ref="F25" si="19">F26+F27</f>
        <v>1078301</v>
      </c>
      <c r="G25" s="291">
        <f t="shared" ref="G25" si="20">G26+G27</f>
        <v>1719876</v>
      </c>
      <c r="H25" s="291">
        <f t="shared" ref="H25" si="21">H26+H27</f>
        <v>1751612</v>
      </c>
      <c r="I25" s="291">
        <f t="shared" ref="I25" si="22">I26+I27</f>
        <v>1480775</v>
      </c>
      <c r="J25" s="292">
        <f t="shared" ref="J25" si="23">J26+J27</f>
        <v>1584782</v>
      </c>
      <c r="K25" s="291">
        <f t="shared" ref="K25:L25" si="24">K26+K27</f>
        <v>2311889</v>
      </c>
      <c r="L25" s="291">
        <f t="shared" si="24"/>
        <v>2026965</v>
      </c>
      <c r="M25" s="291">
        <f t="shared" ref="M25" si="25">M26+M27</f>
        <v>2261111</v>
      </c>
      <c r="N25" s="292">
        <f t="shared" ref="N25" si="26">N26+N27</f>
        <v>2145913</v>
      </c>
      <c r="O25" s="291">
        <f t="shared" ref="O25" si="27">O26+O27</f>
        <v>1595667</v>
      </c>
      <c r="P25" s="291">
        <f t="shared" ref="P25" si="28">P26+P27</f>
        <v>1332095</v>
      </c>
      <c r="Q25" s="291">
        <f t="shared" ref="Q25" si="29">Q26+Q27</f>
        <v>1408605</v>
      </c>
      <c r="R25" s="292">
        <f>R26+R27</f>
        <v>1413969</v>
      </c>
      <c r="S25" s="291">
        <f t="shared" ref="S25" si="30">S26+S27</f>
        <v>1622980</v>
      </c>
      <c r="T25" s="291">
        <f t="shared" ref="T25" si="31">T26+T27</f>
        <v>2078149</v>
      </c>
      <c r="U25" s="291">
        <f t="shared" ref="U25" si="32">U26+U27</f>
        <v>1865440</v>
      </c>
      <c r="V25" s="292">
        <v>1622449</v>
      </c>
      <c r="W25" s="291">
        <f>W26+W27</f>
        <v>1434673</v>
      </c>
      <c r="X25" s="291">
        <f>X26+X27</f>
        <v>1085010</v>
      </c>
      <c r="Y25" s="291">
        <v>1047531</v>
      </c>
      <c r="Z25" s="292">
        <f>Z26+Z27</f>
        <v>1113760</v>
      </c>
      <c r="AA25" s="291">
        <f>AA26+AA27</f>
        <v>911543</v>
      </c>
      <c r="AB25" s="291">
        <f t="shared" ref="AB25" si="33">SUM(AB26:AB27)</f>
        <v>757880</v>
      </c>
      <c r="AC25" s="291">
        <f t="shared" ref="AC25" si="34">SUM(AC26:AC27)</f>
        <v>478759</v>
      </c>
      <c r="AD25" s="292">
        <f t="shared" ref="AD25:AE25" si="35">SUM(AD26:AD27)</f>
        <v>514683</v>
      </c>
      <c r="AE25" s="291">
        <f t="shared" si="35"/>
        <v>528745</v>
      </c>
      <c r="AF25" s="291">
        <f t="shared" ref="AF25:AJ25" si="36">SUM(AF26:AF27)</f>
        <v>575066</v>
      </c>
      <c r="AG25" s="291">
        <f t="shared" si="36"/>
        <v>818885</v>
      </c>
      <c r="AH25" s="292">
        <f t="shared" si="36"/>
        <v>861481</v>
      </c>
      <c r="AI25" s="291">
        <f t="shared" si="36"/>
        <v>907785</v>
      </c>
      <c r="AJ25" s="291">
        <f t="shared" si="36"/>
        <v>913273</v>
      </c>
      <c r="AK25" s="291">
        <v>1074916</v>
      </c>
      <c r="AL25" s="292">
        <v>401802</v>
      </c>
      <c r="AM25" s="291">
        <v>429024</v>
      </c>
      <c r="AN25" s="291">
        <v>478844</v>
      </c>
      <c r="AO25" s="291">
        <v>351786</v>
      </c>
      <c r="AP25" s="292">
        <v>479958</v>
      </c>
      <c r="AQ25" s="293"/>
      <c r="AR25" s="293"/>
    </row>
    <row r="26" spans="2:45" ht="15" customHeight="1">
      <c r="B26" s="304" t="s">
        <v>293</v>
      </c>
      <c r="C26" s="305"/>
      <c r="D26" s="305">
        <v>635751</v>
      </c>
      <c r="E26" s="305">
        <v>652933</v>
      </c>
      <c r="F26" s="306">
        <v>520271</v>
      </c>
      <c r="G26" s="305">
        <v>1077384</v>
      </c>
      <c r="H26" s="305">
        <v>1135632</v>
      </c>
      <c r="I26" s="305">
        <f>'[12]02. BP'!C14</f>
        <v>773873</v>
      </c>
      <c r="J26" s="306">
        <v>845342</v>
      </c>
      <c r="K26" s="305">
        <v>1122845</v>
      </c>
      <c r="L26" s="305">
        <v>1538805</v>
      </c>
      <c r="M26" s="305">
        <v>1876229</v>
      </c>
      <c r="N26" s="306">
        <v>1343204</v>
      </c>
      <c r="O26" s="305">
        <v>869809</v>
      </c>
      <c r="P26" s="305">
        <v>795016</v>
      </c>
      <c r="Q26" s="305">
        <v>1101464</v>
      </c>
      <c r="R26" s="306">
        <v>402122</v>
      </c>
      <c r="S26" s="305">
        <v>415016</v>
      </c>
      <c r="T26" s="305">
        <v>547658</v>
      </c>
      <c r="U26" s="305">
        <v>330672</v>
      </c>
      <c r="V26" s="306">
        <v>331177</v>
      </c>
      <c r="W26" s="305">
        <v>824377</v>
      </c>
      <c r="X26" s="305">
        <v>760350</v>
      </c>
      <c r="Y26" s="305">
        <v>845587</v>
      </c>
      <c r="Z26" s="306">
        <v>924852</v>
      </c>
      <c r="AA26" s="305">
        <v>867250</v>
      </c>
      <c r="AB26" s="305">
        <v>743093</v>
      </c>
      <c r="AC26" s="305">
        <v>436372</v>
      </c>
      <c r="AD26" s="306">
        <v>301525</v>
      </c>
      <c r="AE26" s="305">
        <v>170739</v>
      </c>
      <c r="AF26" s="305">
        <v>263848</v>
      </c>
      <c r="AG26" s="305">
        <v>268402</v>
      </c>
      <c r="AH26" s="306">
        <v>201542</v>
      </c>
      <c r="AI26" s="305">
        <v>303933</v>
      </c>
      <c r="AJ26" s="305">
        <v>140834</v>
      </c>
      <c r="AK26" s="305">
        <v>230275</v>
      </c>
      <c r="AL26" s="306">
        <v>78559</v>
      </c>
      <c r="AM26" s="305">
        <v>67473</v>
      </c>
      <c r="AN26" s="305">
        <v>299058</v>
      </c>
      <c r="AO26" s="305">
        <v>170091</v>
      </c>
      <c r="AP26" s="306">
        <v>383346</v>
      </c>
      <c r="AQ26" s="293"/>
      <c r="AR26" s="293"/>
    </row>
    <row r="27" spans="2:45" ht="15" customHeight="1">
      <c r="B27" s="307" t="s">
        <v>199</v>
      </c>
      <c r="C27" s="308"/>
      <c r="D27" s="394">
        <v>739622</v>
      </c>
      <c r="E27" s="305">
        <f>547519+4078</f>
        <v>551597</v>
      </c>
      <c r="F27" s="398">
        <f>553952+4078</f>
        <v>558030</v>
      </c>
      <c r="G27" s="394">
        <v>642492</v>
      </c>
      <c r="H27" s="394">
        <v>615980</v>
      </c>
      <c r="I27" s="305">
        <f>'[12]02. BP'!C15</f>
        <v>706902</v>
      </c>
      <c r="J27" s="398">
        <v>739440</v>
      </c>
      <c r="K27" s="394">
        <v>1189044</v>
      </c>
      <c r="L27" s="394">
        <v>488160</v>
      </c>
      <c r="M27" s="394">
        <f>376492+8390</f>
        <v>384882</v>
      </c>
      <c r="N27" s="398">
        <v>802709</v>
      </c>
      <c r="O27" s="394">
        <v>725858</v>
      </c>
      <c r="P27" s="394">
        <v>537079</v>
      </c>
      <c r="Q27" s="394">
        <v>307141</v>
      </c>
      <c r="R27" s="398">
        <v>1011847</v>
      </c>
      <c r="S27" s="394">
        <v>1207964</v>
      </c>
      <c r="T27" s="308">
        <v>1530491</v>
      </c>
      <c r="U27" s="308">
        <v>1534768</v>
      </c>
      <c r="V27" s="309">
        <v>1291272</v>
      </c>
      <c r="W27" s="308">
        <v>610296</v>
      </c>
      <c r="X27" s="308">
        <v>324660</v>
      </c>
      <c r="Y27" s="308">
        <v>201944</v>
      </c>
      <c r="Z27" s="309">
        <v>188908</v>
      </c>
      <c r="AA27" s="308">
        <v>44293</v>
      </c>
      <c r="AB27" s="308">
        <v>14787</v>
      </c>
      <c r="AC27" s="308">
        <v>42387</v>
      </c>
      <c r="AD27" s="309">
        <v>213158</v>
      </c>
      <c r="AE27" s="308">
        <v>358006</v>
      </c>
      <c r="AF27" s="308">
        <v>311218</v>
      </c>
      <c r="AG27" s="308">
        <v>550483</v>
      </c>
      <c r="AH27" s="309">
        <v>659939</v>
      </c>
      <c r="AI27" s="308">
        <v>603852</v>
      </c>
      <c r="AJ27" s="308">
        <v>772439</v>
      </c>
      <c r="AK27" s="308">
        <v>844641</v>
      </c>
      <c r="AL27" s="309">
        <v>323243</v>
      </c>
      <c r="AM27" s="308">
        <v>361551</v>
      </c>
      <c r="AN27" s="308">
        <v>179786</v>
      </c>
      <c r="AO27" s="308">
        <v>181695</v>
      </c>
      <c r="AP27" s="309">
        <v>96612</v>
      </c>
      <c r="AQ27" s="293"/>
      <c r="AR27" s="293"/>
    </row>
    <row r="28" spans="2:45" s="294" customFormat="1" ht="15" customHeight="1">
      <c r="B28" s="260" t="s">
        <v>294</v>
      </c>
      <c r="C28" s="291"/>
      <c r="D28" s="423">
        <f t="shared" ref="D28" si="37">D24-D25</f>
        <v>2315585</v>
      </c>
      <c r="E28" s="423">
        <f t="shared" ref="E28" si="38">E24-E25</f>
        <v>2394147</v>
      </c>
      <c r="F28" s="399">
        <f t="shared" ref="F28" si="39">F24-F25</f>
        <v>2437540</v>
      </c>
      <c r="G28" s="423">
        <f t="shared" ref="G28" si="40">G24-G25</f>
        <v>1587307</v>
      </c>
      <c r="H28" s="423">
        <f t="shared" ref="H28" si="41">H24-H25</f>
        <v>1042299</v>
      </c>
      <c r="I28" s="423">
        <f t="shared" ref="I28" si="42">I24-I25</f>
        <v>959023</v>
      </c>
      <c r="J28" s="399">
        <f t="shared" ref="J28" si="43">J24-J25</f>
        <v>721237</v>
      </c>
      <c r="K28" s="423">
        <f t="shared" ref="K28:L28" si="44">K24-K25</f>
        <v>459172</v>
      </c>
      <c r="L28" s="423">
        <f t="shared" si="44"/>
        <v>471092</v>
      </c>
      <c r="M28" s="423">
        <f t="shared" ref="M28" si="45">M24-M25</f>
        <v>350976</v>
      </c>
      <c r="N28" s="399">
        <f t="shared" ref="N28" si="46">N24-N25</f>
        <v>-94492</v>
      </c>
      <c r="O28" s="395">
        <f>O24-O25</f>
        <v>-263422</v>
      </c>
      <c r="P28" s="395">
        <f>P24-P25</f>
        <v>-33487</v>
      </c>
      <c r="Q28" s="395">
        <f>Q24-Q25</f>
        <v>19655</v>
      </c>
      <c r="R28" s="399">
        <f>R24-R25</f>
        <v>-22225</v>
      </c>
      <c r="S28" s="395">
        <f>S24-S25</f>
        <v>-191853</v>
      </c>
      <c r="T28" s="291">
        <v>-662164</v>
      </c>
      <c r="U28" s="291">
        <v>-432940</v>
      </c>
      <c r="V28" s="292">
        <v>-147620</v>
      </c>
      <c r="W28" s="291">
        <v>-464670</v>
      </c>
      <c r="X28" s="291">
        <v>-316451</v>
      </c>
      <c r="Y28" s="291">
        <v>-490248.40563000005</v>
      </c>
      <c r="Z28" s="292">
        <v>-400220</v>
      </c>
      <c r="AA28" s="291">
        <v>-176878</v>
      </c>
      <c r="AB28" s="291">
        <f>AB24-AB25</f>
        <v>3504</v>
      </c>
      <c r="AC28" s="291">
        <f t="shared" ref="AC28" si="47">AC24-AC25</f>
        <v>282673</v>
      </c>
      <c r="AD28" s="292">
        <f t="shared" ref="AD28:AE28" si="48">AD24-AD25</f>
        <v>162865</v>
      </c>
      <c r="AE28" s="291">
        <f t="shared" si="48"/>
        <v>234925</v>
      </c>
      <c r="AF28" s="291">
        <f t="shared" ref="AF28:AJ28" si="49">AF24-AF25</f>
        <v>215712</v>
      </c>
      <c r="AG28" s="291">
        <f t="shared" si="49"/>
        <v>118745</v>
      </c>
      <c r="AH28" s="292">
        <f t="shared" si="49"/>
        <v>166365</v>
      </c>
      <c r="AI28" s="291">
        <f t="shared" si="49"/>
        <v>200854.80000000005</v>
      </c>
      <c r="AJ28" s="291">
        <f t="shared" si="49"/>
        <v>365443</v>
      </c>
      <c r="AK28" s="291">
        <v>352248</v>
      </c>
      <c r="AL28" s="292">
        <v>438566</v>
      </c>
      <c r="AM28" s="291">
        <v>395787</v>
      </c>
      <c r="AN28" s="291">
        <v>120267</v>
      </c>
      <c r="AO28" s="291">
        <v>159691</v>
      </c>
      <c r="AP28" s="292">
        <v>121927</v>
      </c>
      <c r="AQ28" s="293"/>
      <c r="AR28" s="293"/>
    </row>
    <row r="29" spans="2:45" s="294" customFormat="1" ht="15" customHeight="1">
      <c r="B29" s="260" t="s">
        <v>295</v>
      </c>
      <c r="C29" s="291"/>
      <c r="D29" s="291">
        <v>925147</v>
      </c>
      <c r="E29" s="291">
        <v>928183</v>
      </c>
      <c r="F29" s="292">
        <v>1109679</v>
      </c>
      <c r="G29" s="291">
        <v>1420332</v>
      </c>
      <c r="H29" s="291">
        <v>1369251</v>
      </c>
      <c r="I29" s="291">
        <v>1095391</v>
      </c>
      <c r="J29" s="292">
        <v>947997</v>
      </c>
      <c r="K29" s="291">
        <v>595623</v>
      </c>
      <c r="L29" s="291">
        <v>669605</v>
      </c>
      <c r="M29" s="291">
        <v>924668</v>
      </c>
      <c r="N29" s="292">
        <v>1226611</v>
      </c>
      <c r="O29" s="291">
        <v>1429960</v>
      </c>
      <c r="P29" s="291">
        <v>1801221.0000000002</v>
      </c>
      <c r="Q29" s="291">
        <v>2291704</v>
      </c>
      <c r="R29" s="292">
        <v>2627554</v>
      </c>
      <c r="S29" s="291">
        <v>3492968</v>
      </c>
      <c r="T29" s="291">
        <v>3860163</v>
      </c>
      <c r="U29" s="291">
        <v>3425056</v>
      </c>
      <c r="V29" s="292">
        <v>3163842</v>
      </c>
      <c r="W29" s="291">
        <v>2417536</v>
      </c>
      <c r="X29" s="291">
        <v>1711951</v>
      </c>
      <c r="Y29" s="291">
        <v>1422412</v>
      </c>
      <c r="Z29" s="292">
        <v>946471</v>
      </c>
      <c r="AA29" s="291">
        <v>681170</v>
      </c>
      <c r="AB29" s="291">
        <v>523745</v>
      </c>
      <c r="AC29" s="291">
        <v>512357</v>
      </c>
      <c r="AD29" s="292">
        <v>580611</v>
      </c>
      <c r="AE29" s="291">
        <v>616082</v>
      </c>
      <c r="AF29" s="291">
        <v>703557</v>
      </c>
      <c r="AG29" s="291">
        <v>855116</v>
      </c>
      <c r="AH29" s="292">
        <v>1007022</v>
      </c>
      <c r="AI29" s="291">
        <v>1047688</v>
      </c>
      <c r="AJ29" s="291" t="e">
        <f>'04. EBITDA'!#REF!+'04. EBITDA'!AU17+'04. EBITDA'!AT17</f>
        <v>#REF!</v>
      </c>
      <c r="AK29" s="291">
        <v>845169</v>
      </c>
      <c r="AL29" s="292">
        <v>630799</v>
      </c>
      <c r="AM29" s="291">
        <v>898023</v>
      </c>
      <c r="AN29" s="291">
        <v>771523</v>
      </c>
      <c r="AO29" s="291">
        <v>696844</v>
      </c>
      <c r="AP29" s="292">
        <v>677977</v>
      </c>
      <c r="AQ29" s="293"/>
      <c r="AR29" s="293"/>
    </row>
    <row r="30" spans="2:45" s="294" customFormat="1" ht="15" customHeight="1">
      <c r="B30" s="260" t="s">
        <v>296</v>
      </c>
      <c r="C30" s="310"/>
      <c r="D30" s="310">
        <f t="shared" ref="D30" si="50">D28/D29</f>
        <v>2.5029373710340086</v>
      </c>
      <c r="E30" s="310">
        <f t="shared" ref="E30" si="51">E28/E29</f>
        <v>2.5793911329985573</v>
      </c>
      <c r="F30" s="311">
        <f t="shared" ref="F30" si="52">F28/F29</f>
        <v>2.1966172199347738</v>
      </c>
      <c r="G30" s="310">
        <f t="shared" ref="G30" si="53">G28/G29</f>
        <v>1.1175605421830952</v>
      </c>
      <c r="H30" s="310">
        <f t="shared" ref="H30" si="54">H28/H29</f>
        <v>0.76121835952648564</v>
      </c>
      <c r="I30" s="310">
        <f t="shared" ref="I30" si="55">I28/I29</f>
        <v>0.87550746719664485</v>
      </c>
      <c r="J30" s="311">
        <f t="shared" ref="J30" si="56">J28/J29</f>
        <v>0.7608009308046334</v>
      </c>
      <c r="K30" s="310">
        <f t="shared" ref="K30:L30" si="57">K28/K29</f>
        <v>0.7709104584611407</v>
      </c>
      <c r="L30" s="310">
        <f t="shared" si="57"/>
        <v>0.70353715996744348</v>
      </c>
      <c r="M30" s="310">
        <f t="shared" ref="M30" si="58">M28/M29</f>
        <v>0.37956974827721951</v>
      </c>
      <c r="N30" s="311">
        <f t="shared" ref="N30" si="59">N28/N29</f>
        <v>-7.70350176217236E-2</v>
      </c>
      <c r="O30" s="310">
        <f t="shared" ref="O30" si="60">O28/O29</f>
        <v>-0.18421634171585219</v>
      </c>
      <c r="P30" s="310">
        <f t="shared" ref="P30" si="61">P28/P29</f>
        <v>-1.8591277805444194E-2</v>
      </c>
      <c r="Q30" s="310">
        <f t="shared" ref="Q30" si="62">Q28/Q29</f>
        <v>8.5765875523191471E-3</v>
      </c>
      <c r="R30" s="311">
        <f t="shared" ref="R30" si="63">R28/R29</f>
        <v>-8.4584370102384187E-3</v>
      </c>
      <c r="S30" s="310">
        <f t="shared" ref="S30" si="64">S28/S29</f>
        <v>-5.4925496025156832E-2</v>
      </c>
      <c r="T30" s="310">
        <f t="shared" ref="T30" si="65">T28/T29</f>
        <v>-0.17153783402410727</v>
      </c>
      <c r="U30" s="310">
        <f>U28/U29</f>
        <v>-0.12640377266824251</v>
      </c>
      <c r="V30" s="311">
        <v>-4.6658461452879128E-2</v>
      </c>
      <c r="W30" s="310">
        <f>W28/W29</f>
        <v>-0.19220809948641923</v>
      </c>
      <c r="X30" s="310">
        <f>X28/X29</f>
        <v>-0.18484816446265109</v>
      </c>
      <c r="Y30" s="310">
        <v>-0.34465991965056542</v>
      </c>
      <c r="Z30" s="311">
        <f>Z28/Z29</f>
        <v>-0.4228550055944662</v>
      </c>
      <c r="AA30" s="310">
        <f t="shared" ref="AA30" si="66">AA28/AA29</f>
        <v>-0.2596679243067076</v>
      </c>
      <c r="AB30" s="310">
        <f t="shared" ref="AB30" si="67">AB28/AB29</f>
        <v>6.6902786661447843E-3</v>
      </c>
      <c r="AC30" s="310">
        <f t="shared" ref="AC30" si="68">AC28/AC29</f>
        <v>0.55171101400000389</v>
      </c>
      <c r="AD30" s="311">
        <f t="shared" ref="AD30:AE30" si="69">AD28/AD29</f>
        <v>0.28050622533847963</v>
      </c>
      <c r="AE30" s="310">
        <f t="shared" si="69"/>
        <v>0.38132099298470007</v>
      </c>
      <c r="AF30" s="310">
        <f t="shared" ref="AF30:AJ30" si="70">AF28/AF29</f>
        <v>0.30660202371662848</v>
      </c>
      <c r="AG30" s="310">
        <f t="shared" si="70"/>
        <v>0.1388642008803484</v>
      </c>
      <c r="AH30" s="311">
        <f t="shared" si="70"/>
        <v>0.16520493097469569</v>
      </c>
      <c r="AI30" s="310">
        <f t="shared" si="70"/>
        <v>0.19171241820083845</v>
      </c>
      <c r="AJ30" s="310" t="e">
        <f t="shared" si="70"/>
        <v>#REF!</v>
      </c>
      <c r="AK30" s="310">
        <v>0.42</v>
      </c>
      <c r="AL30" s="311">
        <v>0.7</v>
      </c>
      <c r="AM30" s="310" t="s">
        <v>160</v>
      </c>
      <c r="AN30" s="310">
        <v>0.16</v>
      </c>
      <c r="AO30" s="310" t="s">
        <v>154</v>
      </c>
      <c r="AP30" s="311" t="s">
        <v>153</v>
      </c>
    </row>
    <row r="31" spans="2:45" ht="15" customHeight="1">
      <c r="C31" s="312"/>
      <c r="D31" s="312"/>
      <c r="E31" s="312"/>
      <c r="F31" s="312"/>
      <c r="G31" s="312"/>
      <c r="H31" s="312"/>
      <c r="I31" s="312"/>
      <c r="J31" s="312"/>
      <c r="K31" s="312"/>
      <c r="L31" s="312"/>
      <c r="M31" s="312"/>
      <c r="N31" s="312"/>
      <c r="O31" s="312"/>
      <c r="P31" s="312"/>
      <c r="Q31" s="312"/>
      <c r="R31" s="312"/>
      <c r="S31" s="312"/>
      <c r="T31" s="312"/>
      <c r="U31" s="312"/>
      <c r="V31" s="312"/>
      <c r="W31" s="312"/>
      <c r="X31" s="312"/>
      <c r="Y31" s="312"/>
      <c r="Z31" s="312"/>
      <c r="AA31" s="312"/>
      <c r="AB31" s="312"/>
      <c r="AC31" s="312"/>
      <c r="AD31" s="312"/>
      <c r="AE31" s="312"/>
      <c r="AF31" s="312"/>
      <c r="AG31" s="312"/>
      <c r="AH31" s="312"/>
      <c r="AI31" s="312"/>
      <c r="AJ31" s="312"/>
      <c r="AK31" s="312"/>
      <c r="AL31" s="312"/>
      <c r="AM31" s="312"/>
      <c r="AN31" s="312"/>
      <c r="AO31" s="312"/>
      <c r="AP31" s="312"/>
    </row>
    <row r="32" spans="2:45">
      <c r="B32" s="278" t="s">
        <v>413</v>
      </c>
      <c r="AJ32" s="314"/>
      <c r="AN32" s="314"/>
    </row>
    <row r="33" spans="2:43">
      <c r="B33" s="289" t="s">
        <v>318</v>
      </c>
      <c r="C33" s="315"/>
      <c r="D33" s="315"/>
      <c r="E33" s="315"/>
      <c r="F33" s="315"/>
      <c r="G33" s="315"/>
      <c r="H33" s="315"/>
      <c r="I33" s="315"/>
      <c r="J33" s="315"/>
      <c r="K33" s="315"/>
      <c r="L33" s="315"/>
      <c r="M33" s="315"/>
      <c r="N33" s="315"/>
      <c r="O33" s="315"/>
      <c r="P33" s="315"/>
      <c r="Q33" s="315"/>
      <c r="R33" s="315"/>
      <c r="S33" s="315"/>
      <c r="T33" s="315"/>
      <c r="U33" s="315"/>
      <c r="V33" s="315"/>
      <c r="W33" s="315"/>
      <c r="X33" s="315"/>
      <c r="Y33" s="315"/>
      <c r="Z33" s="315"/>
      <c r="AA33" s="315"/>
      <c r="AB33" s="315"/>
      <c r="AC33" s="315"/>
      <c r="AD33" s="315"/>
      <c r="AE33" s="315"/>
      <c r="AF33" s="315"/>
      <c r="AG33" s="315"/>
      <c r="AH33" s="315"/>
      <c r="AI33" s="315"/>
      <c r="AJ33" s="315"/>
      <c r="AK33" s="315"/>
      <c r="AL33" s="315"/>
      <c r="AM33" s="315"/>
      <c r="AN33" s="315"/>
      <c r="AO33" s="315"/>
      <c r="AP33" s="315"/>
    </row>
    <row r="35" spans="2:43" s="313" customFormat="1">
      <c r="B35" s="289"/>
      <c r="C35" s="314"/>
      <c r="D35" s="314"/>
      <c r="E35" s="314"/>
      <c r="F35" s="314"/>
      <c r="G35" s="314"/>
      <c r="H35" s="314"/>
      <c r="I35" s="314"/>
      <c r="J35" s="314"/>
      <c r="K35" s="314"/>
      <c r="L35" s="314"/>
      <c r="M35" s="314"/>
      <c r="N35" s="314"/>
      <c r="O35" s="314"/>
      <c r="P35" s="314"/>
      <c r="Q35" s="314"/>
      <c r="R35" s="314"/>
      <c r="S35" s="314"/>
      <c r="T35" s="314"/>
      <c r="U35" s="314"/>
      <c r="V35" s="314"/>
      <c r="W35" s="314"/>
      <c r="X35" s="314"/>
      <c r="Y35" s="314"/>
      <c r="Z35" s="314"/>
      <c r="AA35" s="314"/>
      <c r="AB35" s="314"/>
      <c r="AC35" s="314"/>
      <c r="AD35" s="314"/>
      <c r="AE35" s="314"/>
      <c r="AF35" s="314"/>
      <c r="AG35" s="314"/>
      <c r="AH35" s="314"/>
      <c r="AI35" s="314"/>
      <c r="AJ35" s="316"/>
      <c r="AK35" s="316"/>
      <c r="AL35" s="316"/>
      <c r="AM35" s="316"/>
      <c r="AN35" s="316"/>
      <c r="AO35" s="316"/>
      <c r="AP35" s="316"/>
      <c r="AQ35" s="289"/>
    </row>
    <row r="36" spans="2:43">
      <c r="C36" s="314"/>
      <c r="D36" s="314"/>
      <c r="E36" s="314"/>
      <c r="F36" s="314"/>
      <c r="G36" s="314"/>
      <c r="H36" s="314"/>
      <c r="I36" s="314"/>
      <c r="J36" s="314"/>
      <c r="K36" s="193"/>
      <c r="L36" s="314"/>
      <c r="M36" s="314"/>
      <c r="N36" s="314"/>
      <c r="O36" s="314"/>
      <c r="P36" s="314"/>
      <c r="Q36" s="314"/>
      <c r="R36" s="314"/>
      <c r="S36" s="314"/>
      <c r="T36" s="314"/>
      <c r="U36" s="314"/>
      <c r="V36" s="314"/>
      <c r="W36" s="314"/>
      <c r="X36" s="314"/>
      <c r="Y36" s="314"/>
      <c r="Z36" s="314"/>
      <c r="AA36" s="314"/>
      <c r="AB36" s="314"/>
      <c r="AC36" s="314"/>
      <c r="AD36" s="314"/>
      <c r="AE36" s="314"/>
      <c r="AF36" s="314"/>
      <c r="AG36" s="314"/>
      <c r="AH36" s="314"/>
      <c r="AI36" s="314"/>
      <c r="AJ36" s="317"/>
    </row>
    <row r="37" spans="2:43">
      <c r="C37" s="314"/>
      <c r="D37" s="314"/>
      <c r="E37" s="314"/>
      <c r="F37" s="314"/>
      <c r="G37" s="314"/>
      <c r="H37" s="314"/>
      <c r="I37" s="314"/>
      <c r="J37" s="314"/>
      <c r="K37" s="314"/>
      <c r="L37" s="314"/>
      <c r="M37" s="314"/>
      <c r="N37" s="314"/>
      <c r="O37" s="314"/>
      <c r="P37" s="314"/>
      <c r="Q37" s="314"/>
      <c r="R37" s="314"/>
      <c r="S37" s="314"/>
      <c r="T37" s="314"/>
      <c r="U37" s="314"/>
      <c r="V37" s="314"/>
      <c r="W37" s="314"/>
      <c r="X37" s="314"/>
      <c r="Y37" s="314"/>
      <c r="Z37" s="314"/>
      <c r="AA37" s="314"/>
      <c r="AB37" s="314"/>
      <c r="AC37" s="314"/>
      <c r="AD37" s="314"/>
      <c r="AE37" s="314"/>
      <c r="AF37" s="314"/>
      <c r="AG37" s="314"/>
      <c r="AH37" s="314"/>
      <c r="AI37" s="314"/>
      <c r="AJ37" s="317"/>
    </row>
    <row r="38" spans="2:43">
      <c r="AJ38" s="316"/>
    </row>
  </sheetData>
  <sortState xmlns:xlrd2="http://schemas.microsoft.com/office/spreadsheetml/2017/richdata2" ref="B12:AP39">
    <sortCondition descending="1" ref="AN12:AN39"/>
  </sortState>
  <mergeCells count="1">
    <mergeCell ref="B7:B8"/>
  </mergeCells>
  <pageMargins left="0.25" right="0.25" top="0.75" bottom="0.75" header="0.3" footer="0.3"/>
  <pageSetup paperSize="9" scale="8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A6E5E-07A3-46C9-BF16-762A2EE15EA5}">
  <sheetPr>
    <tabColor rgb="FF515151"/>
    <pageSetUpPr fitToPage="1"/>
  </sheetPr>
  <dimension ref="B1:AC18"/>
  <sheetViews>
    <sheetView showGridLines="0" zoomScale="90" zoomScaleNormal="90" workbookViewId="0">
      <selection activeCell="C13" sqref="C13:C14"/>
    </sheetView>
  </sheetViews>
  <sheetFormatPr defaultColWidth="9.140625" defaultRowHeight="12.75"/>
  <cols>
    <col min="1" max="1" width="1.85546875" style="2" customWidth="1"/>
    <col min="2" max="2" width="40.85546875" style="2" customWidth="1"/>
    <col min="3" max="4" width="10.7109375" style="2" customWidth="1"/>
    <col min="5" max="5" width="11.5703125" style="2" bestFit="1" customWidth="1"/>
    <col min="6" max="9" width="10.7109375" style="2" customWidth="1"/>
    <col min="10" max="10" width="11.5703125" style="2" bestFit="1" customWidth="1"/>
    <col min="11" max="14" width="10.7109375" style="2" customWidth="1"/>
    <col min="15" max="15" width="11.5703125" style="2" bestFit="1" customWidth="1"/>
    <col min="16" max="19" width="10.7109375" style="2" customWidth="1"/>
    <col min="20" max="20" width="11.5703125" style="2" bestFit="1" customWidth="1"/>
    <col min="21" max="24" width="10.7109375" style="2" customWidth="1"/>
    <col min="25" max="25" width="11.5703125" style="2" bestFit="1" customWidth="1"/>
    <col min="26" max="29" width="10.7109375" style="2" customWidth="1"/>
    <col min="30" max="16384" width="9.140625" style="2"/>
  </cols>
  <sheetData>
    <row r="1" spans="2:29" s="181" customFormat="1" ht="9" customHeight="1"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</row>
    <row r="2" spans="2:29" s="181" customFormat="1" ht="15.75" customHeight="1"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</row>
    <row r="3" spans="2:29" s="181" customFormat="1" ht="15.75" customHeight="1"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0"/>
      <c r="AA3" s="400"/>
      <c r="AB3" s="400"/>
      <c r="AC3" s="400"/>
    </row>
    <row r="4" spans="2:29" s="181" customFormat="1" ht="15.75" customHeight="1">
      <c r="C4" s="400"/>
      <c r="D4" s="400"/>
      <c r="E4" s="400"/>
      <c r="F4" s="400"/>
      <c r="G4" s="400"/>
      <c r="H4" s="400"/>
      <c r="I4" s="400"/>
      <c r="J4" s="400"/>
      <c r="K4" s="400"/>
      <c r="L4" s="400"/>
      <c r="M4" s="400"/>
      <c r="N4" s="400"/>
      <c r="O4" s="400"/>
      <c r="P4" s="400"/>
      <c r="Q4" s="400"/>
      <c r="R4" s="400"/>
      <c r="S4" s="400"/>
      <c r="T4" s="400"/>
      <c r="U4" s="400"/>
      <c r="V4" s="400"/>
      <c r="W4" s="400"/>
      <c r="X4" s="400"/>
      <c r="Y4" s="400"/>
      <c r="Z4" s="400"/>
      <c r="AA4" s="400"/>
      <c r="AB4" s="400"/>
      <c r="AC4" s="400"/>
    </row>
    <row r="5" spans="2:29" s="255" customFormat="1" ht="15.75" customHeight="1">
      <c r="B5" s="256"/>
      <c r="C5" s="401"/>
      <c r="D5" s="401"/>
      <c r="E5" s="401"/>
      <c r="F5" s="401"/>
      <c r="G5" s="401"/>
      <c r="H5" s="401"/>
      <c r="I5" s="401"/>
      <c r="J5" s="401"/>
      <c r="K5" s="401"/>
      <c r="L5" s="401"/>
      <c r="M5" s="401"/>
      <c r="N5" s="401"/>
      <c r="O5" s="401"/>
      <c r="P5" s="401"/>
      <c r="Q5" s="401"/>
      <c r="R5" s="401"/>
      <c r="S5" s="401"/>
      <c r="T5" s="401"/>
      <c r="U5" s="401"/>
      <c r="V5" s="401"/>
      <c r="W5" s="401"/>
      <c r="X5" s="401"/>
      <c r="Y5" s="401"/>
      <c r="Z5" s="401"/>
      <c r="AA5" s="401"/>
      <c r="AB5" s="401"/>
      <c r="AC5" s="401"/>
    </row>
    <row r="6" spans="2:29" s="255" customFormat="1" ht="9" customHeight="1">
      <c r="B6" s="256"/>
      <c r="C6" s="401"/>
      <c r="D6" s="401"/>
      <c r="E6" s="401"/>
      <c r="F6" s="401"/>
      <c r="G6" s="401"/>
      <c r="H6" s="401"/>
      <c r="I6" s="401"/>
      <c r="J6" s="401"/>
      <c r="K6" s="401"/>
      <c r="L6" s="401"/>
      <c r="M6" s="401"/>
      <c r="N6" s="401"/>
      <c r="O6" s="401"/>
      <c r="P6" s="401"/>
      <c r="Q6" s="401"/>
      <c r="R6" s="401"/>
      <c r="S6" s="401"/>
      <c r="T6" s="401"/>
      <c r="U6" s="401"/>
      <c r="V6" s="401"/>
      <c r="W6" s="401"/>
      <c r="X6" s="401"/>
      <c r="Y6" s="401"/>
      <c r="Z6" s="401"/>
      <c r="AA6" s="401"/>
      <c r="AB6" s="401"/>
      <c r="AC6" s="401"/>
    </row>
    <row r="7" spans="2:29" s="181" customFormat="1" ht="15" customHeight="1">
      <c r="B7" s="460" t="s">
        <v>423</v>
      </c>
      <c r="C7" s="402"/>
      <c r="D7" s="402"/>
      <c r="E7" s="402"/>
      <c r="F7" s="402"/>
      <c r="G7" s="402"/>
      <c r="H7" s="402"/>
      <c r="I7" s="402"/>
      <c r="J7" s="402"/>
      <c r="K7" s="402"/>
      <c r="L7" s="402"/>
      <c r="M7" s="402"/>
      <c r="N7" s="402"/>
      <c r="O7" s="402"/>
      <c r="P7" s="402"/>
      <c r="Q7" s="402"/>
      <c r="R7" s="402"/>
      <c r="S7" s="402"/>
      <c r="T7" s="402"/>
      <c r="U7" s="402"/>
      <c r="V7" s="402"/>
      <c r="W7" s="402"/>
      <c r="X7" s="402"/>
      <c r="Y7" s="402"/>
      <c r="Z7" s="402"/>
      <c r="AA7" s="402"/>
      <c r="AB7" s="402"/>
      <c r="AC7" s="402"/>
    </row>
    <row r="8" spans="2:29" s="181" customFormat="1" ht="36.950000000000003" customHeight="1">
      <c r="B8" s="434"/>
      <c r="C8" s="402"/>
      <c r="D8" s="402"/>
      <c r="E8" s="402"/>
      <c r="F8" s="402"/>
      <c r="G8" s="402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  <c r="T8" s="402"/>
      <c r="U8" s="402"/>
      <c r="V8" s="402"/>
      <c r="W8" s="402"/>
      <c r="X8" s="402"/>
      <c r="Y8" s="402"/>
      <c r="Z8" s="402"/>
      <c r="AA8" s="402"/>
      <c r="AB8" s="402"/>
      <c r="AC8" s="402"/>
    </row>
    <row r="9" spans="2:29" s="255" customFormat="1" ht="9" customHeight="1">
      <c r="B9" s="256"/>
      <c r="C9" s="401"/>
      <c r="D9" s="401"/>
      <c r="E9" s="401"/>
      <c r="F9" s="401"/>
      <c r="G9" s="401"/>
      <c r="H9" s="401"/>
      <c r="I9" s="401"/>
      <c r="J9" s="401"/>
      <c r="K9" s="401"/>
      <c r="L9" s="401"/>
      <c r="M9" s="401"/>
      <c r="N9" s="401"/>
      <c r="O9" s="401"/>
      <c r="P9" s="401"/>
      <c r="Q9" s="401"/>
      <c r="R9" s="401"/>
      <c r="S9" s="401"/>
      <c r="T9" s="401"/>
      <c r="U9" s="401"/>
      <c r="V9" s="401"/>
      <c r="W9" s="401"/>
      <c r="X9" s="401"/>
      <c r="Y9" s="401"/>
      <c r="Z9" s="401"/>
      <c r="AA9" s="401"/>
      <c r="AB9" s="401"/>
      <c r="AC9" s="401"/>
    </row>
    <row r="10" spans="2:29" s="259" customFormat="1" ht="15" customHeight="1">
      <c r="B10" s="458"/>
      <c r="C10" s="456" t="s">
        <v>459</v>
      </c>
      <c r="D10" s="454" t="s">
        <v>454</v>
      </c>
      <c r="E10" s="452">
        <v>2025</v>
      </c>
      <c r="F10" s="456" t="s">
        <v>450</v>
      </c>
      <c r="G10" s="456" t="s">
        <v>446</v>
      </c>
      <c r="H10" s="456" t="s">
        <v>442</v>
      </c>
      <c r="I10" s="454" t="s">
        <v>439</v>
      </c>
      <c r="J10" s="452">
        <v>2024</v>
      </c>
      <c r="K10" s="456" t="s">
        <v>432</v>
      </c>
      <c r="L10" s="456" t="s">
        <v>428</v>
      </c>
      <c r="M10" s="456" t="s">
        <v>425</v>
      </c>
      <c r="N10" s="454" t="s">
        <v>416</v>
      </c>
      <c r="O10" s="452">
        <v>2023</v>
      </c>
      <c r="P10" s="456" t="s">
        <v>406</v>
      </c>
      <c r="Q10" s="456" t="s">
        <v>420</v>
      </c>
      <c r="R10" s="456" t="s">
        <v>397</v>
      </c>
      <c r="S10" s="454" t="s">
        <v>390</v>
      </c>
      <c r="T10" s="452">
        <v>2022</v>
      </c>
      <c r="U10" s="456" t="s">
        <v>387</v>
      </c>
      <c r="V10" s="456" t="s">
        <v>381</v>
      </c>
      <c r="W10" s="456" t="s">
        <v>361</v>
      </c>
      <c r="X10" s="454" t="s">
        <v>359</v>
      </c>
      <c r="Y10" s="452">
        <v>2021</v>
      </c>
      <c r="Z10" s="456" t="s">
        <v>353</v>
      </c>
      <c r="AA10" s="456" t="s">
        <v>347</v>
      </c>
      <c r="AB10" s="456" t="s">
        <v>343</v>
      </c>
      <c r="AC10" s="454" t="s">
        <v>340</v>
      </c>
    </row>
    <row r="11" spans="2:29" s="259" customFormat="1" ht="15" customHeight="1">
      <c r="B11" s="459"/>
      <c r="C11" s="457"/>
      <c r="D11" s="455"/>
      <c r="E11" s="453"/>
      <c r="F11" s="457"/>
      <c r="G11" s="457"/>
      <c r="H11" s="457"/>
      <c r="I11" s="455"/>
      <c r="J11" s="453"/>
      <c r="K11" s="457"/>
      <c r="L11" s="457"/>
      <c r="M11" s="457"/>
      <c r="N11" s="455"/>
      <c r="O11" s="453"/>
      <c r="P11" s="457"/>
      <c r="Q11" s="457"/>
      <c r="R11" s="457"/>
      <c r="S11" s="455"/>
      <c r="T11" s="453"/>
      <c r="U11" s="457"/>
      <c r="V11" s="457"/>
      <c r="W11" s="457"/>
      <c r="X11" s="455"/>
      <c r="Y11" s="453"/>
      <c r="Z11" s="457"/>
      <c r="AA11" s="457"/>
      <c r="AB11" s="457"/>
      <c r="AC11" s="455"/>
    </row>
    <row r="12" spans="2:29" s="265" customFormat="1" ht="15" customHeight="1">
      <c r="B12" s="260" t="s">
        <v>374</v>
      </c>
      <c r="C12" s="404"/>
      <c r="D12" s="418"/>
      <c r="E12" s="403"/>
      <c r="F12" s="404"/>
      <c r="G12" s="404"/>
      <c r="H12" s="404"/>
      <c r="I12" s="418"/>
      <c r="J12" s="403"/>
      <c r="K12" s="404"/>
      <c r="L12" s="404"/>
      <c r="M12" s="404"/>
      <c r="N12" s="418"/>
      <c r="O12" s="403"/>
      <c r="P12" s="404"/>
      <c r="Q12" s="404"/>
      <c r="R12" s="404"/>
      <c r="S12" s="418"/>
      <c r="T12" s="403"/>
      <c r="U12" s="404"/>
      <c r="V12" s="404"/>
      <c r="W12" s="404"/>
      <c r="X12" s="418"/>
      <c r="Y12" s="403"/>
      <c r="Z12" s="404"/>
      <c r="AA12" s="404"/>
      <c r="AB12" s="404"/>
      <c r="AC12" s="418"/>
    </row>
    <row r="13" spans="2:29" s="265" customFormat="1" ht="15" customHeight="1">
      <c r="B13" s="266" t="s">
        <v>421</v>
      </c>
      <c r="C13" s="396">
        <v>0.84011670378380487</v>
      </c>
      <c r="D13" s="419">
        <v>0.72</v>
      </c>
      <c r="E13" s="405">
        <v>0.82</v>
      </c>
      <c r="F13" s="396">
        <v>0.81</v>
      </c>
      <c r="G13" s="396">
        <v>0.8</v>
      </c>
      <c r="H13" s="396">
        <v>0.82</v>
      </c>
      <c r="I13" s="419">
        <v>0.86</v>
      </c>
      <c r="J13" s="405">
        <v>0.85</v>
      </c>
      <c r="K13" s="396">
        <v>0.85</v>
      </c>
      <c r="L13" s="396">
        <v>0.84</v>
      </c>
      <c r="M13" s="396">
        <v>0.84</v>
      </c>
      <c r="N13" s="419">
        <v>0.88182428046218508</v>
      </c>
      <c r="O13" s="405">
        <v>0.87</v>
      </c>
      <c r="P13" s="396">
        <v>0.85480951396659199</v>
      </c>
      <c r="Q13" s="396">
        <v>0.86156162743765985</v>
      </c>
      <c r="R13" s="396">
        <v>0.88422889832497598</v>
      </c>
      <c r="S13" s="419">
        <v>0.8933841034519957</v>
      </c>
      <c r="T13" s="405">
        <v>0.89614467961165056</v>
      </c>
      <c r="U13" s="396">
        <v>0.83833970367243571</v>
      </c>
      <c r="V13" s="396">
        <v>0.89825637959054461</v>
      </c>
      <c r="W13" s="396">
        <v>0.912562376720367</v>
      </c>
      <c r="X13" s="419">
        <v>0.93647546796116521</v>
      </c>
      <c r="Y13" s="405">
        <v>0.87514306796116514</v>
      </c>
      <c r="Z13" s="396">
        <v>0.92907269480793586</v>
      </c>
      <c r="AA13" s="396">
        <v>0.90986139974672853</v>
      </c>
      <c r="AB13" s="396">
        <v>0.72242202677904621</v>
      </c>
      <c r="AC13" s="419">
        <v>0.9389430963322547</v>
      </c>
    </row>
    <row r="14" spans="2:29" s="265" customFormat="1" ht="15" customHeight="1">
      <c r="B14" s="271" t="s">
        <v>422</v>
      </c>
      <c r="C14" s="396">
        <v>0.72751914252414251</v>
      </c>
      <c r="D14" s="419">
        <v>0.73</v>
      </c>
      <c r="E14" s="405">
        <v>0.7</v>
      </c>
      <c r="F14" s="396">
        <v>0.73</v>
      </c>
      <c r="G14" s="396">
        <v>0.67</v>
      </c>
      <c r="H14" s="396">
        <v>0.74</v>
      </c>
      <c r="I14" s="419">
        <v>0.66</v>
      </c>
      <c r="J14" s="405">
        <v>0.71</v>
      </c>
      <c r="K14" s="396">
        <v>0.77</v>
      </c>
      <c r="L14" s="396">
        <v>0.67</v>
      </c>
      <c r="M14" s="396">
        <v>0.75</v>
      </c>
      <c r="N14" s="419">
        <v>0.65200699933399942</v>
      </c>
      <c r="O14" s="405">
        <v>0.72589062424242434</v>
      </c>
      <c r="P14" s="396">
        <v>0.69019953919631094</v>
      </c>
      <c r="Q14" s="396">
        <v>0.73419769235836629</v>
      </c>
      <c r="R14" s="396">
        <v>0.73835741824841827</v>
      </c>
      <c r="S14" s="419">
        <v>0.74127786094276094</v>
      </c>
      <c r="T14" s="405">
        <v>0.75580061818181821</v>
      </c>
      <c r="U14" s="396">
        <v>0.77946704578392612</v>
      </c>
      <c r="V14" s="396">
        <v>0.71411110276679846</v>
      </c>
      <c r="W14" s="396">
        <v>0.7843704875124875</v>
      </c>
      <c r="X14" s="419">
        <v>0.74533690673400677</v>
      </c>
      <c r="Y14" s="405">
        <v>0.63991814545454551</v>
      </c>
      <c r="Z14" s="396">
        <v>0.57401840415019767</v>
      </c>
      <c r="AA14" s="396">
        <v>0.71565771212121221</v>
      </c>
      <c r="AB14" s="396">
        <v>0.70462891441891451</v>
      </c>
      <c r="AC14" s="419">
        <v>0.56442987979797976</v>
      </c>
    </row>
    <row r="15" spans="2:29" s="265" customFormat="1" ht="15" customHeight="1">
      <c r="B15" s="271"/>
      <c r="C15" s="278"/>
      <c r="D15" s="278"/>
      <c r="E15" s="278"/>
      <c r="F15" s="278"/>
      <c r="G15" s="278"/>
      <c r="H15" s="278"/>
      <c r="I15" s="278"/>
      <c r="J15" s="278"/>
      <c r="K15" s="278"/>
      <c r="L15" s="278"/>
      <c r="M15" s="278"/>
      <c r="N15" s="278"/>
      <c r="O15" s="278"/>
      <c r="P15" s="278"/>
      <c r="Q15" s="278"/>
      <c r="R15" s="278"/>
      <c r="S15" s="278"/>
      <c r="T15" s="278"/>
      <c r="U15" s="278"/>
      <c r="V15" s="278"/>
      <c r="W15" s="278"/>
      <c r="X15" s="278"/>
      <c r="Y15" s="278"/>
      <c r="Z15" s="278"/>
      <c r="AA15" s="278"/>
      <c r="AB15" s="278"/>
      <c r="AC15" s="278"/>
    </row>
    <row r="16" spans="2:29" s="265" customFormat="1" ht="7.5" customHeight="1">
      <c r="B16" s="273"/>
      <c r="C16" s="278"/>
      <c r="D16" s="278"/>
      <c r="E16" s="278"/>
      <c r="F16" s="278"/>
      <c r="G16" s="278"/>
      <c r="H16" s="278"/>
      <c r="I16" s="278"/>
      <c r="J16" s="278"/>
      <c r="K16" s="278"/>
      <c r="L16" s="278"/>
      <c r="M16" s="278"/>
      <c r="N16" s="278"/>
      <c r="O16" s="278"/>
      <c r="P16" s="278"/>
      <c r="Q16" s="278"/>
      <c r="R16" s="278"/>
      <c r="S16" s="278"/>
      <c r="T16" s="278"/>
      <c r="U16" s="278"/>
      <c r="V16" s="278"/>
      <c r="W16" s="278"/>
      <c r="X16" s="278"/>
      <c r="Y16" s="278"/>
      <c r="Z16" s="278"/>
      <c r="AA16" s="278"/>
      <c r="AB16" s="278"/>
      <c r="AC16" s="278"/>
    </row>
    <row r="17" spans="2:29" s="274" customFormat="1" ht="6" customHeight="1">
      <c r="B17" s="275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2:29" s="265" customFormat="1" ht="14.25">
      <c r="B18" s="278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</sheetData>
  <mergeCells count="29">
    <mergeCell ref="H10:H11"/>
    <mergeCell ref="G10:G11"/>
    <mergeCell ref="E10:E11"/>
    <mergeCell ref="F10:F11"/>
    <mergeCell ref="AC10:AC11"/>
    <mergeCell ref="V10:V11"/>
    <mergeCell ref="W10:W11"/>
    <mergeCell ref="X10:X11"/>
    <mergeCell ref="M10:M11"/>
    <mergeCell ref="Y10:Y11"/>
    <mergeCell ref="Z10:Z11"/>
    <mergeCell ref="AA10:AA11"/>
    <mergeCell ref="AB10:AB11"/>
    <mergeCell ref="C10:C11"/>
    <mergeCell ref="D10:D11"/>
    <mergeCell ref="B7:B8"/>
    <mergeCell ref="B10:B11"/>
    <mergeCell ref="U10:U11"/>
    <mergeCell ref="S10:S11"/>
    <mergeCell ref="T10:T11"/>
    <mergeCell ref="N10:N11"/>
    <mergeCell ref="O10:O11"/>
    <mergeCell ref="P10:P11"/>
    <mergeCell ref="Q10:Q11"/>
    <mergeCell ref="R10:R11"/>
    <mergeCell ref="L10:L11"/>
    <mergeCell ref="J10:J11"/>
    <mergeCell ref="K10:K11"/>
    <mergeCell ref="I10:I11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Plan16">
    <tabColor rgb="FF0A3200"/>
    <pageSetUpPr fitToPage="1"/>
  </sheetPr>
  <dimension ref="B1:AI36"/>
  <sheetViews>
    <sheetView showGridLines="0" zoomScale="90" zoomScaleNormal="90" workbookViewId="0">
      <selection activeCell="C13" sqref="C13:C20"/>
    </sheetView>
  </sheetViews>
  <sheetFormatPr defaultColWidth="9.140625" defaultRowHeight="12.75"/>
  <cols>
    <col min="1" max="1" width="1.85546875" style="318" customWidth="1"/>
    <col min="2" max="2" width="57.5703125" style="318" bestFit="1" customWidth="1"/>
    <col min="3" max="17" width="10.140625" style="318" bestFit="1" customWidth="1"/>
    <col min="18" max="19" width="12.140625" style="318" bestFit="1" customWidth="1"/>
    <col min="20" max="29" width="10.7109375" style="318" customWidth="1"/>
    <col min="30" max="30" width="12.7109375" style="318" customWidth="1"/>
    <col min="31" max="31" width="10" style="318" customWidth="1"/>
    <col min="32" max="35" width="10" style="348" customWidth="1"/>
    <col min="36" max="16384" width="9.140625" style="318"/>
  </cols>
  <sheetData>
    <row r="1" spans="2:35" s="181" customFormat="1" ht="9" customHeight="1">
      <c r="Q1" s="400"/>
      <c r="AF1" s="183"/>
      <c r="AG1" s="183"/>
      <c r="AH1" s="183"/>
      <c r="AI1" s="183"/>
    </row>
    <row r="2" spans="2:35" s="181" customFormat="1" ht="15.75" customHeight="1">
      <c r="Q2" s="400"/>
      <c r="AF2" s="183"/>
      <c r="AG2" s="183"/>
      <c r="AH2" s="183"/>
      <c r="AI2" s="183"/>
    </row>
    <row r="3" spans="2:35" s="181" customFormat="1" ht="15.75" customHeight="1">
      <c r="Q3" s="400"/>
      <c r="AF3" s="183"/>
      <c r="AG3" s="183"/>
      <c r="AH3" s="183"/>
      <c r="AI3" s="183"/>
    </row>
    <row r="4" spans="2:35" s="181" customFormat="1" ht="15.75" customHeight="1">
      <c r="Q4" s="400"/>
      <c r="AF4" s="183"/>
      <c r="AG4" s="183"/>
      <c r="AH4" s="183"/>
      <c r="AI4" s="183"/>
    </row>
    <row r="5" spans="2:35" s="255" customFormat="1" ht="15.75" customHeight="1">
      <c r="B5" s="256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401"/>
      <c r="R5" s="256"/>
      <c r="S5" s="256"/>
      <c r="T5" s="256"/>
      <c r="U5" s="256"/>
      <c r="V5" s="256"/>
      <c r="W5" s="256"/>
      <c r="X5" s="256"/>
      <c r="Y5" s="256"/>
      <c r="Z5" s="256"/>
      <c r="AA5" s="256"/>
      <c r="AB5" s="256"/>
      <c r="AC5" s="256"/>
      <c r="AD5" s="256"/>
      <c r="AE5" s="256"/>
      <c r="AF5" s="257"/>
      <c r="AG5" s="257"/>
      <c r="AH5" s="257"/>
      <c r="AI5" s="257"/>
    </row>
    <row r="6" spans="2:35" s="255" customFormat="1" ht="9" customHeight="1">
      <c r="B6" s="256"/>
      <c r="C6" s="256"/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401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7"/>
      <c r="AG6" s="257"/>
      <c r="AH6" s="257"/>
      <c r="AI6" s="257"/>
    </row>
    <row r="7" spans="2:35" s="181" customFormat="1" ht="15" customHeight="1">
      <c r="B7" s="434" t="s">
        <v>375</v>
      </c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402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233"/>
      <c r="AF7" s="233"/>
      <c r="AG7" s="233"/>
      <c r="AH7" s="233"/>
      <c r="AI7" s="233"/>
    </row>
    <row r="8" spans="2:35" s="181" customFormat="1" ht="15" customHeight="1">
      <c r="B8" s="434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402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233"/>
      <c r="AF8" s="233"/>
      <c r="AG8" s="233"/>
      <c r="AH8" s="233"/>
      <c r="AI8" s="233"/>
    </row>
    <row r="9" spans="2:35" s="255" customFormat="1" ht="9" customHeight="1">
      <c r="B9" s="256"/>
      <c r="C9" s="256"/>
      <c r="D9" s="256"/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401"/>
      <c r="R9" s="256"/>
      <c r="S9" s="256"/>
      <c r="T9" s="256"/>
      <c r="U9" s="256"/>
      <c r="V9" s="256"/>
      <c r="W9" s="256"/>
      <c r="X9" s="256"/>
      <c r="Y9" s="256"/>
      <c r="Z9" s="256"/>
      <c r="AA9" s="256"/>
      <c r="AB9" s="256"/>
      <c r="AC9" s="256"/>
      <c r="AD9" s="256"/>
      <c r="AE9" s="256"/>
      <c r="AF9" s="257"/>
      <c r="AG9" s="257"/>
      <c r="AH9" s="257"/>
      <c r="AI9" s="257"/>
    </row>
    <row r="10" spans="2:35" ht="12.75" customHeight="1">
      <c r="B10" s="470"/>
      <c r="C10" s="461" t="s">
        <v>461</v>
      </c>
      <c r="D10" s="463" t="s">
        <v>454</v>
      </c>
      <c r="E10" s="465">
        <v>2025</v>
      </c>
      <c r="F10" s="461" t="s">
        <v>448</v>
      </c>
      <c r="G10" s="461" t="s">
        <v>445</v>
      </c>
      <c r="H10" s="463" t="s">
        <v>439</v>
      </c>
      <c r="I10" s="465">
        <v>2024</v>
      </c>
      <c r="J10" s="461" t="s">
        <v>429</v>
      </c>
      <c r="K10" s="461" t="s">
        <v>426</v>
      </c>
      <c r="L10" s="463" t="s">
        <v>416</v>
      </c>
      <c r="M10" s="465">
        <v>2023</v>
      </c>
      <c r="N10" s="461" t="s">
        <v>402</v>
      </c>
      <c r="O10" s="461" t="s">
        <v>399</v>
      </c>
      <c r="P10" s="463" t="s">
        <v>390</v>
      </c>
      <c r="Q10" s="465">
        <v>2022</v>
      </c>
      <c r="R10" s="461" t="s">
        <v>383</v>
      </c>
      <c r="S10" s="461" t="s">
        <v>363</v>
      </c>
      <c r="T10" s="473" t="s">
        <v>359</v>
      </c>
      <c r="U10" s="467">
        <v>2021</v>
      </c>
      <c r="V10" s="468" t="s">
        <v>349</v>
      </c>
      <c r="W10" s="475" t="s">
        <v>345</v>
      </c>
      <c r="X10" s="473" t="s">
        <v>340</v>
      </c>
      <c r="Y10" s="467">
        <v>2020</v>
      </c>
      <c r="Z10" s="468" t="s">
        <v>332</v>
      </c>
      <c r="AA10" s="468" t="s">
        <v>328</v>
      </c>
      <c r="AB10" s="472" t="s">
        <v>325</v>
      </c>
      <c r="AC10" s="467">
        <v>2019</v>
      </c>
      <c r="AD10" s="467">
        <v>2018</v>
      </c>
      <c r="AE10" s="467">
        <v>2017</v>
      </c>
      <c r="AF10" s="467">
        <v>2016</v>
      </c>
      <c r="AG10" s="467">
        <v>2015</v>
      </c>
      <c r="AH10" s="467">
        <v>2014</v>
      </c>
      <c r="AI10" s="467">
        <v>2013</v>
      </c>
    </row>
    <row r="11" spans="2:35" ht="12.75" customHeight="1">
      <c r="B11" s="471"/>
      <c r="C11" s="462"/>
      <c r="D11" s="464"/>
      <c r="E11" s="466"/>
      <c r="F11" s="462"/>
      <c r="G11" s="462"/>
      <c r="H11" s="464"/>
      <c r="I11" s="466"/>
      <c r="J11" s="462"/>
      <c r="K11" s="462"/>
      <c r="L11" s="464"/>
      <c r="M11" s="466"/>
      <c r="N11" s="462"/>
      <c r="O11" s="462"/>
      <c r="P11" s="464"/>
      <c r="Q11" s="466"/>
      <c r="R11" s="462"/>
      <c r="S11" s="462"/>
      <c r="T11" s="474"/>
      <c r="U11" s="465"/>
      <c r="V11" s="469"/>
      <c r="W11" s="462"/>
      <c r="X11" s="474"/>
      <c r="Y11" s="465"/>
      <c r="Z11" s="469"/>
      <c r="AA11" s="469"/>
      <c r="AB11" s="438"/>
      <c r="AC11" s="465"/>
      <c r="AD11" s="465"/>
      <c r="AE11" s="465"/>
      <c r="AF11" s="465"/>
      <c r="AG11" s="465"/>
      <c r="AH11" s="465"/>
      <c r="AI11" s="465"/>
    </row>
    <row r="12" spans="2:35" s="323" customFormat="1" ht="15" customHeight="1">
      <c r="B12" s="319" t="s">
        <v>297</v>
      </c>
      <c r="C12" s="327"/>
      <c r="D12" s="328"/>
      <c r="E12" s="407"/>
      <c r="F12" s="327"/>
      <c r="G12" s="327"/>
      <c r="H12" s="328"/>
      <c r="I12" s="407"/>
      <c r="J12" s="327"/>
      <c r="K12" s="327"/>
      <c r="L12" s="328"/>
      <c r="M12" s="407"/>
      <c r="N12" s="327"/>
      <c r="O12" s="327"/>
      <c r="P12" s="328"/>
      <c r="Q12" s="407"/>
      <c r="R12" s="327"/>
      <c r="S12" s="327"/>
      <c r="T12" s="328"/>
      <c r="U12" s="322"/>
      <c r="V12" s="327"/>
      <c r="W12" s="327"/>
      <c r="X12" s="328"/>
      <c r="Y12" s="322"/>
      <c r="Z12" s="327"/>
      <c r="AA12" s="327"/>
      <c r="AB12" s="327"/>
      <c r="AC12" s="322"/>
      <c r="AD12" s="322"/>
      <c r="AE12" s="322"/>
      <c r="AF12" s="322"/>
      <c r="AG12" s="322"/>
      <c r="AH12" s="322"/>
      <c r="AI12" s="322"/>
    </row>
    <row r="13" spans="2:35" s="325" customFormat="1" ht="15" customHeight="1">
      <c r="B13" s="324" t="s">
        <v>142</v>
      </c>
      <c r="C13" s="329">
        <v>57.74</v>
      </c>
      <c r="D13" s="330">
        <v>59.7</v>
      </c>
      <c r="E13" s="408">
        <v>57.88</v>
      </c>
      <c r="F13" s="329">
        <v>60.2</v>
      </c>
      <c r="G13" s="329">
        <v>52.22</v>
      </c>
      <c r="H13" s="330">
        <v>53</v>
      </c>
      <c r="I13" s="408">
        <v>46.2</v>
      </c>
      <c r="J13" s="329">
        <v>46.7</v>
      </c>
      <c r="K13" s="329">
        <v>47.56</v>
      </c>
      <c r="L13" s="330">
        <v>56.826999999999998</v>
      </c>
      <c r="M13" s="408">
        <v>70.39</v>
      </c>
      <c r="N13" s="329">
        <v>73.72</v>
      </c>
      <c r="O13" s="329">
        <v>74.61</v>
      </c>
      <c r="P13" s="330">
        <v>66.3</v>
      </c>
      <c r="Q13" s="408">
        <v>81.96</v>
      </c>
      <c r="R13" s="329">
        <v>85.78</v>
      </c>
      <c r="S13" s="329">
        <v>83.197999999999993</v>
      </c>
      <c r="T13" s="330">
        <v>99.6</v>
      </c>
      <c r="U13" s="331">
        <v>103.2</v>
      </c>
      <c r="V13" s="329">
        <v>85.77</v>
      </c>
      <c r="W13" s="329">
        <v>103.99</v>
      </c>
      <c r="X13" s="330">
        <v>62.814</v>
      </c>
      <c r="Y13" s="331">
        <v>48.9</v>
      </c>
      <c r="Z13" s="329">
        <v>34.5</v>
      </c>
      <c r="AA13" s="329">
        <v>29.95</v>
      </c>
      <c r="AB13" s="329">
        <v>30</v>
      </c>
      <c r="AC13" s="331">
        <v>35.799999999999997</v>
      </c>
      <c r="AD13" s="331">
        <v>37.5</v>
      </c>
      <c r="AE13" s="331">
        <v>16.670000000000002</v>
      </c>
      <c r="AF13" s="331">
        <v>7.5</v>
      </c>
      <c r="AG13" s="331">
        <v>5.89</v>
      </c>
      <c r="AH13" s="331">
        <v>5.08</v>
      </c>
      <c r="AI13" s="331">
        <v>5.53</v>
      </c>
    </row>
    <row r="14" spans="2:35" s="325" customFormat="1" ht="15" customHeight="1">
      <c r="B14" s="324" t="s">
        <v>143</v>
      </c>
      <c r="C14" s="332">
        <v>60.51</v>
      </c>
      <c r="D14" s="333">
        <v>59.75</v>
      </c>
      <c r="E14" s="409">
        <v>62</v>
      </c>
      <c r="F14" s="332">
        <v>72</v>
      </c>
      <c r="G14" s="332">
        <v>55.02</v>
      </c>
      <c r="H14" s="333">
        <v>53.01</v>
      </c>
      <c r="I14" s="409">
        <v>48.51</v>
      </c>
      <c r="J14" s="332">
        <v>48</v>
      </c>
      <c r="K14" s="332">
        <v>49.7</v>
      </c>
      <c r="L14" s="333">
        <v>61.573</v>
      </c>
      <c r="M14" s="409">
        <v>78.97</v>
      </c>
      <c r="N14" s="332">
        <v>83.8</v>
      </c>
      <c r="O14" s="332">
        <v>81.62</v>
      </c>
      <c r="P14" s="333">
        <v>89.99</v>
      </c>
      <c r="Q14" s="409">
        <v>93.67</v>
      </c>
      <c r="R14" s="332">
        <v>96.3</v>
      </c>
      <c r="S14" s="332">
        <v>92.313999999999993</v>
      </c>
      <c r="T14" s="333">
        <v>101</v>
      </c>
      <c r="U14" s="331">
        <v>102.9</v>
      </c>
      <c r="V14" s="332">
        <v>79</v>
      </c>
      <c r="W14" s="332">
        <v>101</v>
      </c>
      <c r="X14" s="333">
        <v>66.926000000000002</v>
      </c>
      <c r="Y14" s="331">
        <v>48.8</v>
      </c>
      <c r="Z14" s="332">
        <v>31</v>
      </c>
      <c r="AA14" s="332">
        <v>28.6</v>
      </c>
      <c r="AB14" s="332">
        <v>24.5</v>
      </c>
      <c r="AC14" s="331">
        <v>35.950000000000003</v>
      </c>
      <c r="AD14" s="331">
        <v>37.450000000000003</v>
      </c>
      <c r="AE14" s="331">
        <v>16.350000000000001</v>
      </c>
      <c r="AF14" s="331">
        <v>8</v>
      </c>
      <c r="AG14" s="331">
        <v>5.5</v>
      </c>
      <c r="AH14" s="331">
        <v>5.45</v>
      </c>
      <c r="AI14" s="331">
        <v>5.7</v>
      </c>
    </row>
    <row r="15" spans="2:35" s="325" customFormat="1" ht="15" customHeight="1">
      <c r="B15" s="326" t="s">
        <v>144</v>
      </c>
      <c r="C15" s="334">
        <v>59.51</v>
      </c>
      <c r="D15" s="335">
        <v>62.39</v>
      </c>
      <c r="E15" s="410">
        <v>57.93</v>
      </c>
      <c r="F15" s="334">
        <v>70.790000000000006</v>
      </c>
      <c r="G15" s="334">
        <v>58.14</v>
      </c>
      <c r="H15" s="335">
        <v>54.86</v>
      </c>
      <c r="I15" s="410">
        <v>47.78</v>
      </c>
      <c r="J15" s="334">
        <v>46.63</v>
      </c>
      <c r="K15" s="334">
        <v>48.79</v>
      </c>
      <c r="L15" s="335">
        <v>60.618000000000002</v>
      </c>
      <c r="M15" s="410">
        <v>76.59</v>
      </c>
      <c r="N15" s="334">
        <v>81.03</v>
      </c>
      <c r="O15" s="334">
        <v>79.14</v>
      </c>
      <c r="P15" s="335">
        <v>70.05</v>
      </c>
      <c r="Q15" s="410">
        <v>88.01</v>
      </c>
      <c r="R15" s="334">
        <v>95.99</v>
      </c>
      <c r="S15" s="334">
        <v>89.786000000000001</v>
      </c>
      <c r="T15" s="335">
        <v>104.05</v>
      </c>
      <c r="U15" s="336">
        <v>103.24</v>
      </c>
      <c r="V15" s="334">
        <v>79.08</v>
      </c>
      <c r="W15" s="334">
        <v>98.3</v>
      </c>
      <c r="X15" s="335">
        <v>67.003</v>
      </c>
      <c r="Y15" s="336">
        <v>51.19</v>
      </c>
      <c r="Z15" s="334">
        <v>27.84</v>
      </c>
      <c r="AA15" s="334">
        <v>23.94</v>
      </c>
      <c r="AB15" s="334">
        <v>24</v>
      </c>
      <c r="AC15" s="336">
        <v>35.71</v>
      </c>
      <c r="AD15" s="336">
        <v>36.86</v>
      </c>
      <c r="AE15" s="336">
        <v>15.85</v>
      </c>
      <c r="AF15" s="336">
        <v>6.85</v>
      </c>
      <c r="AG15" s="336">
        <v>4.33</v>
      </c>
      <c r="AH15" s="336">
        <v>4.43</v>
      </c>
      <c r="AI15" s="336">
        <v>4.79</v>
      </c>
    </row>
    <row r="16" spans="2:35" s="323" customFormat="1" ht="15" customHeight="1">
      <c r="B16" s="319" t="s">
        <v>298</v>
      </c>
      <c r="C16" s="337">
        <f t="shared" ref="C16" si="0">SUM(C17:C19)</f>
        <v>18259.518893442622</v>
      </c>
      <c r="D16" s="338">
        <f t="shared" ref="D16" si="1">SUM(D17:D19)</f>
        <v>23263.823393442624</v>
      </c>
      <c r="E16" s="411">
        <v>11985</v>
      </c>
      <c r="F16" s="337">
        <f t="shared" ref="F16" si="2">SUM(F17:F19)</f>
        <v>9339.5246595744684</v>
      </c>
      <c r="G16" s="337">
        <f t="shared" ref="G16" si="3">SUM(G17:G19)</f>
        <v>8425.7131378539489</v>
      </c>
      <c r="H16" s="338">
        <f t="shared" ref="H16" si="4">SUM(H17:H19)</f>
        <v>8778.9098196721334</v>
      </c>
      <c r="I16" s="411">
        <f t="shared" ref="I16" si="5">SUM(I17:I19)</f>
        <v>10828.218330677291</v>
      </c>
      <c r="J16" s="337">
        <f t="shared" ref="J16" si="6">SUM(J17:J19)</f>
        <v>11220.34602631579</v>
      </c>
      <c r="K16" s="337">
        <f>SUM(K17:K19)</f>
        <v>11900.917548387097</v>
      </c>
      <c r="L16" s="338">
        <f>SUM(L17:L19)</f>
        <v>13130</v>
      </c>
      <c r="M16" s="411">
        <f>SUM(M17:M19)</f>
        <v>18765.489762096775</v>
      </c>
      <c r="N16" s="337">
        <f>SUM(N17:N19)</f>
        <v>20119</v>
      </c>
      <c r="O16" s="337">
        <f>SUM(O17:O19)</f>
        <v>21079.702782258064</v>
      </c>
      <c r="P16" s="338"/>
      <c r="Q16" s="411">
        <f t="shared" ref="Q16" si="7">SUM(Q17:Q19)</f>
        <v>30682.495808</v>
      </c>
      <c r="R16" s="337">
        <f t="shared" ref="R16" si="8">SUM(R17:R19)</f>
        <v>33523.690555555557</v>
      </c>
      <c r="S16" s="337">
        <f t="shared" ref="S16" si="9">SUM(S17:S19)</f>
        <v>38703.060508064518</v>
      </c>
      <c r="T16" s="338">
        <f t="shared" ref="T16" si="10">SUM(T17:T19)</f>
        <v>48051.532129032261</v>
      </c>
      <c r="U16" s="339">
        <v>36092.925574196815</v>
      </c>
      <c r="V16" s="337">
        <f t="shared" ref="V16:X16" si="11">SUM(V17:V19)</f>
        <v>35258.557586021503</v>
      </c>
      <c r="W16" s="337">
        <f t="shared" si="11"/>
        <v>38019.060680327864</v>
      </c>
      <c r="X16" s="338">
        <f t="shared" si="11"/>
        <v>25093.772566666667</v>
      </c>
      <c r="Y16" s="339">
        <f t="shared" ref="Y16" si="12">SUM(Y17:Y19)</f>
        <v>8844.6457911646594</v>
      </c>
      <c r="Z16" s="337">
        <f t="shared" ref="Z16" si="13">SUM(Z17:Z19)</f>
        <v>7945.6848510638301</v>
      </c>
      <c r="AA16" s="337">
        <f t="shared" ref="AA16" si="14">SUM(AA17:AA19)</f>
        <v>8353.6844238304675</v>
      </c>
      <c r="AB16" s="337">
        <f t="shared" ref="AB16" si="15">SUM(AB17:AB19)</f>
        <v>12332.859645161292</v>
      </c>
      <c r="AC16" s="339">
        <f t="shared" ref="AC16" si="16">SUM(AC17:AC19)</f>
        <v>8727</v>
      </c>
      <c r="AD16" s="339">
        <f t="shared" ref="AD16" si="17">SUM(AD17:AD19)</f>
        <v>8083.0644086434577</v>
      </c>
      <c r="AE16" s="339">
        <f t="shared" ref="AE16:AI16" si="18">SUM(AE17:AE19)</f>
        <v>1401.3969999999999</v>
      </c>
      <c r="AF16" s="339">
        <f t="shared" si="18"/>
        <v>129.464</v>
      </c>
      <c r="AG16" s="339">
        <f t="shared" si="18"/>
        <v>199.364</v>
      </c>
      <c r="AH16" s="339">
        <f t="shared" si="18"/>
        <v>231.37199999999999</v>
      </c>
      <c r="AI16" s="339">
        <f t="shared" si="18"/>
        <v>617.50900000000001</v>
      </c>
    </row>
    <row r="17" spans="2:35" s="325" customFormat="1" ht="15" customHeight="1">
      <c r="B17" s="324" t="s">
        <v>142</v>
      </c>
      <c r="C17" s="340">
        <v>539.38091803278689</v>
      </c>
      <c r="D17" s="341">
        <v>681.34775409836061</v>
      </c>
      <c r="E17" s="412">
        <v>489</v>
      </c>
      <c r="F17" s="340">
        <v>368.58437765957444</v>
      </c>
      <c r="G17" s="340">
        <v>301.43081818181815</v>
      </c>
      <c r="H17" s="341">
        <v>312.64460655737702</v>
      </c>
      <c r="I17" s="412">
        <v>546.7988366533865</v>
      </c>
      <c r="J17" s="340">
        <v>542.00884210526317</v>
      </c>
      <c r="K17" s="340">
        <v>623.36575000000005</v>
      </c>
      <c r="L17" s="341">
        <v>734</v>
      </c>
      <c r="M17" s="412">
        <v>1155.3878145161291</v>
      </c>
      <c r="N17" s="340">
        <v>1295</v>
      </c>
      <c r="O17" s="340">
        <v>1529.2059354838709</v>
      </c>
      <c r="P17" s="341">
        <v>1865.4144444444446</v>
      </c>
      <c r="Q17" s="412">
        <v>2710.7981519999998</v>
      </c>
      <c r="R17" s="340">
        <v>3001.9816931216933</v>
      </c>
      <c r="S17" s="340">
        <v>3172.2688306451614</v>
      </c>
      <c r="T17" s="341">
        <v>2814.3229677419354</v>
      </c>
      <c r="U17" s="342">
        <v>3816.2197408906882</v>
      </c>
      <c r="V17" s="340">
        <v>3533.621430107527</v>
      </c>
      <c r="W17" s="340">
        <v>3602.2883606557375</v>
      </c>
      <c r="X17" s="341">
        <v>863.86453333333327</v>
      </c>
      <c r="Y17" s="342">
        <v>583.87233734939764</v>
      </c>
      <c r="Z17" s="340">
        <v>599.48357978723402</v>
      </c>
      <c r="AA17" s="340">
        <v>390.0491300813008</v>
      </c>
      <c r="AB17" s="340">
        <v>668.24209677419356</v>
      </c>
      <c r="AC17" s="342">
        <v>2528</v>
      </c>
      <c r="AD17" s="342">
        <v>447.38829387755106</v>
      </c>
      <c r="AE17" s="342">
        <v>162.81399999999999</v>
      </c>
      <c r="AF17" s="342">
        <v>9.94</v>
      </c>
      <c r="AG17" s="342">
        <v>17.103000000000002</v>
      </c>
      <c r="AH17" s="342">
        <v>11.878</v>
      </c>
      <c r="AI17" s="342">
        <v>9.8789999999999996</v>
      </c>
    </row>
    <row r="18" spans="2:35" s="325" customFormat="1" ht="15" customHeight="1">
      <c r="B18" s="324" t="s">
        <v>143</v>
      </c>
      <c r="C18" s="343">
        <v>10.7235</v>
      </c>
      <c r="D18" s="344">
        <v>12.689803278688526</v>
      </c>
      <c r="E18" s="413">
        <v>26</v>
      </c>
      <c r="F18" s="343">
        <v>25.267159574468085</v>
      </c>
      <c r="G18" s="343">
        <v>31.845163934426228</v>
      </c>
      <c r="H18" s="344">
        <v>14.180229508196721</v>
      </c>
      <c r="I18" s="413">
        <v>27.692796812749005</v>
      </c>
      <c r="J18" s="343">
        <v>25.928368421052628</v>
      </c>
      <c r="K18" s="343">
        <v>13.733629032258065</v>
      </c>
      <c r="L18" s="344">
        <v>11</v>
      </c>
      <c r="M18" s="413">
        <v>18.019830645161292</v>
      </c>
      <c r="N18" s="343">
        <v>19</v>
      </c>
      <c r="O18" s="343">
        <v>20.6235</v>
      </c>
      <c r="P18" s="344">
        <v>24.796809523809522</v>
      </c>
      <c r="Q18" s="413">
        <v>34.428572000000003</v>
      </c>
      <c r="R18" s="343">
        <v>34.596941798941799</v>
      </c>
      <c r="S18" s="343">
        <v>22.182080645161292</v>
      </c>
      <c r="T18" s="344">
        <v>23.878193548387099</v>
      </c>
      <c r="U18" s="345">
        <v>73.951173387096773</v>
      </c>
      <c r="V18" s="343">
        <v>69.449107526881718</v>
      </c>
      <c r="W18" s="343">
        <v>90.450286885245902</v>
      </c>
      <c r="X18" s="344">
        <v>65.729733333333343</v>
      </c>
      <c r="Y18" s="345">
        <v>47.265598393574301</v>
      </c>
      <c r="Z18" s="343">
        <v>46.133813829787236</v>
      </c>
      <c r="AA18" s="343">
        <v>47.003131147540984</v>
      </c>
      <c r="AB18" s="343">
        <v>63.729129032258065</v>
      </c>
      <c r="AC18" s="345">
        <v>54</v>
      </c>
      <c r="AD18" s="345">
        <v>83.557588235294105</v>
      </c>
      <c r="AE18" s="345">
        <v>43.329000000000001</v>
      </c>
      <c r="AF18" s="345">
        <v>6.0209999999999999</v>
      </c>
      <c r="AG18" s="345">
        <v>9.61</v>
      </c>
      <c r="AH18" s="345">
        <v>26.067</v>
      </c>
      <c r="AI18" s="345">
        <v>157.24799999999999</v>
      </c>
    </row>
    <row r="19" spans="2:35" s="325" customFormat="1" ht="15" customHeight="1">
      <c r="B19" s="324" t="s">
        <v>144</v>
      </c>
      <c r="C19" s="343">
        <v>17709.414475409834</v>
      </c>
      <c r="D19" s="344">
        <v>22569.785836065574</v>
      </c>
      <c r="E19" s="413">
        <v>11470</v>
      </c>
      <c r="F19" s="343">
        <v>8945.6731223404258</v>
      </c>
      <c r="G19" s="343">
        <v>8092.4371557377044</v>
      </c>
      <c r="H19" s="344">
        <v>8452.084983606559</v>
      </c>
      <c r="I19" s="413">
        <v>10253.726697211156</v>
      </c>
      <c r="J19" s="343">
        <v>10652.408815789475</v>
      </c>
      <c r="K19" s="343">
        <v>11263.818169354839</v>
      </c>
      <c r="L19" s="344">
        <v>12385</v>
      </c>
      <c r="M19" s="413">
        <v>17592.082116935486</v>
      </c>
      <c r="N19" s="343">
        <v>18805</v>
      </c>
      <c r="O19" s="343">
        <v>19529.873346774195</v>
      </c>
      <c r="P19" s="344">
        <v>19482.969714285711</v>
      </c>
      <c r="Q19" s="413">
        <v>27937.269084</v>
      </c>
      <c r="R19" s="343">
        <v>30487.111920634921</v>
      </c>
      <c r="S19" s="343">
        <v>35508.609596774193</v>
      </c>
      <c r="T19" s="344">
        <v>45213.330967741938</v>
      </c>
      <c r="U19" s="345">
        <v>32202.754659919028</v>
      </c>
      <c r="V19" s="343">
        <v>31655.487048387095</v>
      </c>
      <c r="W19" s="343">
        <v>34326.322032786884</v>
      </c>
      <c r="X19" s="344">
        <v>24164.1783</v>
      </c>
      <c r="Y19" s="345">
        <v>8213.5078554216871</v>
      </c>
      <c r="Z19" s="343">
        <v>7300.0674574468085</v>
      </c>
      <c r="AA19" s="343">
        <v>7916.6321626016261</v>
      </c>
      <c r="AB19" s="343">
        <v>11600.88841935484</v>
      </c>
      <c r="AC19" s="345">
        <v>6145</v>
      </c>
      <c r="AD19" s="345">
        <v>7552.1185265306121</v>
      </c>
      <c r="AE19" s="345">
        <v>1195.2539999999999</v>
      </c>
      <c r="AF19" s="345">
        <v>113.503</v>
      </c>
      <c r="AG19" s="345">
        <v>172.65100000000001</v>
      </c>
      <c r="AH19" s="345">
        <v>193.42699999999999</v>
      </c>
      <c r="AI19" s="345">
        <v>450.38200000000001</v>
      </c>
    </row>
    <row r="20" spans="2:35" s="323" customFormat="1" ht="15" customHeight="1">
      <c r="B20" s="319" t="s">
        <v>299</v>
      </c>
      <c r="C20" s="320">
        <v>6575958.8681199998</v>
      </c>
      <c r="D20" s="321">
        <v>6853087.2840400003</v>
      </c>
      <c r="E20" s="406">
        <v>6473800.4695699997</v>
      </c>
      <c r="F20" s="320">
        <v>7491791.308050001</v>
      </c>
      <c r="G20" s="320">
        <v>6258138.3448600005</v>
      </c>
      <c r="H20" s="321">
        <v>6079049.4601799995</v>
      </c>
      <c r="I20" s="406">
        <v>5325984.6479000002</v>
      </c>
      <c r="J20" s="320">
        <v>5301722.0783299999</v>
      </c>
      <c r="K20" s="320">
        <v>5496377.1166900005</v>
      </c>
      <c r="L20" s="321">
        <v>6739410.0938299997</v>
      </c>
      <c r="M20" s="406">
        <v>7711471.06917</v>
      </c>
      <c r="N20" s="320">
        <v>8132058.6575399991</v>
      </c>
      <c r="O20" s="320">
        <v>8031665.7886899989</v>
      </c>
      <c r="P20" s="321">
        <v>7159378.5199299995</v>
      </c>
      <c r="Q20" s="406">
        <v>8903769.1266300008</v>
      </c>
      <c r="R20" s="320">
        <v>9568107.4998899996</v>
      </c>
      <c r="S20" s="320">
        <v>9061088.7269880008</v>
      </c>
      <c r="T20" s="321">
        <v>9669530.6213499997</v>
      </c>
      <c r="U20" s="322">
        <v>9744131.5689800009</v>
      </c>
      <c r="V20" s="320">
        <v>7686031.7790600006</v>
      </c>
      <c r="W20" s="320">
        <v>9473125.689199999</v>
      </c>
      <c r="X20" s="321">
        <v>6230492.4308789996</v>
      </c>
      <c r="Y20" s="322">
        <v>4785314.5378900003</v>
      </c>
      <c r="Z20" s="320">
        <v>2856897.9616</v>
      </c>
      <c r="AA20" s="320">
        <v>2520426.5417999998</v>
      </c>
      <c r="AB20" s="320">
        <v>2527913.5164999999</v>
      </c>
      <c r="AC20" s="322">
        <v>3519330.5017599999</v>
      </c>
      <c r="AD20" s="322">
        <v>3244224.6281000003</v>
      </c>
      <c r="AE20" s="322">
        <v>1302022</v>
      </c>
      <c r="AF20" s="322">
        <v>573327</v>
      </c>
      <c r="AG20" s="322">
        <v>395448.16000000003</v>
      </c>
      <c r="AH20" s="322">
        <v>377868.08999999997</v>
      </c>
      <c r="AI20" s="322">
        <v>409107.20000000001</v>
      </c>
    </row>
    <row r="21" spans="2:35" s="325" customFormat="1" ht="15" customHeight="1">
      <c r="AF21" s="346"/>
      <c r="AG21" s="346"/>
      <c r="AH21" s="346"/>
      <c r="AI21" s="346"/>
    </row>
    <row r="22" spans="2:35" s="325" customFormat="1" ht="15" customHeight="1">
      <c r="B22" s="347" t="s">
        <v>300</v>
      </c>
      <c r="C22" s="347"/>
      <c r="D22" s="347"/>
      <c r="E22" s="347"/>
      <c r="F22" s="347"/>
      <c r="G22" s="347"/>
      <c r="H22" s="347"/>
      <c r="I22" s="347"/>
      <c r="J22" s="347"/>
      <c r="K22" s="347"/>
      <c r="L22" s="347"/>
      <c r="M22" s="347"/>
      <c r="N22" s="347"/>
      <c r="O22" s="347"/>
      <c r="P22" s="347"/>
      <c r="Q22" s="347"/>
      <c r="R22" s="347"/>
      <c r="S22" s="347"/>
      <c r="T22" s="347"/>
      <c r="U22" s="347"/>
      <c r="V22" s="347"/>
      <c r="W22" s="347"/>
      <c r="X22" s="347"/>
      <c r="Y22" s="347"/>
      <c r="Z22" s="347"/>
      <c r="AA22" s="347"/>
      <c r="AB22" s="347"/>
      <c r="AC22" s="347"/>
      <c r="AD22" s="347"/>
      <c r="AE22" s="347"/>
      <c r="AF22" s="346"/>
      <c r="AG22" s="346"/>
      <c r="AH22" s="346"/>
      <c r="AI22" s="346"/>
    </row>
    <row r="23" spans="2:35" s="325" customFormat="1" ht="15" customHeight="1">
      <c r="B23" s="347" t="s">
        <v>301</v>
      </c>
      <c r="C23" s="347"/>
      <c r="D23" s="347"/>
      <c r="E23" s="347"/>
      <c r="F23" s="347"/>
      <c r="G23" s="347"/>
      <c r="H23" s="347"/>
      <c r="I23" s="347"/>
      <c r="J23" s="347"/>
      <c r="K23" s="347"/>
      <c r="L23" s="347"/>
      <c r="M23" s="347"/>
      <c r="N23" s="347"/>
      <c r="O23" s="347"/>
      <c r="P23" s="347"/>
      <c r="Q23" s="347"/>
      <c r="R23" s="347"/>
      <c r="S23" s="347"/>
      <c r="T23" s="347"/>
      <c r="U23" s="347"/>
      <c r="V23" s="347"/>
      <c r="W23" s="347"/>
      <c r="X23" s="347"/>
      <c r="Y23" s="347"/>
      <c r="Z23" s="347"/>
      <c r="AA23" s="347"/>
      <c r="AB23" s="347"/>
      <c r="AC23" s="347"/>
      <c r="AD23" s="347"/>
      <c r="AE23" s="347"/>
      <c r="AF23" s="346"/>
      <c r="AG23" s="346"/>
      <c r="AH23" s="346"/>
      <c r="AI23" s="346"/>
    </row>
    <row r="24" spans="2:35" ht="14.25">
      <c r="B24" s="347" t="s">
        <v>302</v>
      </c>
      <c r="C24" s="347"/>
      <c r="D24" s="347"/>
      <c r="E24" s="347"/>
      <c r="F24" s="347"/>
      <c r="G24" s="347"/>
      <c r="H24" s="347"/>
      <c r="I24" s="347"/>
      <c r="J24" s="347"/>
      <c r="K24" s="347"/>
      <c r="L24" s="347"/>
      <c r="M24" s="347"/>
      <c r="N24" s="347"/>
      <c r="O24" s="347"/>
      <c r="P24" s="347"/>
      <c r="Q24" s="347"/>
      <c r="R24" s="347"/>
      <c r="S24" s="347"/>
      <c r="T24" s="347"/>
      <c r="U24" s="347"/>
      <c r="V24" s="347"/>
      <c r="W24" s="347"/>
      <c r="X24" s="347"/>
      <c r="Y24" s="347"/>
      <c r="Z24" s="347"/>
      <c r="AA24" s="347"/>
      <c r="AB24" s="347"/>
      <c r="AC24" s="347"/>
      <c r="AD24" s="347"/>
      <c r="AE24" s="347"/>
    </row>
    <row r="26" spans="2:35">
      <c r="B26" s="349"/>
      <c r="C26" s="349"/>
      <c r="D26" s="349"/>
      <c r="E26" s="349"/>
      <c r="F26" s="349"/>
      <c r="G26" s="349"/>
      <c r="H26" s="349"/>
      <c r="I26" s="349"/>
      <c r="J26" s="349"/>
      <c r="K26" s="349"/>
      <c r="L26" s="349"/>
      <c r="M26" s="349"/>
      <c r="N26" s="349"/>
      <c r="O26" s="349"/>
      <c r="P26" s="349"/>
      <c r="Q26" s="349"/>
      <c r="R26" s="349"/>
      <c r="S26" s="349"/>
      <c r="T26" s="349"/>
      <c r="U26" s="349"/>
      <c r="V26" s="349"/>
      <c r="W26" s="349"/>
      <c r="X26" s="349"/>
      <c r="Y26" s="349"/>
      <c r="Z26" s="349"/>
      <c r="AA26" s="349"/>
      <c r="AB26" s="349"/>
      <c r="AC26" s="349"/>
      <c r="AD26" s="349"/>
      <c r="AE26" s="349"/>
      <c r="AF26" s="350"/>
      <c r="AG26" s="350"/>
      <c r="AH26" s="350"/>
    </row>
    <row r="27" spans="2:35">
      <c r="B27" s="351"/>
      <c r="C27" s="351"/>
      <c r="D27" s="351"/>
      <c r="E27" s="351"/>
      <c r="F27" s="351"/>
      <c r="G27" s="351"/>
      <c r="H27" s="351"/>
      <c r="I27" s="351"/>
      <c r="J27" s="351"/>
      <c r="K27" s="351"/>
      <c r="L27" s="351"/>
      <c r="M27" s="351"/>
      <c r="N27" s="351"/>
      <c r="O27" s="351"/>
      <c r="P27" s="351"/>
      <c r="Q27" s="351"/>
      <c r="R27" s="351"/>
      <c r="S27" s="351"/>
      <c r="T27" s="351"/>
      <c r="U27" s="351"/>
      <c r="V27" s="351"/>
      <c r="W27" s="351"/>
      <c r="X27" s="351"/>
      <c r="Y27" s="351"/>
      <c r="Z27" s="351"/>
      <c r="AA27" s="351"/>
      <c r="AB27" s="351"/>
      <c r="AC27" s="351"/>
      <c r="AD27" s="351"/>
      <c r="AE27" s="351"/>
      <c r="AF27" s="352"/>
      <c r="AG27" s="352"/>
      <c r="AH27" s="352"/>
    </row>
    <row r="28" spans="2:35">
      <c r="B28" s="351"/>
      <c r="C28" s="351"/>
      <c r="D28" s="351"/>
      <c r="E28" s="351"/>
      <c r="F28" s="351"/>
      <c r="G28" s="351"/>
      <c r="H28" s="351"/>
      <c r="I28" s="351"/>
      <c r="J28" s="351"/>
      <c r="K28" s="351"/>
      <c r="L28" s="351"/>
      <c r="M28" s="351"/>
      <c r="N28" s="351"/>
      <c r="O28" s="351"/>
      <c r="P28" s="351"/>
      <c r="Q28" s="351"/>
      <c r="R28" s="351"/>
      <c r="S28" s="351"/>
      <c r="T28" s="351"/>
      <c r="U28" s="351"/>
      <c r="V28" s="351"/>
      <c r="W28" s="351"/>
      <c r="X28" s="351"/>
      <c r="Y28" s="351"/>
      <c r="Z28" s="351"/>
      <c r="AA28" s="351"/>
      <c r="AB28" s="351"/>
      <c r="AC28" s="351"/>
      <c r="AD28" s="351"/>
      <c r="AE28" s="351"/>
      <c r="AF28" s="352"/>
      <c r="AG28" s="352"/>
      <c r="AH28" s="352"/>
    </row>
    <row r="29" spans="2:35">
      <c r="B29" s="351"/>
      <c r="C29" s="351"/>
      <c r="D29" s="351"/>
      <c r="E29" s="351"/>
      <c r="F29" s="351"/>
      <c r="G29" s="351"/>
      <c r="H29" s="351"/>
      <c r="I29" s="351"/>
      <c r="J29" s="351"/>
      <c r="K29" s="351"/>
      <c r="L29" s="351"/>
      <c r="M29" s="351"/>
      <c r="N29" s="351"/>
      <c r="O29" s="351"/>
      <c r="P29" s="351"/>
      <c r="Q29" s="351"/>
      <c r="R29" s="351"/>
      <c r="S29" s="351"/>
      <c r="T29" s="351"/>
      <c r="U29" s="351"/>
      <c r="V29" s="351"/>
      <c r="W29" s="351"/>
      <c r="X29" s="351"/>
      <c r="Y29" s="351"/>
      <c r="Z29" s="351"/>
      <c r="AA29" s="351"/>
      <c r="AB29" s="351"/>
      <c r="AC29" s="351"/>
      <c r="AD29" s="351"/>
      <c r="AE29" s="351"/>
      <c r="AF29" s="352"/>
      <c r="AG29" s="352"/>
      <c r="AH29" s="352"/>
    </row>
    <row r="30" spans="2:35">
      <c r="B30" s="353"/>
      <c r="C30" s="353"/>
      <c r="D30" s="353"/>
      <c r="E30" s="353"/>
      <c r="F30" s="353"/>
      <c r="G30" s="353"/>
      <c r="H30" s="353"/>
      <c r="I30" s="353"/>
      <c r="J30" s="353"/>
      <c r="K30" s="353"/>
      <c r="L30" s="353"/>
      <c r="M30" s="353"/>
      <c r="N30" s="353"/>
      <c r="O30" s="353"/>
      <c r="P30" s="353"/>
      <c r="Q30" s="353"/>
      <c r="R30" s="353"/>
      <c r="S30" s="353"/>
      <c r="T30" s="353"/>
      <c r="U30" s="353"/>
      <c r="V30" s="353"/>
      <c r="W30" s="353"/>
      <c r="X30" s="353"/>
      <c r="Y30" s="353"/>
      <c r="Z30" s="353"/>
      <c r="AA30" s="353"/>
      <c r="AB30" s="353"/>
      <c r="AC30" s="353"/>
      <c r="AD30" s="353"/>
      <c r="AE30" s="353"/>
      <c r="AF30" s="352"/>
      <c r="AG30" s="352"/>
      <c r="AH30" s="352"/>
    </row>
    <row r="31" spans="2:35">
      <c r="B31" s="354"/>
      <c r="C31" s="354"/>
      <c r="D31" s="354"/>
      <c r="E31" s="354"/>
      <c r="F31" s="354"/>
      <c r="G31" s="354"/>
      <c r="H31" s="354"/>
      <c r="I31" s="354"/>
      <c r="J31" s="354"/>
      <c r="K31" s="354"/>
      <c r="L31" s="354"/>
      <c r="M31" s="354"/>
      <c r="N31" s="354"/>
      <c r="O31" s="354"/>
      <c r="P31" s="354"/>
      <c r="Q31" s="354"/>
      <c r="R31" s="354"/>
      <c r="S31" s="354"/>
      <c r="T31" s="354"/>
      <c r="U31" s="354"/>
      <c r="V31" s="354"/>
      <c r="W31" s="354"/>
      <c r="X31" s="354"/>
      <c r="Y31" s="354"/>
      <c r="Z31" s="354"/>
      <c r="AA31" s="354"/>
      <c r="AB31" s="354"/>
      <c r="AC31" s="354"/>
      <c r="AD31" s="354"/>
      <c r="AE31" s="354"/>
      <c r="AF31" s="352"/>
      <c r="AG31" s="355"/>
      <c r="AH31" s="352"/>
    </row>
    <row r="32" spans="2:35">
      <c r="B32" s="351"/>
      <c r="C32" s="351"/>
      <c r="D32" s="351"/>
      <c r="E32" s="351"/>
      <c r="F32" s="351"/>
      <c r="G32" s="351"/>
      <c r="H32" s="351"/>
      <c r="I32" s="351"/>
      <c r="J32" s="351"/>
      <c r="K32" s="351"/>
      <c r="L32" s="351"/>
      <c r="M32" s="351"/>
      <c r="N32" s="351"/>
      <c r="O32" s="351"/>
      <c r="P32" s="351"/>
      <c r="Q32" s="351"/>
      <c r="R32" s="351"/>
      <c r="S32" s="351"/>
      <c r="T32" s="351"/>
      <c r="U32" s="351"/>
      <c r="V32" s="351"/>
      <c r="W32" s="351"/>
      <c r="X32" s="351"/>
      <c r="Y32" s="351"/>
      <c r="Z32" s="351"/>
      <c r="AA32" s="351"/>
      <c r="AB32" s="351"/>
      <c r="AC32" s="351"/>
      <c r="AD32" s="351"/>
      <c r="AE32" s="351"/>
      <c r="AF32" s="352"/>
      <c r="AG32" s="355"/>
      <c r="AH32" s="352"/>
    </row>
    <row r="33" spans="2:34">
      <c r="B33" s="351"/>
      <c r="C33" s="351"/>
      <c r="D33" s="351"/>
      <c r="E33" s="351"/>
      <c r="F33" s="351"/>
      <c r="G33" s="351"/>
      <c r="H33" s="351"/>
      <c r="I33" s="351"/>
      <c r="J33" s="351"/>
      <c r="K33" s="351"/>
      <c r="L33" s="351"/>
      <c r="M33" s="351"/>
      <c r="N33" s="351"/>
      <c r="O33" s="351"/>
      <c r="P33" s="351"/>
      <c r="Q33" s="351"/>
      <c r="R33" s="351"/>
      <c r="S33" s="351"/>
      <c r="T33" s="351"/>
      <c r="U33" s="351"/>
      <c r="V33" s="351"/>
      <c r="W33" s="351"/>
      <c r="X33" s="351"/>
      <c r="Y33" s="351"/>
      <c r="Z33" s="351"/>
      <c r="AA33" s="351"/>
      <c r="AB33" s="351"/>
      <c r="AC33" s="351"/>
      <c r="AD33" s="351"/>
      <c r="AE33" s="351"/>
      <c r="AF33" s="352"/>
      <c r="AG33" s="355"/>
      <c r="AH33" s="352"/>
    </row>
    <row r="34" spans="2:34">
      <c r="B34" s="351"/>
      <c r="C34" s="351"/>
      <c r="D34" s="351"/>
      <c r="E34" s="351"/>
      <c r="F34" s="351"/>
      <c r="G34" s="351"/>
      <c r="H34" s="351"/>
      <c r="I34" s="351"/>
      <c r="J34" s="351"/>
      <c r="K34" s="351"/>
      <c r="L34" s="351"/>
      <c r="M34" s="351"/>
      <c r="N34" s="351"/>
      <c r="O34" s="351"/>
      <c r="P34" s="351"/>
      <c r="Q34" s="351"/>
      <c r="R34" s="351"/>
      <c r="S34" s="351"/>
      <c r="T34" s="351"/>
      <c r="U34" s="351"/>
      <c r="V34" s="351"/>
      <c r="W34" s="351"/>
      <c r="X34" s="351"/>
      <c r="Y34" s="351"/>
      <c r="Z34" s="351"/>
      <c r="AA34" s="351"/>
      <c r="AB34" s="351"/>
      <c r="AC34" s="351"/>
      <c r="AD34" s="351"/>
      <c r="AE34" s="351"/>
      <c r="AF34" s="352"/>
      <c r="AG34" s="355"/>
      <c r="AH34" s="352"/>
    </row>
    <row r="35" spans="2:34">
      <c r="B35" s="356"/>
      <c r="C35" s="356"/>
      <c r="D35" s="356"/>
      <c r="E35" s="356"/>
      <c r="F35" s="356"/>
      <c r="G35" s="356"/>
      <c r="H35" s="356"/>
      <c r="I35" s="356"/>
      <c r="J35" s="356"/>
      <c r="K35" s="356"/>
      <c r="L35" s="356"/>
      <c r="M35" s="356"/>
      <c r="N35" s="356"/>
      <c r="O35" s="356"/>
      <c r="P35" s="356"/>
      <c r="Q35" s="356"/>
      <c r="R35" s="356"/>
      <c r="S35" s="356"/>
      <c r="T35" s="356"/>
      <c r="U35" s="356"/>
      <c r="V35" s="356"/>
      <c r="W35" s="356"/>
      <c r="X35" s="356"/>
      <c r="Y35" s="356"/>
      <c r="Z35" s="356"/>
      <c r="AA35" s="356"/>
      <c r="AB35" s="356"/>
      <c r="AC35" s="356"/>
      <c r="AD35" s="356"/>
      <c r="AE35" s="356"/>
      <c r="AF35" s="352"/>
      <c r="AG35" s="357"/>
      <c r="AH35" s="352"/>
    </row>
    <row r="36" spans="2:34">
      <c r="B36" s="353"/>
      <c r="C36" s="353"/>
      <c r="D36" s="353"/>
      <c r="E36" s="353"/>
      <c r="F36" s="353"/>
      <c r="G36" s="353"/>
      <c r="H36" s="353"/>
      <c r="I36" s="353"/>
      <c r="J36" s="353"/>
      <c r="K36" s="353"/>
      <c r="L36" s="353"/>
      <c r="M36" s="353"/>
      <c r="N36" s="353"/>
      <c r="O36" s="353"/>
      <c r="P36" s="353"/>
      <c r="Q36" s="353"/>
      <c r="R36" s="353"/>
      <c r="S36" s="353"/>
      <c r="T36" s="353"/>
      <c r="U36" s="353"/>
      <c r="V36" s="353"/>
      <c r="W36" s="353"/>
      <c r="X36" s="353"/>
      <c r="Y36" s="353"/>
      <c r="Z36" s="353"/>
      <c r="AA36" s="353"/>
      <c r="AB36" s="353"/>
      <c r="AC36" s="353"/>
      <c r="AD36" s="353"/>
      <c r="AE36" s="353"/>
      <c r="AF36" s="352"/>
      <c r="AG36" s="358"/>
      <c r="AH36" s="352"/>
    </row>
  </sheetData>
  <mergeCells count="35">
    <mergeCell ref="B7:B8"/>
    <mergeCell ref="B10:B11"/>
    <mergeCell ref="AE10:AE11"/>
    <mergeCell ref="AD10:AD11"/>
    <mergeCell ref="Y10:Y11"/>
    <mergeCell ref="AB10:AB11"/>
    <mergeCell ref="X10:X11"/>
    <mergeCell ref="W10:W11"/>
    <mergeCell ref="V10:V11"/>
    <mergeCell ref="U10:U11"/>
    <mergeCell ref="T10:T11"/>
    <mergeCell ref="S10:S11"/>
    <mergeCell ref="R10:R11"/>
    <mergeCell ref="Q10:Q11"/>
    <mergeCell ref="P10:P11"/>
    <mergeCell ref="Z10:Z11"/>
    <mergeCell ref="AI10:AI11"/>
    <mergeCell ref="AH10:AH11"/>
    <mergeCell ref="AC10:AC11"/>
    <mergeCell ref="AA10:AA11"/>
    <mergeCell ref="AG10:AG11"/>
    <mergeCell ref="AF10:AF11"/>
    <mergeCell ref="N10:N11"/>
    <mergeCell ref="M10:M11"/>
    <mergeCell ref="K10:K11"/>
    <mergeCell ref="H10:H11"/>
    <mergeCell ref="O10:O11"/>
    <mergeCell ref="C10:C11"/>
    <mergeCell ref="D10:D11"/>
    <mergeCell ref="G10:G11"/>
    <mergeCell ref="I10:I11"/>
    <mergeCell ref="L10:L11"/>
    <mergeCell ref="J10:J11"/>
    <mergeCell ref="E10:E11"/>
    <mergeCell ref="F10:F11"/>
  </mergeCells>
  <pageMargins left="0.511811024" right="0.511811024" top="0.78740157499999996" bottom="0.78740157499999996" header="0.31496062000000002" footer="0.31496062000000002"/>
  <pageSetup paperSize="9" scale="88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A3200"/>
  </sheetPr>
  <dimension ref="A1:BJ32"/>
  <sheetViews>
    <sheetView zoomScale="90" zoomScaleNormal="9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C10" sqref="C10:C11"/>
    </sheetView>
  </sheetViews>
  <sheetFormatPr defaultColWidth="9.140625" defaultRowHeight="15"/>
  <cols>
    <col min="1" max="1" width="1.7109375" style="181" customWidth="1"/>
    <col min="2" max="2" width="66.7109375" style="181" customWidth="1"/>
    <col min="3" max="4" width="10.5703125" style="181" bestFit="1" customWidth="1"/>
    <col min="5" max="5" width="11.5703125" style="181" bestFit="1" customWidth="1"/>
    <col min="6" max="9" width="10.5703125" style="181" bestFit="1" customWidth="1"/>
    <col min="10" max="10" width="11.5703125" style="181" bestFit="1" customWidth="1"/>
    <col min="11" max="14" width="10.5703125" style="181" bestFit="1" customWidth="1"/>
    <col min="15" max="15" width="11.5703125" style="181" bestFit="1" customWidth="1"/>
    <col min="16" max="19" width="10.5703125" style="181" bestFit="1" customWidth="1"/>
    <col min="20" max="20" width="11.5703125" style="400" bestFit="1" customWidth="1"/>
    <col min="21" max="21" width="10.5703125" style="400" bestFit="1" customWidth="1"/>
    <col min="22" max="23" width="11.28515625" style="181" bestFit="1" customWidth="1"/>
    <col min="24" max="24" width="10.7109375" style="196" customWidth="1"/>
    <col min="25" max="25" width="11.5703125" style="196" bestFit="1" customWidth="1"/>
    <col min="26" max="29" width="10.7109375" style="196" customWidth="1"/>
    <col min="30" max="30" width="11.5703125" style="196" bestFit="1" customWidth="1"/>
    <col min="31" max="32" width="10.7109375" style="196" customWidth="1"/>
    <col min="33" max="33" width="10.7109375" style="181" customWidth="1"/>
    <col min="34" max="34" width="10.7109375" style="196" customWidth="1"/>
    <col min="35" max="35" width="11.5703125" style="181" bestFit="1" customWidth="1"/>
    <col min="36" max="36" width="10.7109375" style="196" customWidth="1"/>
    <col min="37" max="39" width="10.7109375" style="181" customWidth="1"/>
    <col min="40" max="40" width="11.85546875" style="181" customWidth="1"/>
    <col min="41" max="42" width="10.5703125" style="181" bestFit="1" customWidth="1"/>
    <col min="43" max="45" width="10.5703125" style="183" bestFit="1" customWidth="1"/>
    <col min="46" max="46" width="10.140625" style="183" customWidth="1"/>
    <col min="47" max="56" width="10.5703125" style="183" bestFit="1" customWidth="1"/>
    <col min="57" max="57" width="9.28515625" style="181" customWidth="1"/>
    <col min="58" max="16384" width="9.140625" style="184"/>
  </cols>
  <sheetData>
    <row r="1" spans="1:62" ht="9" customHeight="1"/>
    <row r="5" spans="1:62" ht="15" customHeight="1"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414"/>
      <c r="U5" s="414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</row>
    <row r="6" spans="1:62" ht="9" customHeight="1"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414"/>
      <c r="U6" s="414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</row>
    <row r="7" spans="1:62" ht="15.75" customHeight="1">
      <c r="B7" s="434" t="s">
        <v>376</v>
      </c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402"/>
      <c r="U7" s="402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441"/>
      <c r="AR7" s="441"/>
      <c r="AS7" s="441"/>
      <c r="AT7" s="190"/>
      <c r="AU7" s="441"/>
      <c r="AV7" s="441"/>
      <c r="AW7" s="441"/>
      <c r="AX7" s="441"/>
      <c r="AY7" s="441"/>
      <c r="AZ7" s="441"/>
      <c r="BA7" s="441"/>
      <c r="BB7" s="441"/>
      <c r="BC7" s="441"/>
      <c r="BD7" s="441"/>
    </row>
    <row r="8" spans="1:62" ht="15.75" customHeight="1">
      <c r="B8" s="434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402"/>
      <c r="U8" s="402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441"/>
      <c r="AR8" s="441"/>
      <c r="AS8" s="441"/>
      <c r="AT8" s="190"/>
      <c r="AU8" s="441"/>
      <c r="AV8" s="441"/>
      <c r="AW8" s="441"/>
      <c r="AX8" s="441"/>
      <c r="AY8" s="441"/>
      <c r="AZ8" s="441"/>
      <c r="BA8" s="441"/>
      <c r="BB8" s="441"/>
      <c r="BC8" s="441"/>
      <c r="BD8" s="441"/>
    </row>
    <row r="9" spans="1:62" ht="9" customHeight="1">
      <c r="B9" s="188"/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414"/>
      <c r="U9" s="414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</row>
    <row r="10" spans="1:62" ht="15.75" customHeight="1">
      <c r="A10" s="191"/>
      <c r="B10" s="442" t="s">
        <v>163</v>
      </c>
      <c r="C10" s="438" t="s">
        <v>459</v>
      </c>
      <c r="D10" s="440" t="s">
        <v>454</v>
      </c>
      <c r="E10" s="439" t="s">
        <v>451</v>
      </c>
      <c r="F10" s="438" t="s">
        <v>450</v>
      </c>
      <c r="G10" s="438" t="s">
        <v>446</v>
      </c>
      <c r="H10" s="438" t="s">
        <v>442</v>
      </c>
      <c r="I10" s="440" t="s">
        <v>439</v>
      </c>
      <c r="J10" s="439" t="s">
        <v>433</v>
      </c>
      <c r="K10" s="438" t="s">
        <v>432</v>
      </c>
      <c r="L10" s="438" t="s">
        <v>428</v>
      </c>
      <c r="M10" s="438" t="s">
        <v>425</v>
      </c>
      <c r="N10" s="440" t="s">
        <v>416</v>
      </c>
      <c r="O10" s="439" t="s">
        <v>405</v>
      </c>
      <c r="P10" s="438" t="s">
        <v>406</v>
      </c>
      <c r="Q10" s="438" t="s">
        <v>400</v>
      </c>
      <c r="R10" s="438" t="s">
        <v>397</v>
      </c>
      <c r="S10" s="440" t="s">
        <v>390</v>
      </c>
      <c r="T10" s="439" t="s">
        <v>386</v>
      </c>
      <c r="U10" s="438" t="s">
        <v>387</v>
      </c>
      <c r="V10" s="438" t="s">
        <v>381</v>
      </c>
      <c r="W10" s="438" t="s">
        <v>361</v>
      </c>
      <c r="X10" s="440" t="s">
        <v>359</v>
      </c>
      <c r="Y10" s="439" t="s">
        <v>354</v>
      </c>
      <c r="Z10" s="438" t="s">
        <v>353</v>
      </c>
      <c r="AA10" s="438" t="s">
        <v>347</v>
      </c>
      <c r="AB10" s="438" t="s">
        <v>343</v>
      </c>
      <c r="AC10" s="440" t="s">
        <v>340</v>
      </c>
      <c r="AD10" s="439" t="s">
        <v>338</v>
      </c>
      <c r="AE10" s="438" t="s">
        <v>337</v>
      </c>
      <c r="AF10" s="438" t="s">
        <v>333</v>
      </c>
      <c r="AG10" s="438" t="s">
        <v>327</v>
      </c>
      <c r="AH10" s="438" t="s">
        <v>325</v>
      </c>
      <c r="AI10" s="439" t="s">
        <v>323</v>
      </c>
      <c r="AJ10" s="438" t="s">
        <v>324</v>
      </c>
      <c r="AK10" s="438" t="s">
        <v>321</v>
      </c>
      <c r="AL10" s="438" t="s">
        <v>311</v>
      </c>
      <c r="AM10" s="438" t="s">
        <v>307</v>
      </c>
      <c r="AN10" s="439" t="s">
        <v>304</v>
      </c>
      <c r="AO10" s="438" t="s">
        <v>303</v>
      </c>
      <c r="AP10" s="438" t="s">
        <v>164</v>
      </c>
      <c r="AQ10" s="438" t="s">
        <v>166</v>
      </c>
      <c r="AR10" s="438" t="s">
        <v>167</v>
      </c>
      <c r="AS10" s="439" t="s">
        <v>161</v>
      </c>
      <c r="AT10" s="438" t="s">
        <v>168</v>
      </c>
      <c r="AU10" s="438" t="s">
        <v>169</v>
      </c>
      <c r="AV10" s="438" t="s">
        <v>171</v>
      </c>
      <c r="AW10" s="438" t="s">
        <v>172</v>
      </c>
      <c r="AX10" s="439" t="s">
        <v>148</v>
      </c>
      <c r="AY10" s="438" t="s">
        <v>173</v>
      </c>
      <c r="AZ10" s="438" t="s">
        <v>174</v>
      </c>
      <c r="BA10" s="438" t="s">
        <v>176</v>
      </c>
      <c r="BB10" s="438" t="s">
        <v>177</v>
      </c>
      <c r="BC10" s="439" t="s">
        <v>146</v>
      </c>
      <c r="BD10" s="439" t="s">
        <v>145</v>
      </c>
      <c r="BE10" s="476"/>
      <c r="BF10" s="234"/>
      <c r="BG10" s="234"/>
      <c r="BH10" s="234"/>
      <c r="BI10" s="234"/>
      <c r="BJ10" s="234"/>
    </row>
    <row r="11" spans="1:62" ht="15.75" customHeight="1">
      <c r="A11" s="191"/>
      <c r="B11" s="442"/>
      <c r="C11" s="438"/>
      <c r="D11" s="440"/>
      <c r="E11" s="439"/>
      <c r="F11" s="438"/>
      <c r="G11" s="438"/>
      <c r="H11" s="438"/>
      <c r="I11" s="440"/>
      <c r="J11" s="439"/>
      <c r="K11" s="438"/>
      <c r="L11" s="438"/>
      <c r="M11" s="438"/>
      <c r="N11" s="440"/>
      <c r="O11" s="439"/>
      <c r="P11" s="438"/>
      <c r="Q11" s="438"/>
      <c r="R11" s="438"/>
      <c r="S11" s="440"/>
      <c r="T11" s="439"/>
      <c r="U11" s="438"/>
      <c r="V11" s="438"/>
      <c r="W11" s="438"/>
      <c r="X11" s="440"/>
      <c r="Y11" s="439"/>
      <c r="Z11" s="438"/>
      <c r="AA11" s="438"/>
      <c r="AB11" s="438"/>
      <c r="AC11" s="440"/>
      <c r="AD11" s="439"/>
      <c r="AE11" s="438"/>
      <c r="AF11" s="438"/>
      <c r="AG11" s="438"/>
      <c r="AH11" s="438"/>
      <c r="AI11" s="439"/>
      <c r="AJ11" s="438"/>
      <c r="AK11" s="438"/>
      <c r="AL11" s="438"/>
      <c r="AM11" s="438"/>
      <c r="AN11" s="439"/>
      <c r="AO11" s="438"/>
      <c r="AP11" s="438"/>
      <c r="AQ11" s="438"/>
      <c r="AR11" s="438"/>
      <c r="AS11" s="439"/>
      <c r="AT11" s="438"/>
      <c r="AU11" s="438"/>
      <c r="AV11" s="438"/>
      <c r="AW11" s="438"/>
      <c r="AX11" s="439"/>
      <c r="AY11" s="438"/>
      <c r="AZ11" s="438"/>
      <c r="BA11" s="438"/>
      <c r="BB11" s="438"/>
      <c r="BC11" s="439"/>
      <c r="BD11" s="439"/>
      <c r="BE11" s="476"/>
      <c r="BF11" s="234"/>
      <c r="BG11" s="234"/>
      <c r="BH11" s="234"/>
      <c r="BI11" s="234"/>
      <c r="BJ11" s="234"/>
    </row>
    <row r="12" spans="1:62" ht="15.75" customHeight="1">
      <c r="B12" s="192" t="s">
        <v>182</v>
      </c>
      <c r="C12" s="193">
        <v>560159</v>
      </c>
      <c r="D12" s="194">
        <v>411897</v>
      </c>
      <c r="E12" s="195">
        <v>1961355</v>
      </c>
      <c r="F12" s="193">
        <v>460824</v>
      </c>
      <c r="G12" s="193">
        <v>497976</v>
      </c>
      <c r="H12" s="193">
        <v>510988</v>
      </c>
      <c r="I12" s="194">
        <v>491566</v>
      </c>
      <c r="J12" s="195">
        <v>1779132</v>
      </c>
      <c r="K12" s="193">
        <v>511244</v>
      </c>
      <c r="L12" s="193">
        <v>442832</v>
      </c>
      <c r="M12" s="193">
        <v>423898</v>
      </c>
      <c r="N12" s="194">
        <v>401158</v>
      </c>
      <c r="O12" s="195">
        <v>1917711</v>
      </c>
      <c r="P12" s="193">
        <v>419067</v>
      </c>
      <c r="Q12" s="193">
        <v>425387</v>
      </c>
      <c r="R12" s="193">
        <v>510434</v>
      </c>
      <c r="S12" s="194">
        <v>562823</v>
      </c>
      <c r="T12" s="195">
        <v>2413363</v>
      </c>
      <c r="U12" s="193">
        <v>606651</v>
      </c>
      <c r="V12" s="193">
        <v>621640</v>
      </c>
      <c r="W12" s="193">
        <v>601563</v>
      </c>
      <c r="X12" s="194">
        <v>583509</v>
      </c>
      <c r="Y12" s="195">
        <v>1585647</v>
      </c>
      <c r="Z12" s="193">
        <v>495741</v>
      </c>
      <c r="AA12" s="193">
        <v>410999</v>
      </c>
      <c r="AB12" s="193">
        <v>377691</v>
      </c>
      <c r="AC12" s="194">
        <v>301216</v>
      </c>
      <c r="AD12" s="195">
        <v>1124217</v>
      </c>
      <c r="AE12" s="193">
        <v>289491</v>
      </c>
      <c r="AF12" s="193">
        <v>308969</v>
      </c>
      <c r="AG12" s="193">
        <v>277923</v>
      </c>
      <c r="AH12" s="193">
        <v>247834</v>
      </c>
      <c r="AI12" s="195">
        <v>1043565</v>
      </c>
      <c r="AJ12" s="193">
        <v>254643</v>
      </c>
      <c r="AK12" s="193">
        <v>239246</v>
      </c>
      <c r="AL12" s="193">
        <v>269489</v>
      </c>
      <c r="AM12" s="193">
        <v>280187</v>
      </c>
      <c r="AN12" s="195">
        <v>1145542</v>
      </c>
      <c r="AO12" s="193">
        <v>259189</v>
      </c>
      <c r="AP12" s="193">
        <v>303553</v>
      </c>
      <c r="AQ12" s="193">
        <v>286150</v>
      </c>
      <c r="AR12" s="193">
        <v>296650</v>
      </c>
      <c r="AS12" s="195">
        <v>984234</v>
      </c>
      <c r="AT12" s="193">
        <v>259247</v>
      </c>
      <c r="AU12" s="193">
        <v>247525</v>
      </c>
      <c r="AV12" s="193">
        <v>239244</v>
      </c>
      <c r="AW12" s="193">
        <v>238218</v>
      </c>
      <c r="AX12" s="195">
        <v>889706</v>
      </c>
      <c r="AY12" s="193">
        <v>209021</v>
      </c>
      <c r="AZ12" s="193">
        <v>223509</v>
      </c>
      <c r="BA12" s="193">
        <v>220425</v>
      </c>
      <c r="BB12" s="193">
        <v>236751</v>
      </c>
      <c r="BC12" s="195">
        <v>858976</v>
      </c>
      <c r="BD12" s="195">
        <v>776483</v>
      </c>
      <c r="BE12" s="203"/>
    </row>
    <row r="13" spans="1:62" ht="15.75" customHeight="1">
      <c r="B13" s="192" t="s">
        <v>183</v>
      </c>
      <c r="C13" s="193">
        <v>-247112</v>
      </c>
      <c r="D13" s="194">
        <v>-226368</v>
      </c>
      <c r="E13" s="195">
        <v>-982691</v>
      </c>
      <c r="F13" s="193">
        <v>-263080</v>
      </c>
      <c r="G13" s="193">
        <v>-267451</v>
      </c>
      <c r="H13" s="193">
        <v>-227964</v>
      </c>
      <c r="I13" s="194">
        <v>-224195</v>
      </c>
      <c r="J13" s="195">
        <v>-839774</v>
      </c>
      <c r="K13" s="193">
        <v>-230185</v>
      </c>
      <c r="L13" s="193">
        <v>-203008</v>
      </c>
      <c r="M13" s="193">
        <v>-204671</v>
      </c>
      <c r="N13" s="194">
        <v>-201910</v>
      </c>
      <c r="O13" s="195">
        <v>-832740</v>
      </c>
      <c r="P13" s="193">
        <v>-226687</v>
      </c>
      <c r="Q13" s="193">
        <v>-197273</v>
      </c>
      <c r="R13" s="193">
        <v>-206045</v>
      </c>
      <c r="S13" s="194">
        <v>-202735</v>
      </c>
      <c r="T13" s="195">
        <v>-887242</v>
      </c>
      <c r="U13" s="193">
        <v>-215918</v>
      </c>
      <c r="V13" s="193">
        <v>-229786</v>
      </c>
      <c r="W13" s="193">
        <v>-219043</v>
      </c>
      <c r="X13" s="194">
        <v>-222495</v>
      </c>
      <c r="Y13" s="195">
        <v>-784719</v>
      </c>
      <c r="Z13" s="193">
        <v>-230068</v>
      </c>
      <c r="AA13" s="193">
        <v>-207688</v>
      </c>
      <c r="AB13" s="193">
        <v>-184064</v>
      </c>
      <c r="AC13" s="194">
        <v>-162899</v>
      </c>
      <c r="AD13" s="195">
        <v>-630311</v>
      </c>
      <c r="AE13" s="193">
        <v>-167339</v>
      </c>
      <c r="AF13" s="193">
        <v>-163060</v>
      </c>
      <c r="AG13" s="193">
        <v>-145465</v>
      </c>
      <c r="AH13" s="193">
        <v>-154447</v>
      </c>
      <c r="AI13" s="195">
        <v>-596203</v>
      </c>
      <c r="AJ13" s="193">
        <v>-163769</v>
      </c>
      <c r="AK13" s="193">
        <v>-139492</v>
      </c>
      <c r="AL13" s="193">
        <v>-140778</v>
      </c>
      <c r="AM13" s="193">
        <v>-152164</v>
      </c>
      <c r="AN13" s="195">
        <v>-485112</v>
      </c>
      <c r="AO13" s="193">
        <v>-107743</v>
      </c>
      <c r="AP13" s="193">
        <v>-123377</v>
      </c>
      <c r="AQ13" s="193">
        <v>-126550</v>
      </c>
      <c r="AR13" s="193">
        <v>-127442</v>
      </c>
      <c r="AS13" s="195">
        <v>-486371</v>
      </c>
      <c r="AT13" s="193">
        <v>-115516</v>
      </c>
      <c r="AU13" s="193">
        <v>-124297</v>
      </c>
      <c r="AV13" s="193">
        <v>-124501</v>
      </c>
      <c r="AW13" s="193">
        <v>-122057</v>
      </c>
      <c r="AX13" s="195">
        <v>-502216</v>
      </c>
      <c r="AY13" s="193">
        <v>-113800</v>
      </c>
      <c r="AZ13" s="193">
        <v>-126092</v>
      </c>
      <c r="BA13" s="193">
        <v>-126842</v>
      </c>
      <c r="BB13" s="193">
        <v>-135482</v>
      </c>
      <c r="BC13" s="195">
        <v>-478026</v>
      </c>
      <c r="BD13" s="195">
        <v>-425820</v>
      </c>
      <c r="BE13" s="203"/>
    </row>
    <row r="14" spans="1:62" ht="15.75" customHeight="1" thickBot="1">
      <c r="A14" s="196"/>
      <c r="B14" s="197" t="s">
        <v>184</v>
      </c>
      <c r="C14" s="198">
        <f t="shared" ref="C14" si="0">SUM(C12:C13)</f>
        <v>313047</v>
      </c>
      <c r="D14" s="199">
        <f t="shared" ref="D14" si="1">SUM(D12:D13)</f>
        <v>185529</v>
      </c>
      <c r="E14" s="200">
        <f t="shared" ref="E14:F14" si="2">SUM(E12:E13)</f>
        <v>978664</v>
      </c>
      <c r="F14" s="198">
        <f t="shared" si="2"/>
        <v>197744</v>
      </c>
      <c r="G14" s="198">
        <f t="shared" ref="G14" si="3">SUM(G12:G13)</f>
        <v>230525</v>
      </c>
      <c r="H14" s="198">
        <f t="shared" ref="H14" si="4">SUM(H12:H13)</f>
        <v>283024</v>
      </c>
      <c r="I14" s="199">
        <f t="shared" ref="I14" si="5">SUM(I12:I13)</f>
        <v>267371</v>
      </c>
      <c r="J14" s="200">
        <f t="shared" ref="J14:K14" si="6">SUM(J12:J13)</f>
        <v>939358</v>
      </c>
      <c r="K14" s="198">
        <f t="shared" si="6"/>
        <v>281059</v>
      </c>
      <c r="L14" s="198">
        <f t="shared" ref="L14" si="7">SUM(L12:L13)</f>
        <v>239824</v>
      </c>
      <c r="M14" s="198">
        <f t="shared" ref="M14" si="8">SUM(M12:M13)</f>
        <v>219227</v>
      </c>
      <c r="N14" s="199">
        <f t="shared" ref="N14" si="9">SUM(N12:N13)</f>
        <v>199248</v>
      </c>
      <c r="O14" s="200">
        <f t="shared" ref="O14:P14" si="10">SUM(O12:O13)</f>
        <v>1084971</v>
      </c>
      <c r="P14" s="198">
        <f t="shared" si="10"/>
        <v>192380</v>
      </c>
      <c r="Q14" s="198">
        <f t="shared" ref="Q14" si="11">SUM(Q12:Q13)</f>
        <v>228114</v>
      </c>
      <c r="R14" s="198">
        <f t="shared" ref="R14" si="12">SUM(R12:R13)</f>
        <v>304389</v>
      </c>
      <c r="S14" s="199">
        <f t="shared" ref="S14" si="13">SUM(S12:S13)</f>
        <v>360088</v>
      </c>
      <c r="T14" s="200">
        <f t="shared" ref="T14:U14" si="14">SUM(T12:T13)</f>
        <v>1526121</v>
      </c>
      <c r="U14" s="198">
        <f t="shared" si="14"/>
        <v>390733</v>
      </c>
      <c r="V14" s="198">
        <f t="shared" ref="V14" si="15">SUM(V12:V13)</f>
        <v>391854</v>
      </c>
      <c r="W14" s="198">
        <f t="shared" ref="W14" si="16">SUM(W12:W13)</f>
        <v>382520</v>
      </c>
      <c r="X14" s="199">
        <f t="shared" ref="X14" si="17">SUM(X12:X13)</f>
        <v>361014</v>
      </c>
      <c r="Y14" s="200">
        <v>800928</v>
      </c>
      <c r="Z14" s="198">
        <v>265673</v>
      </c>
      <c r="AA14" s="198">
        <f t="shared" ref="AA14:AB14" si="18">SUM(AA12:AA13)</f>
        <v>203311</v>
      </c>
      <c r="AB14" s="198">
        <f t="shared" si="18"/>
        <v>193627</v>
      </c>
      <c r="AC14" s="199">
        <f t="shared" ref="AC14" si="19">SUM(AC12:AC13)</f>
        <v>138317</v>
      </c>
      <c r="AD14" s="200">
        <f t="shared" ref="AD14:AE14" si="20">SUM(AD12:AD13)</f>
        <v>493906</v>
      </c>
      <c r="AE14" s="198">
        <f t="shared" si="20"/>
        <v>122152</v>
      </c>
      <c r="AF14" s="198">
        <f t="shared" ref="AF14" si="21">SUM(AF12:AF13)</f>
        <v>145909</v>
      </c>
      <c r="AG14" s="198">
        <f>SUM(AG12:AG13)</f>
        <v>132458</v>
      </c>
      <c r="AH14" s="198">
        <f>SUM(AH12:AH13)</f>
        <v>93387</v>
      </c>
      <c r="AI14" s="200">
        <f t="shared" ref="AI14:AJ14" si="22">SUM(AI12:AI13)</f>
        <v>447362</v>
      </c>
      <c r="AJ14" s="198">
        <f t="shared" si="22"/>
        <v>90874</v>
      </c>
      <c r="AK14" s="198">
        <f t="shared" ref="AK14:AQ14" si="23">SUM(AK12:AK13)</f>
        <v>99754</v>
      </c>
      <c r="AL14" s="198">
        <f t="shared" si="23"/>
        <v>128711</v>
      </c>
      <c r="AM14" s="198">
        <f t="shared" si="23"/>
        <v>128023</v>
      </c>
      <c r="AN14" s="200">
        <f t="shared" si="23"/>
        <v>660430</v>
      </c>
      <c r="AO14" s="198">
        <f t="shared" si="23"/>
        <v>151446</v>
      </c>
      <c r="AP14" s="198">
        <f t="shared" si="23"/>
        <v>180176</v>
      </c>
      <c r="AQ14" s="198">
        <f t="shared" si="23"/>
        <v>159600</v>
      </c>
      <c r="AR14" s="198">
        <v>169208</v>
      </c>
      <c r="AS14" s="200">
        <v>497863</v>
      </c>
      <c r="AT14" s="198">
        <v>143731</v>
      </c>
      <c r="AU14" s="198">
        <v>123228</v>
      </c>
      <c r="AV14" s="198">
        <v>114743</v>
      </c>
      <c r="AW14" s="198">
        <v>116161</v>
      </c>
      <c r="AX14" s="200">
        <v>387490</v>
      </c>
      <c r="AY14" s="198">
        <v>95221</v>
      </c>
      <c r="AZ14" s="198">
        <v>97417</v>
      </c>
      <c r="BA14" s="198">
        <v>93583</v>
      </c>
      <c r="BB14" s="198">
        <v>101269</v>
      </c>
      <c r="BC14" s="200">
        <v>380950</v>
      </c>
      <c r="BD14" s="200">
        <v>350663</v>
      </c>
      <c r="BE14" s="359"/>
    </row>
    <row r="15" spans="1:62" ht="15.75" customHeight="1" thickTop="1">
      <c r="B15" s="201" t="s">
        <v>185</v>
      </c>
      <c r="C15" s="193">
        <v>-28700</v>
      </c>
      <c r="D15" s="194">
        <v>-19814</v>
      </c>
      <c r="E15" s="195">
        <v>-81935</v>
      </c>
      <c r="F15" s="193">
        <v>-18091</v>
      </c>
      <c r="G15" s="193">
        <v>-20505</v>
      </c>
      <c r="H15" s="193">
        <v>-21038</v>
      </c>
      <c r="I15" s="194">
        <v>-22301</v>
      </c>
      <c r="J15" s="195">
        <v>-92442</v>
      </c>
      <c r="K15" s="193">
        <v>-24376</v>
      </c>
      <c r="L15" s="193">
        <v>-21886</v>
      </c>
      <c r="M15" s="193">
        <v>-22722</v>
      </c>
      <c r="N15" s="194">
        <v>-23456</v>
      </c>
      <c r="O15" s="195">
        <v>-105455</v>
      </c>
      <c r="P15" s="193">
        <v>-26486</v>
      </c>
      <c r="Q15" s="193">
        <v>-24193</v>
      </c>
      <c r="R15" s="193">
        <v>-30255</v>
      </c>
      <c r="S15" s="194">
        <v>-24521</v>
      </c>
      <c r="T15" s="195">
        <v>-95671</v>
      </c>
      <c r="U15" s="193">
        <v>-24272</v>
      </c>
      <c r="V15" s="193">
        <v>-25839</v>
      </c>
      <c r="W15" s="193">
        <v>-22814</v>
      </c>
      <c r="X15" s="194">
        <v>-22746</v>
      </c>
      <c r="Y15" s="195">
        <v>-67020</v>
      </c>
      <c r="Z15" s="193">
        <v>-18836</v>
      </c>
      <c r="AA15" s="193">
        <v>-15220</v>
      </c>
      <c r="AB15" s="193">
        <v>-18659</v>
      </c>
      <c r="AC15" s="194">
        <v>-14305</v>
      </c>
      <c r="AD15" s="195">
        <v>-51689</v>
      </c>
      <c r="AE15" s="193">
        <v>-10956</v>
      </c>
      <c r="AF15" s="193">
        <v>-13126</v>
      </c>
      <c r="AG15" s="193">
        <v>-13591</v>
      </c>
      <c r="AH15" s="193">
        <v>-14016</v>
      </c>
      <c r="AI15" s="195">
        <v>-55740</v>
      </c>
      <c r="AJ15" s="193">
        <v>-14786</v>
      </c>
      <c r="AK15" s="193">
        <v>-12123</v>
      </c>
      <c r="AL15" s="193">
        <v>-14535</v>
      </c>
      <c r="AM15" s="193">
        <v>-14295</v>
      </c>
      <c r="AN15" s="195">
        <v>-48340</v>
      </c>
      <c r="AO15" s="193">
        <v>-12749</v>
      </c>
      <c r="AP15" s="193">
        <v>-11985</v>
      </c>
      <c r="AQ15" s="193">
        <v>-10933</v>
      </c>
      <c r="AR15" s="193">
        <v>-12673</v>
      </c>
      <c r="AS15" s="195">
        <v>-58361</v>
      </c>
      <c r="AT15" s="193">
        <v>-14005.6</v>
      </c>
      <c r="AU15" s="193">
        <v>-14859</v>
      </c>
      <c r="AV15" s="193">
        <v>-14353.3</v>
      </c>
      <c r="AW15" s="193">
        <v>-15143.4</v>
      </c>
      <c r="AX15" s="195">
        <v>-58995</v>
      </c>
      <c r="AY15" s="193">
        <v>-13739</v>
      </c>
      <c r="AZ15" s="193">
        <v>-15238</v>
      </c>
      <c r="BA15" s="193">
        <v>-13824</v>
      </c>
      <c r="BB15" s="193">
        <v>-16194</v>
      </c>
      <c r="BC15" s="195">
        <v>-73409</v>
      </c>
      <c r="BD15" s="195">
        <v>-83791</v>
      </c>
      <c r="BE15" s="203"/>
    </row>
    <row r="16" spans="1:62" ht="15.75" customHeight="1">
      <c r="B16" s="201" t="s">
        <v>186</v>
      </c>
      <c r="C16" s="193">
        <v>-48822</v>
      </c>
      <c r="D16" s="194">
        <v>-51639</v>
      </c>
      <c r="E16" s="195">
        <v>-217756</v>
      </c>
      <c r="F16" s="193">
        <v>-73461</v>
      </c>
      <c r="G16" s="193">
        <v>-53659</v>
      </c>
      <c r="H16" s="193">
        <v>-47011</v>
      </c>
      <c r="I16" s="194">
        <v>-43624</v>
      </c>
      <c r="J16" s="195">
        <v>-264979</v>
      </c>
      <c r="K16" s="193">
        <v>-79693</v>
      </c>
      <c r="L16" s="193">
        <v>-63960</v>
      </c>
      <c r="M16" s="193">
        <v>-63309</v>
      </c>
      <c r="N16" s="194">
        <v>-58017</v>
      </c>
      <c r="O16" s="195">
        <v>-248632</v>
      </c>
      <c r="P16" s="193">
        <v>-76170</v>
      </c>
      <c r="Q16" s="193">
        <v>-61685</v>
      </c>
      <c r="R16" s="193">
        <v>-56443</v>
      </c>
      <c r="S16" s="194">
        <v>-54334</v>
      </c>
      <c r="T16" s="195">
        <v>-262873</v>
      </c>
      <c r="U16" s="193">
        <v>-81347</v>
      </c>
      <c r="V16" s="193">
        <v>-92658</v>
      </c>
      <c r="W16" s="193">
        <v>-46401</v>
      </c>
      <c r="X16" s="194">
        <v>-42467</v>
      </c>
      <c r="Y16" s="195">
        <v>-179253</v>
      </c>
      <c r="Z16" s="193">
        <v>-64882</v>
      </c>
      <c r="AA16" s="193">
        <v>-40857</v>
      </c>
      <c r="AB16" s="193">
        <v>-39347</v>
      </c>
      <c r="AC16" s="194">
        <v>-34167</v>
      </c>
      <c r="AD16" s="195">
        <v>-208511</v>
      </c>
      <c r="AE16" s="193">
        <v>-55521</v>
      </c>
      <c r="AF16" s="193">
        <v>-42717</v>
      </c>
      <c r="AG16" s="193">
        <v>-38216</v>
      </c>
      <c r="AH16" s="193">
        <v>-72057</v>
      </c>
      <c r="AI16" s="195">
        <v>-150739</v>
      </c>
      <c r="AJ16" s="193">
        <v>-47608</v>
      </c>
      <c r="AK16" s="193">
        <v>-34117</v>
      </c>
      <c r="AL16" s="193">
        <v>-36534</v>
      </c>
      <c r="AM16" s="193">
        <v>-32481</v>
      </c>
      <c r="AN16" s="195">
        <v>-146201</v>
      </c>
      <c r="AO16" s="193">
        <v>-48857</v>
      </c>
      <c r="AP16" s="193">
        <v>-47115</v>
      </c>
      <c r="AQ16" s="193">
        <v>-25586</v>
      </c>
      <c r="AR16" s="193">
        <v>-24643</v>
      </c>
      <c r="AS16" s="195">
        <v>-118204</v>
      </c>
      <c r="AT16" s="193">
        <v>-35075</v>
      </c>
      <c r="AU16" s="193">
        <v>-27090</v>
      </c>
      <c r="AV16" s="193">
        <v>-26981</v>
      </c>
      <c r="AW16" s="193">
        <v>-29058</v>
      </c>
      <c r="AX16" s="195">
        <v>-99173</v>
      </c>
      <c r="AY16" s="193">
        <v>-27988</v>
      </c>
      <c r="AZ16" s="193">
        <v>-25804</v>
      </c>
      <c r="BA16" s="193">
        <v>-23742</v>
      </c>
      <c r="BB16" s="193">
        <v>-21639</v>
      </c>
      <c r="BC16" s="195">
        <v>-91837</v>
      </c>
      <c r="BD16" s="195">
        <v>-112153</v>
      </c>
      <c r="BE16" s="203"/>
    </row>
    <row r="17" spans="1:57" ht="15.75" customHeight="1">
      <c r="B17" s="201" t="s">
        <v>187</v>
      </c>
      <c r="C17" s="193">
        <v>-1427</v>
      </c>
      <c r="D17" s="194">
        <v>6077</v>
      </c>
      <c r="E17" s="195">
        <v>74054</v>
      </c>
      <c r="F17" s="193">
        <v>-16850</v>
      </c>
      <c r="G17" s="193">
        <v>-4386</v>
      </c>
      <c r="H17" s="193">
        <v>101761</v>
      </c>
      <c r="I17" s="194">
        <v>-6472</v>
      </c>
      <c r="J17" s="195">
        <v>44551</v>
      </c>
      <c r="K17" s="193">
        <v>111690</v>
      </c>
      <c r="L17" s="193">
        <v>-24629</v>
      </c>
      <c r="M17" s="193">
        <v>-37553</v>
      </c>
      <c r="N17" s="194">
        <v>-4957</v>
      </c>
      <c r="O17" s="195">
        <v>-39512</v>
      </c>
      <c r="P17" s="193">
        <v>-10506</v>
      </c>
      <c r="Q17" s="193">
        <v>-15104</v>
      </c>
      <c r="R17" s="193">
        <v>-8937</v>
      </c>
      <c r="S17" s="194">
        <v>-4965</v>
      </c>
      <c r="T17" s="195">
        <v>-57725</v>
      </c>
      <c r="U17" s="193">
        <v>-56296</v>
      </c>
      <c r="V17" s="193">
        <v>6929</v>
      </c>
      <c r="W17" s="193">
        <v>-7301</v>
      </c>
      <c r="X17" s="194">
        <v>-1057</v>
      </c>
      <c r="Y17" s="195">
        <v>76408</v>
      </c>
      <c r="Z17" s="193">
        <v>-20123</v>
      </c>
      <c r="AA17" s="193">
        <v>68030</v>
      </c>
      <c r="AB17" s="193">
        <v>32256</v>
      </c>
      <c r="AC17" s="194">
        <v>-3755</v>
      </c>
      <c r="AD17" s="195">
        <v>-2686</v>
      </c>
      <c r="AE17" s="193">
        <v>-372</v>
      </c>
      <c r="AF17" s="193">
        <v>2277</v>
      </c>
      <c r="AG17" s="193">
        <v>-1903</v>
      </c>
      <c r="AH17" s="193">
        <v>-2688</v>
      </c>
      <c r="AI17" s="195">
        <v>43322</v>
      </c>
      <c r="AJ17" s="193">
        <v>27327</v>
      </c>
      <c r="AK17" s="193">
        <v>15672</v>
      </c>
      <c r="AL17" s="193">
        <v>801</v>
      </c>
      <c r="AM17" s="193">
        <v>-478</v>
      </c>
      <c r="AN17" s="195">
        <v>15541</v>
      </c>
      <c r="AO17" s="193">
        <v>-5711</v>
      </c>
      <c r="AP17" s="193">
        <v>22181</v>
      </c>
      <c r="AQ17" s="193">
        <f>38-136</f>
        <v>-98</v>
      </c>
      <c r="AR17" s="193">
        <v>-831</v>
      </c>
      <c r="AS17" s="195">
        <v>10956</v>
      </c>
      <c r="AT17" s="193">
        <v>-9345.7000000000007</v>
      </c>
      <c r="AU17" s="193">
        <v>97</v>
      </c>
      <c r="AV17" s="193">
        <v>461</v>
      </c>
      <c r="AW17" s="193">
        <v>19744</v>
      </c>
      <c r="AX17" s="195">
        <v>-101535</v>
      </c>
      <c r="AY17" s="193">
        <v>-89395</v>
      </c>
      <c r="AZ17" s="193">
        <v>-2399</v>
      </c>
      <c r="BA17" s="193">
        <v>-1827</v>
      </c>
      <c r="BB17" s="193">
        <v>-7914</v>
      </c>
      <c r="BC17" s="195">
        <v>-39771</v>
      </c>
      <c r="BD17" s="195">
        <v>-15224</v>
      </c>
      <c r="BE17" s="203"/>
    </row>
    <row r="18" spans="1:57" ht="15.75" customHeight="1">
      <c r="B18" s="201" t="s">
        <v>188</v>
      </c>
      <c r="C18" s="203">
        <v>0</v>
      </c>
      <c r="D18" s="204">
        <v>0</v>
      </c>
      <c r="E18" s="205">
        <v>0</v>
      </c>
      <c r="F18" s="203">
        <v>0</v>
      </c>
      <c r="G18" s="203">
        <v>0</v>
      </c>
      <c r="H18" s="203">
        <v>0</v>
      </c>
      <c r="I18" s="204">
        <v>0</v>
      </c>
      <c r="J18" s="205">
        <v>0</v>
      </c>
      <c r="K18" s="203">
        <v>0</v>
      </c>
      <c r="L18" s="203">
        <v>0</v>
      </c>
      <c r="M18" s="203">
        <v>0</v>
      </c>
      <c r="N18" s="204">
        <v>0</v>
      </c>
      <c r="O18" s="205">
        <v>0</v>
      </c>
      <c r="P18" s="203">
        <v>0</v>
      </c>
      <c r="Q18" s="203">
        <v>0</v>
      </c>
      <c r="R18" s="203">
        <v>0</v>
      </c>
      <c r="S18" s="204">
        <v>0</v>
      </c>
      <c r="T18" s="205">
        <v>0</v>
      </c>
      <c r="U18" s="203">
        <v>0</v>
      </c>
      <c r="V18" s="203">
        <v>0</v>
      </c>
      <c r="W18" s="203">
        <v>0</v>
      </c>
      <c r="X18" s="204">
        <v>0</v>
      </c>
      <c r="Y18" s="205">
        <v>0</v>
      </c>
      <c r="Z18" s="203">
        <v>0</v>
      </c>
      <c r="AA18" s="203">
        <v>0</v>
      </c>
      <c r="AB18" s="203">
        <v>0</v>
      </c>
      <c r="AC18" s="204">
        <v>0</v>
      </c>
      <c r="AD18" s="205">
        <v>0</v>
      </c>
      <c r="AE18" s="203" t="s">
        <v>112</v>
      </c>
      <c r="AF18" s="203" t="s">
        <v>112</v>
      </c>
      <c r="AG18" s="203" t="s">
        <v>112</v>
      </c>
      <c r="AH18" s="203" t="s">
        <v>112</v>
      </c>
      <c r="AI18" s="205">
        <v>0</v>
      </c>
      <c r="AJ18" s="193"/>
      <c r="AK18" s="193"/>
      <c r="AL18" s="193">
        <v>0</v>
      </c>
      <c r="AM18" s="193">
        <v>0</v>
      </c>
      <c r="AN18" s="205">
        <v>0</v>
      </c>
      <c r="AO18" s="193">
        <v>0</v>
      </c>
      <c r="AP18" s="193">
        <v>0</v>
      </c>
      <c r="AQ18" s="193">
        <v>0</v>
      </c>
      <c r="AR18" s="193">
        <v>0</v>
      </c>
      <c r="AS18" s="205">
        <v>0</v>
      </c>
      <c r="AT18" s="193">
        <v>0</v>
      </c>
      <c r="AU18" s="193">
        <v>0</v>
      </c>
      <c r="AV18" s="193">
        <v>0</v>
      </c>
      <c r="AW18" s="193">
        <v>0</v>
      </c>
      <c r="AX18" s="205">
        <v>516010</v>
      </c>
      <c r="AY18" s="193">
        <v>516010</v>
      </c>
      <c r="AZ18" s="193">
        <v>0</v>
      </c>
      <c r="BA18" s="193">
        <v>0</v>
      </c>
      <c r="BB18" s="193">
        <v>0</v>
      </c>
      <c r="BC18" s="205">
        <v>0</v>
      </c>
      <c r="BD18" s="205">
        <v>0</v>
      </c>
      <c r="BE18" s="203"/>
    </row>
    <row r="19" spans="1:57" ht="15.75" customHeight="1">
      <c r="B19" s="201" t="s">
        <v>189</v>
      </c>
      <c r="C19" s="203">
        <v>0</v>
      </c>
      <c r="D19" s="204">
        <v>0</v>
      </c>
      <c r="E19" s="205">
        <v>0</v>
      </c>
      <c r="F19" s="203">
        <v>0</v>
      </c>
      <c r="G19" s="203">
        <v>0</v>
      </c>
      <c r="H19" s="203">
        <v>0</v>
      </c>
      <c r="I19" s="204">
        <v>0</v>
      </c>
      <c r="J19" s="205">
        <v>0</v>
      </c>
      <c r="K19" s="203">
        <v>0</v>
      </c>
      <c r="L19" s="203">
        <v>0</v>
      </c>
      <c r="M19" s="203">
        <v>0</v>
      </c>
      <c r="N19" s="204">
        <v>0</v>
      </c>
      <c r="O19" s="205">
        <v>0</v>
      </c>
      <c r="P19" s="203">
        <v>0</v>
      </c>
      <c r="Q19" s="203">
        <v>0</v>
      </c>
      <c r="R19" s="203">
        <v>0</v>
      </c>
      <c r="S19" s="204">
        <v>0</v>
      </c>
      <c r="T19" s="205">
        <v>0</v>
      </c>
      <c r="U19" s="203">
        <v>0</v>
      </c>
      <c r="V19" s="203">
        <v>0</v>
      </c>
      <c r="W19" s="203">
        <v>0</v>
      </c>
      <c r="X19" s="204">
        <v>0</v>
      </c>
      <c r="Y19" s="205">
        <v>0</v>
      </c>
      <c r="Z19" s="203">
        <v>0</v>
      </c>
      <c r="AA19" s="203">
        <v>0</v>
      </c>
      <c r="AB19" s="203">
        <v>0</v>
      </c>
      <c r="AC19" s="204">
        <v>0</v>
      </c>
      <c r="AD19" s="205">
        <v>0</v>
      </c>
      <c r="AE19" s="203" t="s">
        <v>112</v>
      </c>
      <c r="AF19" s="203" t="s">
        <v>112</v>
      </c>
      <c r="AG19" s="203" t="s">
        <v>112</v>
      </c>
      <c r="AH19" s="203" t="s">
        <v>112</v>
      </c>
      <c r="AI19" s="205">
        <v>0</v>
      </c>
      <c r="AJ19" s="193"/>
      <c r="AK19" s="193"/>
      <c r="AL19" s="193">
        <v>0</v>
      </c>
      <c r="AM19" s="193">
        <v>0</v>
      </c>
      <c r="AN19" s="205">
        <v>0</v>
      </c>
      <c r="AO19" s="193">
        <v>0</v>
      </c>
      <c r="AP19" s="193">
        <v>0</v>
      </c>
      <c r="AQ19" s="193">
        <v>0</v>
      </c>
      <c r="AR19" s="193">
        <v>0</v>
      </c>
      <c r="AS19" s="205">
        <v>-27033</v>
      </c>
      <c r="AT19" s="193">
        <v>-27033</v>
      </c>
      <c r="AU19" s="193">
        <v>0</v>
      </c>
      <c r="AV19" s="193">
        <v>0</v>
      </c>
      <c r="AW19" s="193">
        <v>0</v>
      </c>
      <c r="AX19" s="205">
        <v>0</v>
      </c>
      <c r="AY19" s="193">
        <v>0</v>
      </c>
      <c r="AZ19" s="193">
        <v>0</v>
      </c>
      <c r="BA19" s="193">
        <v>0</v>
      </c>
      <c r="BB19" s="193">
        <v>0</v>
      </c>
      <c r="BC19" s="205">
        <v>0</v>
      </c>
      <c r="BD19" s="205">
        <v>0</v>
      </c>
      <c r="BE19" s="203"/>
    </row>
    <row r="20" spans="1:57" ht="15.75" customHeight="1">
      <c r="B20" s="201" t="s">
        <v>190</v>
      </c>
      <c r="C20" s="203">
        <v>0</v>
      </c>
      <c r="D20" s="204">
        <v>0</v>
      </c>
      <c r="E20" s="205">
        <v>0</v>
      </c>
      <c r="F20" s="203">
        <v>0</v>
      </c>
      <c r="G20" s="203">
        <v>0</v>
      </c>
      <c r="H20" s="203">
        <v>0</v>
      </c>
      <c r="I20" s="204">
        <v>0</v>
      </c>
      <c r="J20" s="205">
        <v>0</v>
      </c>
      <c r="K20" s="203">
        <v>0</v>
      </c>
      <c r="L20" s="203">
        <v>0</v>
      </c>
      <c r="M20" s="203">
        <v>0</v>
      </c>
      <c r="N20" s="204">
        <v>0</v>
      </c>
      <c r="O20" s="205">
        <v>0</v>
      </c>
      <c r="P20" s="203">
        <v>0</v>
      </c>
      <c r="Q20" s="203">
        <v>0</v>
      </c>
      <c r="R20" s="203">
        <v>0</v>
      </c>
      <c r="S20" s="204">
        <v>0</v>
      </c>
      <c r="T20" s="205">
        <v>0</v>
      </c>
      <c r="U20" s="203">
        <v>0</v>
      </c>
      <c r="V20" s="203">
        <v>0</v>
      </c>
      <c r="W20" s="203">
        <v>0</v>
      </c>
      <c r="X20" s="204">
        <v>0</v>
      </c>
      <c r="Y20" s="205">
        <v>447971</v>
      </c>
      <c r="Z20" s="203">
        <v>447971</v>
      </c>
      <c r="AA20" s="203">
        <v>0</v>
      </c>
      <c r="AB20" s="203">
        <v>0</v>
      </c>
      <c r="AC20" s="204">
        <v>0</v>
      </c>
      <c r="AD20" s="205">
        <v>0</v>
      </c>
      <c r="AE20" s="203" t="s">
        <v>112</v>
      </c>
      <c r="AF20" s="203" t="s">
        <v>112</v>
      </c>
      <c r="AG20" s="203" t="s">
        <v>112</v>
      </c>
      <c r="AH20" s="203" t="s">
        <v>112</v>
      </c>
      <c r="AI20" s="205">
        <v>0</v>
      </c>
      <c r="AJ20" s="193"/>
      <c r="AK20" s="193"/>
      <c r="AL20" s="193">
        <v>0</v>
      </c>
      <c r="AM20" s="193">
        <v>0</v>
      </c>
      <c r="AN20" s="205">
        <v>48935</v>
      </c>
      <c r="AO20" s="193">
        <v>0</v>
      </c>
      <c r="AP20" s="193">
        <v>0</v>
      </c>
      <c r="AQ20" s="193">
        <v>0</v>
      </c>
      <c r="AR20" s="193">
        <v>48935</v>
      </c>
      <c r="AS20" s="205">
        <v>0</v>
      </c>
      <c r="AT20" s="193">
        <v>0</v>
      </c>
      <c r="AU20" s="193">
        <v>0</v>
      </c>
      <c r="AV20" s="193">
        <v>0</v>
      </c>
      <c r="AW20" s="193">
        <v>0</v>
      </c>
      <c r="AX20" s="205">
        <v>0</v>
      </c>
      <c r="AY20" s="193">
        <v>0</v>
      </c>
      <c r="AZ20" s="193">
        <v>0</v>
      </c>
      <c r="BA20" s="193">
        <v>0</v>
      </c>
      <c r="BB20" s="193">
        <v>0</v>
      </c>
      <c r="BC20" s="205">
        <v>0</v>
      </c>
      <c r="BD20" s="205">
        <v>0</v>
      </c>
      <c r="BE20" s="203"/>
    </row>
    <row r="21" spans="1:57" ht="15.75" customHeight="1">
      <c r="B21" s="202" t="s">
        <v>191</v>
      </c>
      <c r="C21" s="193">
        <v>66483</v>
      </c>
      <c r="D21" s="194">
        <v>48881</v>
      </c>
      <c r="E21" s="195">
        <v>208757</v>
      </c>
      <c r="F21" s="193">
        <v>-1211</v>
      </c>
      <c r="G21" s="193">
        <v>80405</v>
      </c>
      <c r="H21" s="193">
        <v>38299</v>
      </c>
      <c r="I21" s="194">
        <v>91264</v>
      </c>
      <c r="J21" s="195">
        <v>247624</v>
      </c>
      <c r="K21" s="193">
        <v>121201</v>
      </c>
      <c r="L21" s="193">
        <v>84681</v>
      </c>
      <c r="M21" s="193">
        <v>55488</v>
      </c>
      <c r="N21" s="194">
        <v>-13746</v>
      </c>
      <c r="O21" s="195">
        <v>412017</v>
      </c>
      <c r="P21" s="193">
        <v>126752</v>
      </c>
      <c r="Q21" s="193">
        <v>107962</v>
      </c>
      <c r="R21" s="193">
        <v>78626</v>
      </c>
      <c r="S21" s="194">
        <v>98677</v>
      </c>
      <c r="T21" s="195">
        <v>673715</v>
      </c>
      <c r="U21" s="193">
        <v>25475</v>
      </c>
      <c r="V21" s="193">
        <v>17587</v>
      </c>
      <c r="W21" s="193">
        <v>332953</v>
      </c>
      <c r="X21" s="194">
        <v>297700</v>
      </c>
      <c r="Y21" s="195">
        <v>1264909</v>
      </c>
      <c r="Z21" s="193">
        <v>294397</v>
      </c>
      <c r="AA21" s="193">
        <v>630254</v>
      </c>
      <c r="AB21" s="193">
        <v>126925</v>
      </c>
      <c r="AC21" s="194">
        <v>213333</v>
      </c>
      <c r="AD21" s="195">
        <v>193647</v>
      </c>
      <c r="AE21" s="193">
        <v>259720</v>
      </c>
      <c r="AF21" s="193">
        <v>96546</v>
      </c>
      <c r="AG21" s="193">
        <v>-35652</v>
      </c>
      <c r="AH21" s="193">
        <v>-126967</v>
      </c>
      <c r="AI21" s="195">
        <v>-32619</v>
      </c>
      <c r="AJ21" s="193">
        <v>82848</v>
      </c>
      <c r="AK21" s="193">
        <v>-61251</v>
      </c>
      <c r="AL21" s="193">
        <v>-63535</v>
      </c>
      <c r="AM21" s="193">
        <v>9319</v>
      </c>
      <c r="AN21" s="195">
        <v>183520</v>
      </c>
      <c r="AO21" s="193">
        <v>85599</v>
      </c>
      <c r="AP21" s="193">
        <v>47867</v>
      </c>
      <c r="AQ21" s="193">
        <v>2139</v>
      </c>
      <c r="AR21" s="193">
        <v>47915</v>
      </c>
      <c r="AS21" s="195">
        <v>45110.9</v>
      </c>
      <c r="AT21" s="193">
        <v>18833.7</v>
      </c>
      <c r="AU21" s="193">
        <v>64028.5</v>
      </c>
      <c r="AV21" s="193">
        <v>-20138.400000000001</v>
      </c>
      <c r="AW21" s="193">
        <v>-17612.900000000001</v>
      </c>
      <c r="AX21" s="195">
        <v>-75431</v>
      </c>
      <c r="AY21" s="193">
        <v>-67871</v>
      </c>
      <c r="AZ21" s="193">
        <v>-6734</v>
      </c>
      <c r="BA21" s="193">
        <v>-7850</v>
      </c>
      <c r="BB21" s="193">
        <v>7024</v>
      </c>
      <c r="BC21" s="195">
        <v>-18201</v>
      </c>
      <c r="BD21" s="195">
        <v>-3205</v>
      </c>
      <c r="BE21" s="203"/>
    </row>
    <row r="22" spans="1:57" ht="15.75" customHeight="1" thickBot="1">
      <c r="A22" s="196"/>
      <c r="B22" s="197" t="s">
        <v>192</v>
      </c>
      <c r="C22" s="198">
        <f t="shared" ref="C22" si="24">SUM(C14:C21)</f>
        <v>300581</v>
      </c>
      <c r="D22" s="199">
        <f t="shared" ref="D22" si="25">SUM(D14:D21)</f>
        <v>169034</v>
      </c>
      <c r="E22" s="200">
        <f t="shared" ref="E22:F22" si="26">SUM(E14:E21)</f>
        <v>961784</v>
      </c>
      <c r="F22" s="198">
        <f t="shared" si="26"/>
        <v>88131</v>
      </c>
      <c r="G22" s="198">
        <f t="shared" ref="G22" si="27">SUM(G14:G21)</f>
        <v>232380</v>
      </c>
      <c r="H22" s="198">
        <f t="shared" ref="H22" si="28">SUM(H14:H21)</f>
        <v>355035</v>
      </c>
      <c r="I22" s="199">
        <f t="shared" ref="I22" si="29">SUM(I14:I21)</f>
        <v>286238</v>
      </c>
      <c r="J22" s="200">
        <f t="shared" ref="J22:K22" si="30">SUM(J14:J21)</f>
        <v>874112</v>
      </c>
      <c r="K22" s="198">
        <f t="shared" si="30"/>
        <v>409881</v>
      </c>
      <c r="L22" s="198">
        <f t="shared" ref="L22" si="31">SUM(L14:L21)</f>
        <v>214030</v>
      </c>
      <c r="M22" s="198">
        <f t="shared" ref="M22" si="32">SUM(M14:M21)</f>
        <v>151131</v>
      </c>
      <c r="N22" s="199">
        <f t="shared" ref="N22" si="33">SUM(N14:N21)</f>
        <v>99072</v>
      </c>
      <c r="O22" s="200">
        <f t="shared" ref="O22:P22" si="34">SUM(O14:O21)</f>
        <v>1103389</v>
      </c>
      <c r="P22" s="198">
        <f t="shared" si="34"/>
        <v>205970</v>
      </c>
      <c r="Q22" s="198">
        <f t="shared" ref="Q22" si="35">SUM(Q14:Q21)</f>
        <v>235094</v>
      </c>
      <c r="R22" s="198">
        <f t="shared" ref="R22" si="36">SUM(R14:R21)</f>
        <v>287380</v>
      </c>
      <c r="S22" s="199">
        <f t="shared" ref="S22" si="37">SUM(S14:S21)</f>
        <v>374945</v>
      </c>
      <c r="T22" s="200">
        <f t="shared" ref="T22:U22" si="38">SUM(T14:T21)</f>
        <v>1783567</v>
      </c>
      <c r="U22" s="198">
        <f t="shared" si="38"/>
        <v>254293</v>
      </c>
      <c r="V22" s="198">
        <f t="shared" ref="V22" si="39">SUM(V14:V21)</f>
        <v>297873</v>
      </c>
      <c r="W22" s="198">
        <f t="shared" ref="W22" si="40">SUM(W14:W21)</f>
        <v>638957</v>
      </c>
      <c r="X22" s="199">
        <f t="shared" ref="X22" si="41">SUM(X14:X21)</f>
        <v>592444</v>
      </c>
      <c r="Y22" s="200">
        <f t="shared" ref="Y22:AB22" si="42">SUM(Y14:Y21)</f>
        <v>2343943</v>
      </c>
      <c r="Z22" s="198">
        <f t="shared" si="42"/>
        <v>904200</v>
      </c>
      <c r="AA22" s="198">
        <f t="shared" si="42"/>
        <v>845518</v>
      </c>
      <c r="AB22" s="198">
        <f t="shared" si="42"/>
        <v>294802</v>
      </c>
      <c r="AC22" s="199">
        <f t="shared" ref="AC22" si="43">SUM(AC14:AC21)</f>
        <v>299423</v>
      </c>
      <c r="AD22" s="200">
        <f t="shared" ref="AD22:AG22" si="44">SUM(AD14:AD21)</f>
        <v>424667</v>
      </c>
      <c r="AE22" s="198">
        <f t="shared" si="44"/>
        <v>315023</v>
      </c>
      <c r="AF22" s="198">
        <f t="shared" ref="AF22" si="45">SUM(AF14:AF21)</f>
        <v>188889</v>
      </c>
      <c r="AG22" s="198">
        <f t="shared" si="44"/>
        <v>43096</v>
      </c>
      <c r="AH22" s="198">
        <f t="shared" ref="AH22" si="46">SUM(AH14:AH21)</f>
        <v>-122341</v>
      </c>
      <c r="AI22" s="200">
        <f t="shared" ref="AI22:AK22" si="47">SUM(AI14:AI21)</f>
        <v>251586</v>
      </c>
      <c r="AJ22" s="198">
        <f t="shared" si="47"/>
        <v>138655</v>
      </c>
      <c r="AK22" s="198">
        <f t="shared" si="47"/>
        <v>7935</v>
      </c>
      <c r="AL22" s="198">
        <f>SUM(AL14:AL21)</f>
        <v>14908</v>
      </c>
      <c r="AM22" s="198">
        <f>SUM(AM14:AM21)</f>
        <v>90088</v>
      </c>
      <c r="AN22" s="200">
        <f>SUM(AN14:AN21)</f>
        <v>713885</v>
      </c>
      <c r="AO22" s="198">
        <f t="shared" ref="AO22:AP22" si="48">SUM(AO14:AO21)</f>
        <v>169728</v>
      </c>
      <c r="AP22" s="198">
        <f t="shared" si="48"/>
        <v>191124</v>
      </c>
      <c r="AQ22" s="198">
        <f>SUM(AQ14:AQ21)</f>
        <v>125122</v>
      </c>
      <c r="AR22" s="198">
        <v>227911</v>
      </c>
      <c r="AS22" s="200">
        <v>350331</v>
      </c>
      <c r="AT22" s="198">
        <v>77105.3</v>
      </c>
      <c r="AU22" s="198">
        <v>145404.20000000001</v>
      </c>
      <c r="AV22" s="198">
        <v>53731.199999999997</v>
      </c>
      <c r="AW22" s="198">
        <v>74090.600000000006</v>
      </c>
      <c r="AX22" s="200">
        <v>568366</v>
      </c>
      <c r="AY22" s="198">
        <v>412238</v>
      </c>
      <c r="AZ22" s="198">
        <v>47242</v>
      </c>
      <c r="BA22" s="198">
        <v>46340</v>
      </c>
      <c r="BB22" s="198">
        <v>62546</v>
      </c>
      <c r="BC22" s="200">
        <v>157732</v>
      </c>
      <c r="BD22" s="200">
        <v>136290</v>
      </c>
      <c r="BE22" s="359"/>
    </row>
    <row r="23" spans="1:57" ht="15.75" customHeight="1" thickTop="1">
      <c r="B23" s="206" t="s">
        <v>457</v>
      </c>
      <c r="C23" s="193">
        <v>-146023</v>
      </c>
      <c r="D23" s="194">
        <v>-138300</v>
      </c>
      <c r="E23" s="195">
        <v>-384320</v>
      </c>
      <c r="F23" s="193">
        <v>-111394</v>
      </c>
      <c r="G23" s="193">
        <v>-108451</v>
      </c>
      <c r="H23" s="193">
        <v>-55160</v>
      </c>
      <c r="I23" s="194">
        <v>-109315</v>
      </c>
      <c r="J23" s="195">
        <v>-175002</v>
      </c>
      <c r="K23" s="193">
        <v>-33636</v>
      </c>
      <c r="L23" s="193">
        <v>-77135</v>
      </c>
      <c r="M23" s="193">
        <v>-43768</v>
      </c>
      <c r="N23" s="194">
        <v>-20463</v>
      </c>
      <c r="O23" s="195">
        <v>-164298</v>
      </c>
      <c r="P23" s="193">
        <v>-38935</v>
      </c>
      <c r="Q23" s="193">
        <v>-34309</v>
      </c>
      <c r="R23" s="193">
        <v>-46704</v>
      </c>
      <c r="S23" s="194">
        <v>-44350</v>
      </c>
      <c r="T23" s="195">
        <v>-133854</v>
      </c>
      <c r="U23" s="193">
        <v>-52776</v>
      </c>
      <c r="V23" s="193">
        <v>-6113</v>
      </c>
      <c r="W23" s="193">
        <v>164</v>
      </c>
      <c r="X23" s="194">
        <v>-75129</v>
      </c>
      <c r="Y23" s="195">
        <v>6728</v>
      </c>
      <c r="Z23" s="193">
        <v>-19886</v>
      </c>
      <c r="AA23" s="193">
        <v>5697</v>
      </c>
      <c r="AB23" s="193">
        <v>11021</v>
      </c>
      <c r="AC23" s="194">
        <v>9896</v>
      </c>
      <c r="AD23" s="195">
        <v>39822</v>
      </c>
      <c r="AE23" s="193">
        <v>-16188</v>
      </c>
      <c r="AF23" s="193">
        <v>-813</v>
      </c>
      <c r="AG23" s="193">
        <v>8379</v>
      </c>
      <c r="AH23" s="193">
        <v>48444</v>
      </c>
      <c r="AI23" s="195">
        <v>19118</v>
      </c>
      <c r="AJ23" s="193">
        <v>-10580</v>
      </c>
      <c r="AK23" s="193">
        <v>5493</v>
      </c>
      <c r="AL23" s="193">
        <v>34175</v>
      </c>
      <c r="AM23" s="193">
        <v>-9971</v>
      </c>
      <c r="AN23" s="195">
        <v>-46486</v>
      </c>
      <c r="AO23" s="193">
        <v>-7809</v>
      </c>
      <c r="AP23" s="193">
        <v>-12118</v>
      </c>
      <c r="AQ23" s="193">
        <v>-15455</v>
      </c>
      <c r="AR23" s="193">
        <v>-11104</v>
      </c>
      <c r="AS23" s="195">
        <v>-33460</v>
      </c>
      <c r="AT23" s="193">
        <v>-14348</v>
      </c>
      <c r="AU23" s="193">
        <v>-6385</v>
      </c>
      <c r="AV23" s="193">
        <v>-3139</v>
      </c>
      <c r="AW23" s="193">
        <v>-9588</v>
      </c>
      <c r="AX23" s="195">
        <v>-99759</v>
      </c>
      <c r="AY23" s="193">
        <v>-49978</v>
      </c>
      <c r="AZ23" s="193">
        <v>-13950</v>
      </c>
      <c r="BA23" s="193">
        <v>-25662</v>
      </c>
      <c r="BB23" s="193">
        <v>-10169</v>
      </c>
      <c r="BC23" s="195">
        <v>-60868</v>
      </c>
      <c r="BD23" s="195">
        <v>-61494</v>
      </c>
      <c r="BE23" s="203"/>
    </row>
    <row r="24" spans="1:57" s="208" customFormat="1" ht="15.75" customHeight="1" thickBot="1">
      <c r="A24" s="196"/>
      <c r="B24" s="207" t="s">
        <v>193</v>
      </c>
      <c r="C24" s="198">
        <f t="shared" ref="C24" si="49">SUM(C22:C23)</f>
        <v>154558</v>
      </c>
      <c r="D24" s="199">
        <f t="shared" ref="D24" si="50">SUM(D22:D23)</f>
        <v>30734</v>
      </c>
      <c r="E24" s="200">
        <f t="shared" ref="E24:X24" si="51">SUM(E22:E23)</f>
        <v>577464</v>
      </c>
      <c r="F24" s="198">
        <f t="shared" si="51"/>
        <v>-23263</v>
      </c>
      <c r="G24" s="198">
        <f t="shared" si="51"/>
        <v>123929</v>
      </c>
      <c r="H24" s="198">
        <f t="shared" si="51"/>
        <v>299875</v>
      </c>
      <c r="I24" s="199">
        <f t="shared" si="51"/>
        <v>176923</v>
      </c>
      <c r="J24" s="200">
        <f t="shared" si="51"/>
        <v>699110</v>
      </c>
      <c r="K24" s="198">
        <f t="shared" si="51"/>
        <v>376245</v>
      </c>
      <c r="L24" s="198">
        <f t="shared" si="51"/>
        <v>136895</v>
      </c>
      <c r="M24" s="198">
        <f t="shared" si="51"/>
        <v>107363</v>
      </c>
      <c r="N24" s="199">
        <f t="shared" si="51"/>
        <v>78609</v>
      </c>
      <c r="O24" s="200">
        <f t="shared" si="51"/>
        <v>939091</v>
      </c>
      <c r="P24" s="198">
        <f t="shared" si="51"/>
        <v>167035</v>
      </c>
      <c r="Q24" s="198">
        <f t="shared" si="51"/>
        <v>200785</v>
      </c>
      <c r="R24" s="198">
        <f t="shared" si="51"/>
        <v>240676</v>
      </c>
      <c r="S24" s="199">
        <f t="shared" si="51"/>
        <v>330595</v>
      </c>
      <c r="T24" s="200">
        <f t="shared" si="51"/>
        <v>1649713</v>
      </c>
      <c r="U24" s="198">
        <f t="shared" si="51"/>
        <v>201517</v>
      </c>
      <c r="V24" s="198">
        <f t="shared" si="51"/>
        <v>291760</v>
      </c>
      <c r="W24" s="198">
        <f t="shared" si="51"/>
        <v>639121</v>
      </c>
      <c r="X24" s="199">
        <f t="shared" si="51"/>
        <v>517315</v>
      </c>
      <c r="Y24" s="200">
        <v>2350671</v>
      </c>
      <c r="Z24" s="198">
        <v>884314</v>
      </c>
      <c r="AA24" s="198">
        <f t="shared" ref="AA24:AQ24" si="52">SUM(AA22:AA23)</f>
        <v>851215</v>
      </c>
      <c r="AB24" s="198">
        <f t="shared" si="52"/>
        <v>305823</v>
      </c>
      <c r="AC24" s="199">
        <f t="shared" si="52"/>
        <v>309319</v>
      </c>
      <c r="AD24" s="200">
        <f t="shared" si="52"/>
        <v>464489</v>
      </c>
      <c r="AE24" s="198">
        <f t="shared" si="52"/>
        <v>298835</v>
      </c>
      <c r="AF24" s="198">
        <f t="shared" si="52"/>
        <v>188076</v>
      </c>
      <c r="AG24" s="198">
        <f t="shared" si="52"/>
        <v>51475</v>
      </c>
      <c r="AH24" s="198">
        <f t="shared" si="52"/>
        <v>-73897</v>
      </c>
      <c r="AI24" s="200">
        <f t="shared" si="52"/>
        <v>270704</v>
      </c>
      <c r="AJ24" s="198">
        <f t="shared" si="52"/>
        <v>128075</v>
      </c>
      <c r="AK24" s="198">
        <f t="shared" si="52"/>
        <v>13428</v>
      </c>
      <c r="AL24" s="198">
        <f t="shared" si="52"/>
        <v>49083</v>
      </c>
      <c r="AM24" s="198">
        <f t="shared" si="52"/>
        <v>80117</v>
      </c>
      <c r="AN24" s="200">
        <f t="shared" si="52"/>
        <v>667399</v>
      </c>
      <c r="AO24" s="198">
        <f t="shared" si="52"/>
        <v>161919</v>
      </c>
      <c r="AP24" s="198">
        <f t="shared" si="52"/>
        <v>179006</v>
      </c>
      <c r="AQ24" s="198">
        <f t="shared" si="52"/>
        <v>109667</v>
      </c>
      <c r="AR24" s="198">
        <v>216807</v>
      </c>
      <c r="AS24" s="200">
        <v>316871</v>
      </c>
      <c r="AT24" s="198">
        <v>62757.2</v>
      </c>
      <c r="AU24" s="198">
        <v>139018.79999999999</v>
      </c>
      <c r="AV24" s="198">
        <v>50593</v>
      </c>
      <c r="AW24" s="198">
        <v>64502.1</v>
      </c>
      <c r="AX24" s="200">
        <v>468607</v>
      </c>
      <c r="AY24" s="198">
        <v>362260</v>
      </c>
      <c r="AZ24" s="198">
        <v>33292</v>
      </c>
      <c r="BA24" s="198">
        <v>20678</v>
      </c>
      <c r="BB24" s="198">
        <v>52377</v>
      </c>
      <c r="BC24" s="200">
        <v>96864</v>
      </c>
      <c r="BD24" s="200">
        <v>74796</v>
      </c>
      <c r="BE24" s="359"/>
    </row>
    <row r="25" spans="1:57" ht="15.75" customHeight="1" thickTop="1">
      <c r="B25" s="206" t="s">
        <v>194</v>
      </c>
      <c r="C25" s="193">
        <v>-29484</v>
      </c>
      <c r="D25" s="416">
        <v>6738</v>
      </c>
      <c r="E25" s="209">
        <v>-88842</v>
      </c>
      <c r="F25" s="193">
        <v>18128</v>
      </c>
      <c r="G25" s="193">
        <v>-14781</v>
      </c>
      <c r="H25" s="193">
        <v>-66647</v>
      </c>
      <c r="I25" s="416">
        <v>-25541</v>
      </c>
      <c r="J25" s="364">
        <v>-143514</v>
      </c>
      <c r="K25" s="193">
        <v>-83988</v>
      </c>
      <c r="L25" s="193">
        <v>-18322</v>
      </c>
      <c r="M25" s="193">
        <v>-18589</v>
      </c>
      <c r="N25" s="360">
        <v>-22617</v>
      </c>
      <c r="O25" s="364">
        <v>-151583</v>
      </c>
      <c r="P25" s="193">
        <v>-6882</v>
      </c>
      <c r="Q25" s="193">
        <v>-10876</v>
      </c>
      <c r="R25" s="193">
        <v>-54999</v>
      </c>
      <c r="S25" s="360">
        <v>-78826</v>
      </c>
      <c r="T25" s="364">
        <v>-323793</v>
      </c>
      <c r="U25" s="193">
        <v>-53404</v>
      </c>
      <c r="V25" s="193">
        <v>-93919</v>
      </c>
      <c r="W25" s="193">
        <v>-104551</v>
      </c>
      <c r="X25" s="360">
        <v>-71919</v>
      </c>
      <c r="Y25" s="205">
        <v>-365907</v>
      </c>
      <c r="Z25" s="361">
        <v>-200350</v>
      </c>
      <c r="AA25" s="361">
        <v>-73035</v>
      </c>
      <c r="AB25" s="361">
        <v>-60750</v>
      </c>
      <c r="AC25" s="362">
        <v>-31772</v>
      </c>
      <c r="AD25" s="205">
        <v>-96823</v>
      </c>
      <c r="AE25" s="193">
        <v>-13696</v>
      </c>
      <c r="AF25" s="193">
        <v>-33199</v>
      </c>
      <c r="AG25" s="363">
        <v>-31606</v>
      </c>
      <c r="AH25" s="363">
        <v>-18322</v>
      </c>
      <c r="AI25" s="364">
        <v>-97199</v>
      </c>
      <c r="AJ25" s="193">
        <v>-8769</v>
      </c>
      <c r="AK25" s="193">
        <v>-26021</v>
      </c>
      <c r="AL25" s="193">
        <v>-38573</v>
      </c>
      <c r="AM25" s="193">
        <v>-23834</v>
      </c>
      <c r="AN25" s="364">
        <v>-139359</v>
      </c>
      <c r="AO25" s="193">
        <v>-8111</v>
      </c>
      <c r="AP25" s="193">
        <v>-34403</v>
      </c>
      <c r="AQ25" s="193">
        <v>-38544</v>
      </c>
      <c r="AR25" s="193">
        <v>-58301</v>
      </c>
      <c r="AS25" s="209">
        <v>-14214</v>
      </c>
      <c r="AT25" s="193">
        <v>47080</v>
      </c>
      <c r="AU25" s="193">
        <v>-6041</v>
      </c>
      <c r="AV25" s="193">
        <v>-25217</v>
      </c>
      <c r="AW25" s="193">
        <v>-30036</v>
      </c>
      <c r="AX25" s="209">
        <v>-187771</v>
      </c>
      <c r="AY25" s="193">
        <v>-147297</v>
      </c>
      <c r="AZ25" s="193">
        <v>-14010</v>
      </c>
      <c r="BA25" s="193">
        <v>-10256</v>
      </c>
      <c r="BB25" s="193">
        <v>-16208</v>
      </c>
      <c r="BC25" s="209">
        <v>-9031</v>
      </c>
      <c r="BD25" s="209">
        <v>-9205</v>
      </c>
      <c r="BE25" s="203"/>
    </row>
    <row r="26" spans="1:57" ht="15.75" customHeight="1">
      <c r="A26" s="196"/>
      <c r="B26" s="210" t="s">
        <v>195</v>
      </c>
      <c r="C26" s="211">
        <f t="shared" ref="C26" si="53">SUM(C24:C25)</f>
        <v>125074</v>
      </c>
      <c r="D26" s="212">
        <f t="shared" ref="D26" si="54">SUM(D24:D25)</f>
        <v>37472</v>
      </c>
      <c r="E26" s="213">
        <f t="shared" ref="E26:F26" si="55">SUM(E24:E25)</f>
        <v>488622</v>
      </c>
      <c r="F26" s="211">
        <f t="shared" si="55"/>
        <v>-5135</v>
      </c>
      <c r="G26" s="211">
        <f t="shared" ref="G26" si="56">SUM(G24:G25)</f>
        <v>109148</v>
      </c>
      <c r="H26" s="211">
        <f t="shared" ref="H26" si="57">SUM(H24:H25)</f>
        <v>233228</v>
      </c>
      <c r="I26" s="212">
        <f t="shared" ref="I26" si="58">SUM(I24:I25)</f>
        <v>151382</v>
      </c>
      <c r="J26" s="213">
        <f t="shared" ref="J26:K26" si="59">SUM(J24:J25)</f>
        <v>555596</v>
      </c>
      <c r="K26" s="211">
        <f t="shared" si="59"/>
        <v>292257</v>
      </c>
      <c r="L26" s="211">
        <f t="shared" ref="L26" si="60">SUM(L24:L25)</f>
        <v>118573</v>
      </c>
      <c r="M26" s="211">
        <f t="shared" ref="M26" si="61">SUM(M24:M25)</f>
        <v>88774</v>
      </c>
      <c r="N26" s="212">
        <f t="shared" ref="N26" si="62">SUM(N24:N25)</f>
        <v>55992</v>
      </c>
      <c r="O26" s="213">
        <f t="shared" ref="O26:P26" si="63">SUM(O24:O25)</f>
        <v>787508</v>
      </c>
      <c r="P26" s="211">
        <f t="shared" si="63"/>
        <v>160153</v>
      </c>
      <c r="Q26" s="211">
        <f t="shared" ref="Q26" si="64">SUM(Q24:Q25)</f>
        <v>189909</v>
      </c>
      <c r="R26" s="211">
        <f t="shared" ref="R26" si="65">SUM(R24:R25)</f>
        <v>185677</v>
      </c>
      <c r="S26" s="212">
        <f t="shared" ref="S26" si="66">SUM(S24:S25)</f>
        <v>251769</v>
      </c>
      <c r="T26" s="213">
        <f t="shared" ref="T26" si="67">SUM(T24:T25)</f>
        <v>1325920</v>
      </c>
      <c r="U26" s="211">
        <f>SUM(U24:U25)</f>
        <v>148113</v>
      </c>
      <c r="V26" s="211">
        <f>SUM(V24:V25)</f>
        <v>197841</v>
      </c>
      <c r="W26" s="211">
        <f>SUM(W24:W25)</f>
        <v>534570</v>
      </c>
      <c r="X26" s="212">
        <f t="shared" ref="X26" si="68">SUM(X24:X25)</f>
        <v>445396</v>
      </c>
      <c r="Y26" s="213">
        <v>1984764</v>
      </c>
      <c r="Z26" s="211">
        <v>683964</v>
      </c>
      <c r="AA26" s="211">
        <f>SUM(AA24:AA25)</f>
        <v>778180</v>
      </c>
      <c r="AB26" s="211">
        <f>SUM(AB24:AB25)</f>
        <v>245073</v>
      </c>
      <c r="AC26" s="212">
        <f>SUM(AC24:AC25)</f>
        <v>277547</v>
      </c>
      <c r="AD26" s="213">
        <f t="shared" ref="AD26:AE26" si="69">SUM(AD24:AD25)</f>
        <v>367666</v>
      </c>
      <c r="AE26" s="211">
        <f t="shared" si="69"/>
        <v>285139</v>
      </c>
      <c r="AF26" s="211">
        <f t="shared" ref="AF26" si="70">SUM(AF24:AF25)</f>
        <v>154877</v>
      </c>
      <c r="AG26" s="211">
        <f t="shared" ref="AG26" si="71">SUM(AG24:AG25)</f>
        <v>19869</v>
      </c>
      <c r="AH26" s="211">
        <f t="shared" ref="AH26" si="72">SUM(AH24:AH25)</f>
        <v>-92219</v>
      </c>
      <c r="AI26" s="213">
        <f t="shared" ref="AI26:AP26" si="73">SUM(AI24:AI25)</f>
        <v>173505</v>
      </c>
      <c r="AJ26" s="211">
        <f t="shared" si="73"/>
        <v>119306</v>
      </c>
      <c r="AK26" s="211">
        <f t="shared" si="73"/>
        <v>-12593</v>
      </c>
      <c r="AL26" s="211">
        <f t="shared" si="73"/>
        <v>10510</v>
      </c>
      <c r="AM26" s="211">
        <f t="shared" si="73"/>
        <v>56283</v>
      </c>
      <c r="AN26" s="213">
        <f t="shared" si="73"/>
        <v>528040</v>
      </c>
      <c r="AO26" s="211">
        <f t="shared" si="73"/>
        <v>153808</v>
      </c>
      <c r="AP26" s="211">
        <f t="shared" si="73"/>
        <v>144603</v>
      </c>
      <c r="AQ26" s="211">
        <f>SUM(AQ24:AQ25)</f>
        <v>71123</v>
      </c>
      <c r="AR26" s="211">
        <v>158506</v>
      </c>
      <c r="AS26" s="213">
        <v>302657.5</v>
      </c>
      <c r="AT26" s="211">
        <v>109837.2</v>
      </c>
      <c r="AU26" s="211">
        <v>132978</v>
      </c>
      <c r="AV26" s="211">
        <v>25376.3</v>
      </c>
      <c r="AW26" s="211">
        <v>34466</v>
      </c>
      <c r="AX26" s="213">
        <v>280836</v>
      </c>
      <c r="AY26" s="211">
        <v>214963</v>
      </c>
      <c r="AZ26" s="211">
        <v>19282</v>
      </c>
      <c r="BA26" s="211">
        <v>10422</v>
      </c>
      <c r="BB26" s="211">
        <v>36169</v>
      </c>
      <c r="BC26" s="213">
        <v>87833</v>
      </c>
      <c r="BD26" s="213">
        <v>65591</v>
      </c>
      <c r="BE26" s="359"/>
    </row>
    <row r="27" spans="1:57">
      <c r="AQ27" s="214"/>
      <c r="AR27" s="365"/>
    </row>
    <row r="28" spans="1:57">
      <c r="AQ28" s="214"/>
      <c r="AR28" s="365"/>
      <c r="AV28" s="185"/>
    </row>
    <row r="29" spans="1:57">
      <c r="B29" s="215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  <c r="R29" s="215"/>
      <c r="S29" s="215"/>
      <c r="T29" s="415"/>
      <c r="U29" s="415"/>
      <c r="V29" s="215"/>
      <c r="W29" s="215"/>
      <c r="X29" s="366"/>
      <c r="Y29" s="366"/>
      <c r="Z29" s="366"/>
      <c r="AA29" s="366"/>
      <c r="AB29" s="366"/>
      <c r="AC29" s="366"/>
      <c r="AD29" s="366"/>
      <c r="AE29" s="366"/>
      <c r="AF29" s="366"/>
      <c r="AG29" s="215"/>
      <c r="AH29" s="366"/>
      <c r="AI29" s="215"/>
      <c r="AJ29" s="366"/>
      <c r="AK29" s="215"/>
      <c r="AL29" s="215"/>
      <c r="AM29" s="215"/>
      <c r="AN29" s="215"/>
      <c r="AO29" s="215"/>
      <c r="AP29" s="215"/>
      <c r="AQ29" s="185"/>
      <c r="AR29" s="185"/>
      <c r="AV29" s="185"/>
      <c r="AW29" s="216"/>
      <c r="AX29" s="216"/>
      <c r="AY29" s="216"/>
      <c r="AZ29" s="216"/>
      <c r="BA29" s="216"/>
      <c r="BB29" s="216"/>
      <c r="BC29" s="216"/>
      <c r="BD29" s="216"/>
      <c r="BE29" s="367"/>
    </row>
    <row r="30" spans="1:57">
      <c r="B30" s="215"/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  <c r="R30" s="215"/>
      <c r="S30" s="215"/>
      <c r="T30" s="415"/>
      <c r="U30" s="415"/>
      <c r="V30" s="215"/>
      <c r="W30" s="215"/>
      <c r="X30" s="366"/>
      <c r="Y30" s="366"/>
      <c r="Z30" s="366"/>
      <c r="AA30" s="366"/>
      <c r="AB30" s="366"/>
      <c r="AC30" s="366"/>
      <c r="AD30" s="366"/>
      <c r="AE30" s="366"/>
      <c r="AF30" s="366"/>
      <c r="AG30" s="215"/>
      <c r="AH30" s="366"/>
      <c r="AI30" s="215"/>
      <c r="AJ30" s="366"/>
      <c r="AK30" s="215"/>
      <c r="AL30" s="215"/>
      <c r="AM30" s="215"/>
      <c r="AN30" s="215"/>
      <c r="AO30" s="215"/>
      <c r="AP30" s="215"/>
      <c r="AQ30" s="185"/>
      <c r="AV30" s="185"/>
      <c r="AW30" s="216"/>
      <c r="AX30" s="216"/>
      <c r="AY30" s="216"/>
      <c r="AZ30" s="216"/>
      <c r="BA30" s="216"/>
      <c r="BB30" s="216"/>
      <c r="BC30" s="216"/>
      <c r="BD30" s="216"/>
      <c r="BE30" s="368"/>
    </row>
    <row r="31" spans="1:57">
      <c r="B31" s="215"/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  <c r="R31" s="215"/>
      <c r="S31" s="215"/>
      <c r="T31" s="415"/>
      <c r="U31" s="415"/>
      <c r="V31" s="215"/>
      <c r="W31" s="215"/>
      <c r="X31" s="366"/>
      <c r="Y31" s="366"/>
      <c r="Z31" s="366"/>
      <c r="AA31" s="366"/>
      <c r="AB31" s="366"/>
      <c r="AC31" s="366"/>
      <c r="AD31" s="366"/>
      <c r="AE31" s="366"/>
      <c r="AF31" s="366"/>
      <c r="AG31" s="215"/>
      <c r="AH31" s="366"/>
      <c r="AI31" s="215"/>
      <c r="AJ31" s="366"/>
      <c r="AK31" s="215"/>
      <c r="AL31" s="215"/>
      <c r="AM31" s="215"/>
      <c r="AN31" s="215"/>
      <c r="AO31" s="215"/>
      <c r="AP31" s="215"/>
    </row>
    <row r="32" spans="1:57">
      <c r="B32" s="215"/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5"/>
      <c r="R32" s="215"/>
      <c r="S32" s="215"/>
      <c r="T32" s="415"/>
      <c r="U32" s="415"/>
      <c r="V32" s="215"/>
      <c r="W32" s="215"/>
      <c r="X32" s="366"/>
      <c r="Y32" s="366"/>
      <c r="Z32" s="366"/>
      <c r="AA32" s="366"/>
      <c r="AB32" s="366"/>
      <c r="AC32" s="366"/>
      <c r="AD32" s="366"/>
      <c r="AE32" s="366"/>
      <c r="AF32" s="366"/>
      <c r="AG32" s="215"/>
      <c r="AH32" s="366"/>
      <c r="AI32" s="215"/>
      <c r="AJ32" s="366"/>
      <c r="AK32" s="215"/>
      <c r="AL32" s="215"/>
      <c r="AM32" s="215"/>
      <c r="AN32" s="215"/>
      <c r="AO32" s="215"/>
      <c r="AP32" s="215"/>
      <c r="AQ32" s="217"/>
      <c r="AR32" s="217"/>
      <c r="AS32" s="217"/>
      <c r="AT32" s="217"/>
      <c r="AU32" s="217"/>
      <c r="AV32" s="217"/>
      <c r="AW32" s="217"/>
      <c r="AX32" s="217"/>
      <c r="AY32" s="217"/>
      <c r="AZ32" s="217"/>
      <c r="BA32" s="217"/>
      <c r="BB32" s="217"/>
      <c r="BC32" s="217"/>
      <c r="BD32" s="217"/>
    </row>
  </sheetData>
  <mergeCells count="70">
    <mergeCell ref="E10:E11"/>
    <mergeCell ref="F10:F11"/>
    <mergeCell ref="G10:G11"/>
    <mergeCell ref="I10:I11"/>
    <mergeCell ref="Z10:Z11"/>
    <mergeCell ref="Y10:Y11"/>
    <mergeCell ref="H10:H11"/>
    <mergeCell ref="AB10:AB11"/>
    <mergeCell ref="N10:N11"/>
    <mergeCell ref="L10:L11"/>
    <mergeCell ref="J10:J11"/>
    <mergeCell ref="K10:K11"/>
    <mergeCell ref="AD10:AD11"/>
    <mergeCell ref="B7:B8"/>
    <mergeCell ref="B10:B11"/>
    <mergeCell ref="AA10:AA11"/>
    <mergeCell ref="AC10:AC11"/>
    <mergeCell ref="X10:X11"/>
    <mergeCell ref="W10:W11"/>
    <mergeCell ref="V10:V11"/>
    <mergeCell ref="T10:T11"/>
    <mergeCell ref="U10:U11"/>
    <mergeCell ref="S10:S11"/>
    <mergeCell ref="R10:R11"/>
    <mergeCell ref="Q10:Q11"/>
    <mergeCell ref="O10:O11"/>
    <mergeCell ref="P10:P11"/>
    <mergeCell ref="M10:M11"/>
    <mergeCell ref="AP10:AP11"/>
    <mergeCell ref="AN10:AN11"/>
    <mergeCell ref="AO10:AO11"/>
    <mergeCell ref="AM10:AM11"/>
    <mergeCell ref="AL10:AL11"/>
    <mergeCell ref="AK10:AK11"/>
    <mergeCell ref="AI10:AI11"/>
    <mergeCell ref="AJ10:AJ11"/>
    <mergeCell ref="AE10:AE11"/>
    <mergeCell ref="AF10:AF11"/>
    <mergeCell ref="AG10:AG11"/>
    <mergeCell ref="AH10:AH11"/>
    <mergeCell ref="AR7:AR8"/>
    <mergeCell ref="AR10:AR11"/>
    <mergeCell ref="AQ7:AQ8"/>
    <mergeCell ref="AT10:AT11"/>
    <mergeCell ref="AS7:AS8"/>
    <mergeCell ref="AS10:AS11"/>
    <mergeCell ref="AQ10:AQ11"/>
    <mergeCell ref="AY7:AY8"/>
    <mergeCell ref="AW7:AW8"/>
    <mergeCell ref="AU7:AU8"/>
    <mergeCell ref="AU10:AU11"/>
    <mergeCell ref="AW10:AW11"/>
    <mergeCell ref="AV7:AV8"/>
    <mergeCell ref="AV10:AV11"/>
    <mergeCell ref="C10:C11"/>
    <mergeCell ref="D10:D11"/>
    <mergeCell ref="AX10:AX11"/>
    <mergeCell ref="AX7:AX8"/>
    <mergeCell ref="BE10:BE11"/>
    <mergeCell ref="BD7:BD8"/>
    <mergeCell ref="BD10:BD11"/>
    <mergeCell ref="AY10:AY11"/>
    <mergeCell ref="BC7:BC8"/>
    <mergeCell ref="BC10:BC11"/>
    <mergeCell ref="BB7:BB8"/>
    <mergeCell ref="BB10:BB11"/>
    <mergeCell ref="BA7:BA8"/>
    <mergeCell ref="BA10:BA11"/>
    <mergeCell ref="AZ7:AZ8"/>
    <mergeCell ref="AZ10:AZ11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AV11:AX11 AU11 AS11:AT11 AS10 AX10" numberStoredAsText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A3200"/>
  </sheetPr>
  <dimension ref="A1:AU70"/>
  <sheetViews>
    <sheetView zoomScale="90" zoomScaleNormal="90" workbookViewId="0">
      <selection activeCell="C35" sqref="C35:C36"/>
    </sheetView>
  </sheetViews>
  <sheetFormatPr defaultColWidth="9.140625" defaultRowHeight="14.25"/>
  <cols>
    <col min="1" max="1" width="1.7109375" style="181" customWidth="1"/>
    <col min="2" max="2" width="55.28515625" style="181" customWidth="1"/>
    <col min="3" max="16" width="12.7109375" style="181" bestFit="1" customWidth="1"/>
    <col min="17" max="17" width="12.7109375" style="400" bestFit="1" customWidth="1"/>
    <col min="18" max="18" width="12.28515625" style="181" bestFit="1" customWidth="1"/>
    <col min="19" max="19" width="12.5703125" style="181" customWidth="1"/>
    <col min="20" max="25" width="12.140625" style="181" customWidth="1"/>
    <col min="26" max="27" width="12.28515625" style="181" bestFit="1" customWidth="1"/>
    <col min="28" max="28" width="11.7109375" style="181" customWidth="1"/>
    <col min="29" max="29" width="12.7109375" style="181" bestFit="1" customWidth="1"/>
    <col min="30" max="32" width="11.7109375" style="181" customWidth="1"/>
    <col min="33" max="33" width="14.28515625" style="181" customWidth="1"/>
    <col min="34" max="34" width="13.28515625" style="181" customWidth="1"/>
    <col min="35" max="35" width="12.140625" style="181" customWidth="1"/>
    <col min="36" max="36" width="12.28515625" style="183" bestFit="1" customWidth="1"/>
    <col min="37" max="37" width="12.7109375" style="183" bestFit="1" customWidth="1"/>
    <col min="38" max="40" width="12.28515625" style="183" bestFit="1" customWidth="1"/>
    <col min="41" max="41" width="12.7109375" style="183" bestFit="1" customWidth="1"/>
    <col min="42" max="44" width="12" style="183" bestFit="1" customWidth="1"/>
    <col min="45" max="47" width="12.7109375" style="183" bestFit="1" customWidth="1"/>
    <col min="48" max="16384" width="9.140625" style="184"/>
  </cols>
  <sheetData>
    <row r="1" spans="1:47" ht="9" customHeight="1"/>
    <row r="2" spans="1:47" ht="15.75" customHeight="1"/>
    <row r="3" spans="1:47" ht="15.75" customHeight="1"/>
    <row r="4" spans="1:47" ht="15.75" customHeight="1"/>
    <row r="5" spans="1:47" ht="15.75" customHeight="1"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414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</row>
    <row r="6" spans="1:47" ht="9" customHeight="1"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414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</row>
    <row r="7" spans="1:47" ht="20.25">
      <c r="B7" s="434" t="s">
        <v>377</v>
      </c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402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232"/>
      <c r="AK7" s="232"/>
      <c r="AL7" s="232"/>
      <c r="AM7" s="232"/>
      <c r="AN7" s="232"/>
      <c r="AO7" s="232"/>
      <c r="AP7" s="232"/>
      <c r="AQ7" s="232"/>
      <c r="AR7" s="232"/>
      <c r="AS7" s="232"/>
      <c r="AT7" s="232"/>
      <c r="AU7" s="232"/>
    </row>
    <row r="8" spans="1:47" ht="20.25">
      <c r="B8" s="434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402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232"/>
      <c r="AK8" s="232"/>
      <c r="AL8" s="232"/>
      <c r="AM8" s="232"/>
      <c r="AN8" s="232"/>
      <c r="AO8" s="232"/>
      <c r="AP8" s="232"/>
      <c r="AQ8" s="232"/>
      <c r="AR8" s="232"/>
      <c r="AS8" s="232"/>
      <c r="AT8" s="232"/>
      <c r="AU8" s="232"/>
    </row>
    <row r="9" spans="1:47" ht="9" customHeight="1">
      <c r="B9" s="188"/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414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</row>
    <row r="10" spans="1:47" ht="15" customHeight="1">
      <c r="A10" s="191"/>
      <c r="B10" s="447" t="s">
        <v>371</v>
      </c>
      <c r="C10" s="443" t="s">
        <v>460</v>
      </c>
      <c r="D10" s="443" t="s">
        <v>455</v>
      </c>
      <c r="E10" s="445" t="s">
        <v>452</v>
      </c>
      <c r="F10" s="443" t="s">
        <v>447</v>
      </c>
      <c r="G10" s="443" t="s">
        <v>444</v>
      </c>
      <c r="H10" s="443" t="s">
        <v>440</v>
      </c>
      <c r="I10" s="445" t="s">
        <v>434</v>
      </c>
      <c r="J10" s="443" t="s">
        <v>430</v>
      </c>
      <c r="K10" s="443" t="s">
        <v>427</v>
      </c>
      <c r="L10" s="443" t="s">
        <v>417</v>
      </c>
      <c r="M10" s="446" t="s">
        <v>407</v>
      </c>
      <c r="N10" s="443" t="s">
        <v>401</v>
      </c>
      <c r="O10" s="443" t="s">
        <v>398</v>
      </c>
      <c r="P10" s="443" t="s">
        <v>392</v>
      </c>
      <c r="Q10" s="446" t="s">
        <v>388</v>
      </c>
      <c r="R10" s="443" t="s">
        <v>391</v>
      </c>
      <c r="S10" s="443" t="s">
        <v>364</v>
      </c>
      <c r="T10" s="443" t="s">
        <v>360</v>
      </c>
      <c r="U10" s="446" t="s">
        <v>355</v>
      </c>
      <c r="V10" s="444">
        <v>44469</v>
      </c>
      <c r="W10" s="443" t="s">
        <v>344</v>
      </c>
      <c r="X10" s="443" t="s">
        <v>341</v>
      </c>
      <c r="Y10" s="446">
        <v>44196</v>
      </c>
      <c r="Z10" s="444">
        <v>44104</v>
      </c>
      <c r="AA10" s="443" t="s">
        <v>329</v>
      </c>
      <c r="AB10" s="443" t="s">
        <v>330</v>
      </c>
      <c r="AC10" s="446">
        <v>43830</v>
      </c>
      <c r="AD10" s="444">
        <v>43738</v>
      </c>
      <c r="AE10" s="444">
        <v>43646</v>
      </c>
      <c r="AF10" s="444">
        <v>43555</v>
      </c>
      <c r="AG10" s="446">
        <v>43465</v>
      </c>
      <c r="AH10" s="444">
        <v>43373</v>
      </c>
      <c r="AI10" s="444">
        <v>43281</v>
      </c>
      <c r="AJ10" s="444">
        <v>43190</v>
      </c>
      <c r="AK10" s="446">
        <v>43100</v>
      </c>
      <c r="AL10" s="444">
        <v>43008</v>
      </c>
      <c r="AM10" s="444">
        <v>42916</v>
      </c>
      <c r="AN10" s="444">
        <v>42825</v>
      </c>
      <c r="AO10" s="446">
        <v>42735</v>
      </c>
      <c r="AP10" s="444">
        <v>42643</v>
      </c>
      <c r="AQ10" s="444">
        <v>42551</v>
      </c>
      <c r="AR10" s="444">
        <v>42460</v>
      </c>
      <c r="AS10" s="446">
        <v>42369</v>
      </c>
      <c r="AT10" s="446">
        <v>42004</v>
      </c>
      <c r="AU10" s="446">
        <v>41639</v>
      </c>
    </row>
    <row r="11" spans="1:47" ht="15" customHeight="1">
      <c r="A11" s="191"/>
      <c r="B11" s="447"/>
      <c r="C11" s="443"/>
      <c r="D11" s="443"/>
      <c r="E11" s="445"/>
      <c r="F11" s="443"/>
      <c r="G11" s="443"/>
      <c r="H11" s="443"/>
      <c r="I11" s="445"/>
      <c r="J11" s="443"/>
      <c r="K11" s="443"/>
      <c r="L11" s="443"/>
      <c r="M11" s="446"/>
      <c r="N11" s="443"/>
      <c r="O11" s="443"/>
      <c r="P11" s="443"/>
      <c r="Q11" s="446"/>
      <c r="R11" s="443"/>
      <c r="S11" s="443"/>
      <c r="T11" s="443"/>
      <c r="U11" s="446"/>
      <c r="V11" s="444"/>
      <c r="W11" s="443"/>
      <c r="X11" s="443"/>
      <c r="Y11" s="446"/>
      <c r="Z11" s="444"/>
      <c r="AA11" s="443"/>
      <c r="AB11" s="443"/>
      <c r="AC11" s="446"/>
      <c r="AD11" s="444"/>
      <c r="AE11" s="444"/>
      <c r="AF11" s="444"/>
      <c r="AG11" s="446"/>
      <c r="AH11" s="444"/>
      <c r="AI11" s="444"/>
      <c r="AJ11" s="444"/>
      <c r="AK11" s="446"/>
      <c r="AL11" s="444"/>
      <c r="AM11" s="444"/>
      <c r="AN11" s="444"/>
      <c r="AO11" s="446"/>
      <c r="AP11" s="444"/>
      <c r="AQ11" s="444"/>
      <c r="AR11" s="444"/>
      <c r="AS11" s="446"/>
      <c r="AT11" s="446"/>
      <c r="AU11" s="446"/>
    </row>
    <row r="12" spans="1:47" ht="15">
      <c r="A12" s="196"/>
      <c r="B12" s="218" t="s">
        <v>196</v>
      </c>
      <c r="C12" s="211">
        <f t="shared" ref="C12" si="0">C13+C21</f>
        <v>8065467</v>
      </c>
      <c r="D12" s="211">
        <f t="shared" ref="D12" si="1">D13+D21</f>
        <v>7857823</v>
      </c>
      <c r="E12" s="213">
        <f t="shared" ref="E12" si="2">E13+E21</f>
        <v>7710739</v>
      </c>
      <c r="F12" s="211">
        <f t="shared" ref="F12" si="3">F13+F21</f>
        <v>7499859</v>
      </c>
      <c r="G12" s="211">
        <f t="shared" ref="G12" si="4">G13+G21</f>
        <v>7307707</v>
      </c>
      <c r="H12" s="211">
        <f t="shared" ref="H12" si="5">H13+H21</f>
        <v>7005576</v>
      </c>
      <c r="I12" s="213">
        <f t="shared" ref="I12" si="6">I13+I21</f>
        <v>6786939</v>
      </c>
      <c r="J12" s="211">
        <f t="shared" ref="J12" si="7">J13+J21</f>
        <v>7203523</v>
      </c>
      <c r="K12" s="211">
        <f t="shared" ref="K12" si="8">K13+K21</f>
        <v>6742376</v>
      </c>
      <c r="L12" s="211">
        <f t="shared" ref="L12" si="9">L13+L21</f>
        <v>6775923</v>
      </c>
      <c r="M12" s="213">
        <f t="shared" ref="M12" si="10">M13+M21</f>
        <v>6122655</v>
      </c>
      <c r="N12" s="211">
        <f t="shared" ref="N12" si="11">N13+N21</f>
        <v>5778646</v>
      </c>
      <c r="O12" s="211">
        <f t="shared" ref="O12" si="12">O13+O21</f>
        <v>5507669</v>
      </c>
      <c r="P12" s="211">
        <f t="shared" ref="P12" si="13">P13+P21</f>
        <v>5661867</v>
      </c>
      <c r="Q12" s="213">
        <f t="shared" ref="Q12" si="14">Q13+Q21</f>
        <v>5560600</v>
      </c>
      <c r="R12" s="211">
        <f t="shared" ref="R12" si="15">R13+R21</f>
        <v>5323961</v>
      </c>
      <c r="S12" s="211">
        <f t="shared" ref="S12" si="16">S13+S21</f>
        <v>5586281</v>
      </c>
      <c r="T12" s="211">
        <f t="shared" ref="T12" si="17">T13+T21</f>
        <v>5206322</v>
      </c>
      <c r="U12" s="213">
        <v>4979306</v>
      </c>
      <c r="V12" s="211">
        <f t="shared" ref="V12:W12" si="18">V13+V21</f>
        <v>4188065</v>
      </c>
      <c r="W12" s="211">
        <f t="shared" si="18"/>
        <v>3350499</v>
      </c>
      <c r="X12" s="211">
        <f>X13+X21</f>
        <v>3178695</v>
      </c>
      <c r="Y12" s="213">
        <f>Y13+Y21</f>
        <v>3003793</v>
      </c>
      <c r="Z12" s="211">
        <f>Z13+Z21</f>
        <v>2818668</v>
      </c>
      <c r="AA12" s="211">
        <f>AA13+AA21</f>
        <v>2696616</v>
      </c>
      <c r="AB12" s="211">
        <f>AB13+AB21</f>
        <v>2565468</v>
      </c>
      <c r="AC12" s="213">
        <f t="shared" ref="AC12" si="19">AC13+AC21</f>
        <v>2628874</v>
      </c>
      <c r="AD12" s="211">
        <f t="shared" ref="AD12" si="20">AD13+AD21</f>
        <v>2481618</v>
      </c>
      <c r="AE12" s="211">
        <f t="shared" ref="AE12:AI12" si="21">AE13+AE21</f>
        <v>2608239</v>
      </c>
      <c r="AF12" s="211">
        <f t="shared" si="21"/>
        <v>2745864</v>
      </c>
      <c r="AG12" s="213">
        <f t="shared" si="21"/>
        <v>2751422</v>
      </c>
      <c r="AH12" s="211">
        <f t="shared" si="21"/>
        <v>2703128</v>
      </c>
      <c r="AI12" s="211">
        <f t="shared" si="21"/>
        <v>2667636</v>
      </c>
      <c r="AJ12" s="211">
        <v>2851709</v>
      </c>
      <c r="AK12" s="213">
        <v>2206223</v>
      </c>
      <c r="AL12" s="211">
        <v>2284935</v>
      </c>
      <c r="AM12" s="211">
        <v>2357539</v>
      </c>
      <c r="AN12" s="211">
        <v>2266807</v>
      </c>
      <c r="AO12" s="213">
        <v>2164121</v>
      </c>
      <c r="AP12" s="211">
        <v>1706181</v>
      </c>
      <c r="AQ12" s="211">
        <v>1712986</v>
      </c>
      <c r="AR12" s="211">
        <v>1745074</v>
      </c>
      <c r="AS12" s="213">
        <v>1665054</v>
      </c>
      <c r="AT12" s="213">
        <v>1625571</v>
      </c>
      <c r="AU12" s="213">
        <v>1650189</v>
      </c>
    </row>
    <row r="13" spans="1:47" ht="15.75" thickBot="1">
      <c r="A13" s="196"/>
      <c r="B13" s="219" t="s">
        <v>197</v>
      </c>
      <c r="C13" s="198">
        <f t="shared" ref="C13" si="22">SUM(C14:C20)</f>
        <v>1376075</v>
      </c>
      <c r="D13" s="198">
        <f t="shared" ref="D13" si="23">SUM(D14:D20)</f>
        <v>1276026</v>
      </c>
      <c r="E13" s="200">
        <f t="shared" ref="E13" si="24">SUM(E14:E20)</f>
        <v>1291728</v>
      </c>
      <c r="F13" s="198">
        <f t="shared" ref="F13" si="25">SUM(F14:F20)</f>
        <v>1230458</v>
      </c>
      <c r="G13" s="198">
        <f t="shared" ref="G13" si="26">SUM(G14:G20)</f>
        <v>1195998</v>
      </c>
      <c r="H13" s="198">
        <f t="shared" ref="H13" si="27">SUM(H14:H20)</f>
        <v>1035765</v>
      </c>
      <c r="I13" s="200">
        <f t="shared" ref="I13" si="28">SUM(I14:I20)</f>
        <v>1174147</v>
      </c>
      <c r="J13" s="198">
        <f t="shared" ref="J13" si="29">SUM(J14:J20)</f>
        <v>1982085</v>
      </c>
      <c r="K13" s="198">
        <f t="shared" ref="K13" si="30">SUM(K14:K20)</f>
        <v>1721331</v>
      </c>
      <c r="L13" s="198">
        <f t="shared" ref="L13" si="31">SUM(L14:L20)</f>
        <v>1939664</v>
      </c>
      <c r="M13" s="200">
        <f t="shared" ref="M13" si="32">SUM(M14:M20)</f>
        <v>1483130</v>
      </c>
      <c r="N13" s="198">
        <f t="shared" ref="N13" si="33">SUM(N14:N20)</f>
        <v>872357</v>
      </c>
      <c r="O13" s="198">
        <f t="shared" ref="O13" si="34">SUM(O14:O20)</f>
        <v>754258</v>
      </c>
      <c r="P13" s="198">
        <f t="shared" ref="P13" si="35">SUM(P14:P20)</f>
        <v>992432</v>
      </c>
      <c r="Q13" s="200">
        <f t="shared" ref="Q13" si="36">SUM(Q14:Q20)</f>
        <v>978638</v>
      </c>
      <c r="R13" s="198">
        <f t="shared" ref="R13" si="37">SUM(R14:R20)</f>
        <v>686211</v>
      </c>
      <c r="S13" s="198">
        <f t="shared" ref="S13" si="38">SUM(S14:S20)</f>
        <v>1060951</v>
      </c>
      <c r="T13" s="198">
        <f t="shared" ref="T13" si="39">SUM(T14:T20)</f>
        <v>1105626</v>
      </c>
      <c r="U13" s="200">
        <v>929758</v>
      </c>
      <c r="V13" s="198">
        <f t="shared" ref="V13:W13" si="40">SUM(V14:V20)</f>
        <v>534350</v>
      </c>
      <c r="W13" s="198">
        <f t="shared" si="40"/>
        <v>504713</v>
      </c>
      <c r="X13" s="198">
        <f t="shared" ref="X13" si="41">SUM(X14:X20)</f>
        <v>448764</v>
      </c>
      <c r="Y13" s="200">
        <f t="shared" ref="Y13" si="42">SUM(Y14:Y20)</f>
        <v>584633</v>
      </c>
      <c r="Z13" s="198">
        <f t="shared" ref="Z13" si="43">SUM(Z14:Z20)</f>
        <v>662090</v>
      </c>
      <c r="AA13" s="198">
        <f t="shared" ref="AA13" si="44">SUM(AA14:AA20)</f>
        <v>711135</v>
      </c>
      <c r="AB13" s="198">
        <f t="shared" ref="AB13" si="45">SUM(AB14:AB20)</f>
        <v>581649</v>
      </c>
      <c r="AC13" s="200">
        <f t="shared" ref="AC13" si="46">SUM(AC14:AC20)</f>
        <v>610877</v>
      </c>
      <c r="AD13" s="198">
        <f t="shared" ref="AD13" si="47">SUM(AD14:AD20)</f>
        <v>654490</v>
      </c>
      <c r="AE13" s="198">
        <f t="shared" ref="AE13:AI13" si="48">SUM(AE14:AE20)</f>
        <v>732074</v>
      </c>
      <c r="AF13" s="198">
        <f t="shared" si="48"/>
        <v>841739</v>
      </c>
      <c r="AG13" s="200">
        <f t="shared" si="48"/>
        <v>824241</v>
      </c>
      <c r="AH13" s="198">
        <f t="shared" si="48"/>
        <v>929837</v>
      </c>
      <c r="AI13" s="198">
        <f t="shared" si="48"/>
        <v>905583</v>
      </c>
      <c r="AJ13" s="198">
        <v>1019144</v>
      </c>
      <c r="AK13" s="200">
        <v>390326</v>
      </c>
      <c r="AL13" s="198">
        <v>422579</v>
      </c>
      <c r="AM13" s="198">
        <v>513393</v>
      </c>
      <c r="AN13" s="198">
        <v>427793</v>
      </c>
      <c r="AO13" s="200">
        <v>423603</v>
      </c>
      <c r="AP13" s="198">
        <v>434328</v>
      </c>
      <c r="AQ13" s="198">
        <v>433923</v>
      </c>
      <c r="AR13" s="198">
        <v>432549</v>
      </c>
      <c r="AS13" s="200">
        <v>362629</v>
      </c>
      <c r="AT13" s="200">
        <v>294485</v>
      </c>
      <c r="AU13" s="200">
        <v>269284</v>
      </c>
    </row>
    <row r="14" spans="1:47" ht="15" thickTop="1">
      <c r="B14" s="220" t="s">
        <v>198</v>
      </c>
      <c r="C14" s="193">
        <v>465204</v>
      </c>
      <c r="D14" s="193">
        <v>584396</v>
      </c>
      <c r="E14" s="195">
        <v>478456</v>
      </c>
      <c r="F14" s="193">
        <v>629624</v>
      </c>
      <c r="G14" s="193">
        <v>622105</v>
      </c>
      <c r="H14" s="193">
        <v>331051</v>
      </c>
      <c r="I14" s="195">
        <v>486894</v>
      </c>
      <c r="J14" s="193">
        <v>800562</v>
      </c>
      <c r="K14" s="193">
        <v>989257</v>
      </c>
      <c r="L14" s="193">
        <v>1292247</v>
      </c>
      <c r="M14" s="195">
        <v>779328</v>
      </c>
      <c r="N14" s="193">
        <v>348953</v>
      </c>
      <c r="O14" s="193">
        <v>292400</v>
      </c>
      <c r="P14" s="193">
        <v>497690</v>
      </c>
      <c r="Q14" s="195">
        <v>62709</v>
      </c>
      <c r="R14" s="193">
        <v>87840</v>
      </c>
      <c r="S14" s="193">
        <v>219529</v>
      </c>
      <c r="T14" s="193">
        <v>166461</v>
      </c>
      <c r="U14" s="195">
        <v>156135</v>
      </c>
      <c r="V14" s="193">
        <v>70700</v>
      </c>
      <c r="W14" s="193">
        <v>105585</v>
      </c>
      <c r="X14" s="193">
        <v>181595</v>
      </c>
      <c r="Y14" s="195">
        <v>371734</v>
      </c>
      <c r="Z14" s="193">
        <v>404528</v>
      </c>
      <c r="AA14" s="193">
        <v>472581</v>
      </c>
      <c r="AB14" s="193">
        <v>333894</v>
      </c>
      <c r="AC14" s="195">
        <v>286994</v>
      </c>
      <c r="AD14" s="193">
        <v>158655</v>
      </c>
      <c r="AE14" s="193">
        <v>231026</v>
      </c>
      <c r="AF14" s="193">
        <v>225673</v>
      </c>
      <c r="AG14" s="195">
        <v>162779</v>
      </c>
      <c r="AH14" s="193">
        <v>236864</v>
      </c>
      <c r="AI14" s="193">
        <v>89419</v>
      </c>
      <c r="AJ14" s="193">
        <v>199807</v>
      </c>
      <c r="AK14" s="195">
        <v>49474</v>
      </c>
      <c r="AL14" s="193">
        <v>41105</v>
      </c>
      <c r="AM14" s="193">
        <v>249869</v>
      </c>
      <c r="AN14" s="193">
        <v>106938</v>
      </c>
      <c r="AO14" s="195">
        <v>197832</v>
      </c>
      <c r="AP14" s="193">
        <v>63655</v>
      </c>
      <c r="AQ14" s="193">
        <v>73095</v>
      </c>
      <c r="AR14" s="193">
        <v>146228</v>
      </c>
      <c r="AS14" s="195">
        <v>126949</v>
      </c>
      <c r="AT14" s="195">
        <v>37755</v>
      </c>
      <c r="AU14" s="195">
        <v>49943</v>
      </c>
    </row>
    <row r="15" spans="1:47">
      <c r="B15" s="221" t="s">
        <v>199</v>
      </c>
      <c r="C15" s="193">
        <v>515654</v>
      </c>
      <c r="D15" s="193">
        <v>342951</v>
      </c>
      <c r="E15" s="195">
        <v>413949</v>
      </c>
      <c r="F15" s="193">
        <v>254086</v>
      </c>
      <c r="G15" s="193">
        <v>194043</v>
      </c>
      <c r="H15" s="193">
        <v>299640</v>
      </c>
      <c r="I15" s="195">
        <v>353435</v>
      </c>
      <c r="J15" s="193">
        <v>811658</v>
      </c>
      <c r="K15" s="193">
        <v>365316</v>
      </c>
      <c r="L15" s="193">
        <v>304955</v>
      </c>
      <c r="M15" s="195">
        <v>334142</v>
      </c>
      <c r="N15" s="193">
        <v>196072</v>
      </c>
      <c r="O15" s="193">
        <v>144149</v>
      </c>
      <c r="P15" s="193">
        <v>151724</v>
      </c>
      <c r="Q15" s="195">
        <v>569306</v>
      </c>
      <c r="R15" s="193">
        <v>196553</v>
      </c>
      <c r="S15" s="193">
        <v>449412</v>
      </c>
      <c r="T15" s="193">
        <v>503201</v>
      </c>
      <c r="U15" s="195">
        <v>402732</v>
      </c>
      <c r="V15" s="193">
        <v>170012</v>
      </c>
      <c r="W15" s="193">
        <v>92253</v>
      </c>
      <c r="X15" s="193">
        <v>76584</v>
      </c>
      <c r="Y15" s="195">
        <v>52646</v>
      </c>
      <c r="Z15" s="193">
        <v>36752</v>
      </c>
      <c r="AA15" s="193">
        <v>14787</v>
      </c>
      <c r="AB15" s="193">
        <v>38576</v>
      </c>
      <c r="AC15" s="195">
        <v>129581</v>
      </c>
      <c r="AD15" s="193">
        <v>294428</v>
      </c>
      <c r="AE15" s="193">
        <v>249996</v>
      </c>
      <c r="AF15" s="193">
        <v>408424</v>
      </c>
      <c r="AG15" s="195">
        <v>485622</v>
      </c>
      <c r="AH15" s="193">
        <v>489485</v>
      </c>
      <c r="AI15" s="193">
        <v>599795</v>
      </c>
      <c r="AJ15" s="193">
        <v>634470</v>
      </c>
      <c r="AK15" s="195">
        <v>181454</v>
      </c>
      <c r="AL15" s="193">
        <v>221704</v>
      </c>
      <c r="AM15" s="193">
        <v>110796</v>
      </c>
      <c r="AN15" s="193">
        <v>165455</v>
      </c>
      <c r="AO15" s="195">
        <v>89261</v>
      </c>
      <c r="AP15" s="193">
        <v>221513</v>
      </c>
      <c r="AQ15" s="193">
        <v>219342</v>
      </c>
      <c r="AR15" s="193">
        <v>142929</v>
      </c>
      <c r="AS15" s="195">
        <v>95492</v>
      </c>
      <c r="AT15" s="195">
        <v>128444</v>
      </c>
      <c r="AU15" s="195">
        <v>72449</v>
      </c>
    </row>
    <row r="16" spans="1:47">
      <c r="B16" s="221" t="s">
        <v>200</v>
      </c>
      <c r="C16" s="193">
        <v>231725</v>
      </c>
      <c r="D16" s="193">
        <v>156361</v>
      </c>
      <c r="E16" s="195">
        <f>168686+33824</f>
        <v>202510</v>
      </c>
      <c r="F16" s="193">
        <v>180713</v>
      </c>
      <c r="G16" s="193">
        <v>208723</v>
      </c>
      <c r="H16" s="193">
        <v>219243</v>
      </c>
      <c r="I16" s="195">
        <v>219963</v>
      </c>
      <c r="J16" s="193">
        <v>193419</v>
      </c>
      <c r="K16" s="193">
        <v>201653</v>
      </c>
      <c r="L16" s="193">
        <v>172560</v>
      </c>
      <c r="M16" s="195">
        <v>257838</v>
      </c>
      <c r="N16" s="193">
        <v>183476</v>
      </c>
      <c r="O16" s="193">
        <v>206518</v>
      </c>
      <c r="P16" s="193">
        <v>226204</v>
      </c>
      <c r="Q16" s="195">
        <v>235191</v>
      </c>
      <c r="R16" s="193">
        <v>241207</v>
      </c>
      <c r="S16" s="193">
        <v>197369</v>
      </c>
      <c r="T16" s="193">
        <v>235438</v>
      </c>
      <c r="U16" s="195">
        <v>220848</v>
      </c>
      <c r="V16" s="193">
        <v>155853</v>
      </c>
      <c r="W16" s="193">
        <v>133986</v>
      </c>
      <c r="X16" s="193">
        <v>112583</v>
      </c>
      <c r="Y16" s="195">
        <v>105132</v>
      </c>
      <c r="Z16" s="193">
        <v>127445</v>
      </c>
      <c r="AA16" s="193">
        <v>121462</v>
      </c>
      <c r="AB16" s="193">
        <v>139533</v>
      </c>
      <c r="AC16" s="195">
        <v>130696</v>
      </c>
      <c r="AD16" s="193">
        <v>116153</v>
      </c>
      <c r="AE16" s="193">
        <v>168945</v>
      </c>
      <c r="AF16" s="193">
        <v>128994</v>
      </c>
      <c r="AG16" s="195">
        <v>105269</v>
      </c>
      <c r="AH16" s="193">
        <v>122663</v>
      </c>
      <c r="AI16" s="193">
        <v>137636</v>
      </c>
      <c r="AJ16" s="193">
        <v>127493</v>
      </c>
      <c r="AK16" s="195">
        <v>102960</v>
      </c>
      <c r="AL16" s="193">
        <v>110903</v>
      </c>
      <c r="AM16" s="193">
        <v>102891</v>
      </c>
      <c r="AN16" s="193">
        <v>109611</v>
      </c>
      <c r="AO16" s="195">
        <v>88688</v>
      </c>
      <c r="AP16" s="193">
        <v>94136</v>
      </c>
      <c r="AQ16" s="193">
        <v>94517</v>
      </c>
      <c r="AR16" s="193">
        <v>96328</v>
      </c>
      <c r="AS16" s="195">
        <v>91754</v>
      </c>
      <c r="AT16" s="195">
        <v>77614</v>
      </c>
      <c r="AU16" s="195">
        <v>78732</v>
      </c>
    </row>
    <row r="17" spans="1:47">
      <c r="B17" s="220" t="s">
        <v>201</v>
      </c>
      <c r="C17" s="193">
        <v>52173</v>
      </c>
      <c r="D17" s="193">
        <v>65680</v>
      </c>
      <c r="E17" s="195">
        <v>60380</v>
      </c>
      <c r="F17" s="193">
        <v>38182</v>
      </c>
      <c r="G17" s="193">
        <v>48510</v>
      </c>
      <c r="H17" s="193">
        <v>56411</v>
      </c>
      <c r="I17" s="195">
        <v>15759</v>
      </c>
      <c r="J17" s="193">
        <v>28059</v>
      </c>
      <c r="K17" s="193">
        <v>26283</v>
      </c>
      <c r="L17" s="193">
        <v>51336</v>
      </c>
      <c r="M17" s="195">
        <v>22818</v>
      </c>
      <c r="N17" s="193">
        <v>36754</v>
      </c>
      <c r="O17" s="193">
        <v>14808</v>
      </c>
      <c r="P17" s="193">
        <v>23422</v>
      </c>
      <c r="Q17" s="195">
        <v>38054</v>
      </c>
      <c r="R17" s="193">
        <v>84771</v>
      </c>
      <c r="S17" s="193">
        <v>97648</v>
      </c>
      <c r="T17" s="193">
        <v>106589</v>
      </c>
      <c r="U17" s="195">
        <v>55676</v>
      </c>
      <c r="V17" s="193">
        <v>85201</v>
      </c>
      <c r="W17" s="193">
        <v>98814</v>
      </c>
      <c r="X17" s="193">
        <v>7357</v>
      </c>
      <c r="Y17" s="195">
        <v>8938</v>
      </c>
      <c r="Z17" s="193">
        <v>11596</v>
      </c>
      <c r="AA17" s="193">
        <v>12384</v>
      </c>
      <c r="AB17" s="193">
        <v>11463</v>
      </c>
      <c r="AC17" s="195">
        <v>19005</v>
      </c>
      <c r="AD17" s="193">
        <v>16037</v>
      </c>
      <c r="AE17" s="193">
        <v>15203</v>
      </c>
      <c r="AF17" s="193">
        <v>12270</v>
      </c>
      <c r="AG17" s="195">
        <v>14031</v>
      </c>
      <c r="AH17" s="193">
        <v>23672</v>
      </c>
      <c r="AI17" s="193">
        <v>26402</v>
      </c>
      <c r="AJ17" s="193">
        <v>23997</v>
      </c>
      <c r="AK17" s="195">
        <v>23371</v>
      </c>
      <c r="AL17" s="193">
        <v>12807</v>
      </c>
      <c r="AM17" s="193">
        <v>11665</v>
      </c>
      <c r="AN17" s="193">
        <v>9963</v>
      </c>
      <c r="AO17" s="195">
        <v>15481</v>
      </c>
      <c r="AP17" s="193">
        <v>14944</v>
      </c>
      <c r="AQ17" s="193">
        <v>14400</v>
      </c>
      <c r="AR17" s="193">
        <v>11906</v>
      </c>
      <c r="AS17" s="195">
        <v>19310</v>
      </c>
      <c r="AT17" s="195">
        <v>14158</v>
      </c>
      <c r="AU17" s="195">
        <v>36461</v>
      </c>
    </row>
    <row r="18" spans="1:47">
      <c r="B18" s="221" t="s">
        <v>202</v>
      </c>
      <c r="C18" s="193">
        <v>72472</v>
      </c>
      <c r="D18" s="193">
        <v>73172</v>
      </c>
      <c r="E18" s="195">
        <v>83249</v>
      </c>
      <c r="F18" s="193">
        <v>60813</v>
      </c>
      <c r="G18" s="193">
        <v>61403</v>
      </c>
      <c r="H18" s="193">
        <v>66112</v>
      </c>
      <c r="I18" s="195">
        <v>57499</v>
      </c>
      <c r="J18" s="193">
        <v>72344</v>
      </c>
      <c r="K18" s="193">
        <v>62498</v>
      </c>
      <c r="L18" s="193">
        <v>66469</v>
      </c>
      <c r="M18" s="195">
        <v>61156</v>
      </c>
      <c r="N18" s="193">
        <v>72319</v>
      </c>
      <c r="O18" s="193">
        <v>59260</v>
      </c>
      <c r="P18" s="193">
        <v>71151</v>
      </c>
      <c r="Q18" s="195">
        <v>59348</v>
      </c>
      <c r="R18" s="193">
        <v>61637</v>
      </c>
      <c r="S18" s="193">
        <v>76764</v>
      </c>
      <c r="T18" s="193">
        <v>70055</v>
      </c>
      <c r="U18" s="195">
        <v>79609</v>
      </c>
      <c r="V18" s="193">
        <v>39599</v>
      </c>
      <c r="W18" s="193">
        <v>57669</v>
      </c>
      <c r="X18" s="193">
        <v>54975</v>
      </c>
      <c r="Y18" s="195">
        <v>39446</v>
      </c>
      <c r="Z18" s="193">
        <v>48639</v>
      </c>
      <c r="AA18" s="193">
        <v>60458</v>
      </c>
      <c r="AB18" s="193">
        <v>30099</v>
      </c>
      <c r="AC18" s="195">
        <v>37935</v>
      </c>
      <c r="AD18" s="193">
        <v>48896</v>
      </c>
      <c r="AE18" s="193">
        <v>46688</v>
      </c>
      <c r="AF18" s="193">
        <v>39445</v>
      </c>
      <c r="AG18" s="195">
        <v>36999</v>
      </c>
      <c r="AH18" s="193">
        <v>39893</v>
      </c>
      <c r="AI18" s="193">
        <v>37871</v>
      </c>
      <c r="AJ18" s="193">
        <v>24036</v>
      </c>
      <c r="AK18" s="195">
        <v>31375</v>
      </c>
      <c r="AL18" s="193">
        <v>32721</v>
      </c>
      <c r="AM18" s="193">
        <v>33174</v>
      </c>
      <c r="AN18" s="193">
        <v>30760</v>
      </c>
      <c r="AO18" s="195">
        <v>30184</v>
      </c>
      <c r="AP18" s="193">
        <v>35720</v>
      </c>
      <c r="AQ18" s="193">
        <v>28075</v>
      </c>
      <c r="AR18" s="193">
        <v>29638</v>
      </c>
      <c r="AS18" s="195">
        <v>26644</v>
      </c>
      <c r="AT18" s="195">
        <v>27405</v>
      </c>
      <c r="AU18" s="195">
        <v>21703</v>
      </c>
    </row>
    <row r="19" spans="1:47">
      <c r="B19" s="221" t="s">
        <v>203</v>
      </c>
      <c r="C19" s="193">
        <v>9982</v>
      </c>
      <c r="D19" s="193">
        <v>13436</v>
      </c>
      <c r="E19" s="195">
        <v>14371</v>
      </c>
      <c r="F19" s="193">
        <v>22409</v>
      </c>
      <c r="G19" s="193">
        <v>22349</v>
      </c>
      <c r="H19" s="193">
        <v>48256</v>
      </c>
      <c r="I19" s="195">
        <v>27390</v>
      </c>
      <c r="J19" s="193">
        <v>33522</v>
      </c>
      <c r="K19" s="193">
        <v>36681</v>
      </c>
      <c r="L19" s="193">
        <v>16017</v>
      </c>
      <c r="M19" s="195">
        <v>2245</v>
      </c>
      <c r="N19" s="193">
        <v>4654</v>
      </c>
      <c r="O19" s="193">
        <v>7868</v>
      </c>
      <c r="P19" s="193">
        <v>9737</v>
      </c>
      <c r="Q19" s="195">
        <v>512</v>
      </c>
      <c r="R19" s="193">
        <v>3826</v>
      </c>
      <c r="S19" s="193">
        <v>7610</v>
      </c>
      <c r="T19" s="193">
        <v>9585</v>
      </c>
      <c r="U19" s="195">
        <v>1192</v>
      </c>
      <c r="V19" s="193">
        <v>4319</v>
      </c>
      <c r="W19" s="193">
        <v>6544</v>
      </c>
      <c r="X19" s="193">
        <v>8466</v>
      </c>
      <c r="Y19" s="195">
        <v>875</v>
      </c>
      <c r="Z19" s="193">
        <v>3146</v>
      </c>
      <c r="AA19" s="193">
        <v>4654</v>
      </c>
      <c r="AB19" s="193">
        <v>6464</v>
      </c>
      <c r="AC19" s="195">
        <v>1067</v>
      </c>
      <c r="AD19" s="193">
        <v>3879</v>
      </c>
      <c r="AE19" s="193">
        <v>4549</v>
      </c>
      <c r="AF19" s="193">
        <v>5408</v>
      </c>
      <c r="AG19" s="195">
        <v>763</v>
      </c>
      <c r="AH19" s="193">
        <v>2039</v>
      </c>
      <c r="AI19" s="193">
        <v>3985</v>
      </c>
      <c r="AJ19" s="193">
        <v>3754</v>
      </c>
      <c r="AK19" s="195">
        <v>627</v>
      </c>
      <c r="AL19" s="193">
        <v>1641</v>
      </c>
      <c r="AM19" s="193">
        <v>3038</v>
      </c>
      <c r="AN19" s="193">
        <v>3970</v>
      </c>
      <c r="AO19" s="195">
        <v>1437</v>
      </c>
      <c r="AP19" s="193">
        <v>2796</v>
      </c>
      <c r="AQ19" s="193">
        <v>2850</v>
      </c>
      <c r="AR19" s="193">
        <v>3323</v>
      </c>
      <c r="AS19" s="195">
        <v>1398</v>
      </c>
      <c r="AT19" s="195">
        <v>1991</v>
      </c>
      <c r="AU19" s="195">
        <v>2556</v>
      </c>
    </row>
    <row r="20" spans="1:47">
      <c r="B20" s="221" t="s">
        <v>204</v>
      </c>
      <c r="C20" s="193">
        <v>28865</v>
      </c>
      <c r="D20" s="193">
        <v>40030</v>
      </c>
      <c r="E20" s="195">
        <f>38813</f>
        <v>38813</v>
      </c>
      <c r="F20" s="193">
        <v>44631</v>
      </c>
      <c r="G20" s="193">
        <v>38865</v>
      </c>
      <c r="H20" s="193">
        <v>15052</v>
      </c>
      <c r="I20" s="195">
        <v>13207</v>
      </c>
      <c r="J20" s="193">
        <v>42521</v>
      </c>
      <c r="K20" s="193">
        <v>39643</v>
      </c>
      <c r="L20" s="193">
        <v>36080</v>
      </c>
      <c r="M20" s="195">
        <v>25603</v>
      </c>
      <c r="N20" s="193">
        <v>30129</v>
      </c>
      <c r="O20" s="193">
        <v>29255</v>
      </c>
      <c r="P20" s="193">
        <v>12504</v>
      </c>
      <c r="Q20" s="195">
        <v>13518</v>
      </c>
      <c r="R20" s="193">
        <v>10377</v>
      </c>
      <c r="S20" s="193">
        <v>12619</v>
      </c>
      <c r="T20" s="193">
        <v>14297</v>
      </c>
      <c r="U20" s="195">
        <v>13566</v>
      </c>
      <c r="V20" s="193">
        <v>8666</v>
      </c>
      <c r="W20" s="193">
        <v>9862</v>
      </c>
      <c r="X20" s="193">
        <v>7204</v>
      </c>
      <c r="Y20" s="195">
        <v>5862</v>
      </c>
      <c r="Z20" s="193">
        <v>29984</v>
      </c>
      <c r="AA20" s="193">
        <v>24809</v>
      </c>
      <c r="AB20" s="193">
        <v>21620</v>
      </c>
      <c r="AC20" s="195">
        <v>5599</v>
      </c>
      <c r="AD20" s="193">
        <v>16442</v>
      </c>
      <c r="AE20" s="193">
        <v>15667</v>
      </c>
      <c r="AF20" s="193">
        <v>21525</v>
      </c>
      <c r="AG20" s="195">
        <v>18778</v>
      </c>
      <c r="AH20" s="193">
        <v>15221</v>
      </c>
      <c r="AI20" s="193">
        <v>10475</v>
      </c>
      <c r="AJ20" s="193">
        <v>5587</v>
      </c>
      <c r="AK20" s="195">
        <v>1065</v>
      </c>
      <c r="AL20" s="193">
        <v>1698</v>
      </c>
      <c r="AM20" s="193">
        <v>1960</v>
      </c>
      <c r="AN20" s="193">
        <v>1096</v>
      </c>
      <c r="AO20" s="195">
        <v>720</v>
      </c>
      <c r="AP20" s="193">
        <v>1564</v>
      </c>
      <c r="AQ20" s="193">
        <v>1644</v>
      </c>
      <c r="AR20" s="193">
        <v>2197</v>
      </c>
      <c r="AS20" s="195">
        <v>1082</v>
      </c>
      <c r="AT20" s="195">
        <v>7118</v>
      </c>
      <c r="AU20" s="195">
        <v>7440</v>
      </c>
    </row>
    <row r="21" spans="1:47" ht="15">
      <c r="A21" s="196"/>
      <c r="B21" s="222" t="s">
        <v>205</v>
      </c>
      <c r="C21" s="223">
        <f t="shared" ref="C21" si="49">C22+C32+C33+C34</f>
        <v>6689392</v>
      </c>
      <c r="D21" s="223">
        <f t="shared" ref="D21" si="50">D22+D32+D33+D34</f>
        <v>6581797</v>
      </c>
      <c r="E21" s="224">
        <f t="shared" ref="E21" si="51">E22+E32+E33+E34</f>
        <v>6419011</v>
      </c>
      <c r="F21" s="223">
        <f t="shared" ref="F21" si="52">F22+F32+F33+F34</f>
        <v>6269401</v>
      </c>
      <c r="G21" s="223">
        <f t="shared" ref="G21" si="53">G22+G32+G33+G34</f>
        <v>6111709</v>
      </c>
      <c r="H21" s="223">
        <f t="shared" ref="H21" si="54">H22+H32+H33+H34</f>
        <v>5969811</v>
      </c>
      <c r="I21" s="223">
        <f t="shared" ref="I21" si="55">I22+I32+I33+I34</f>
        <v>5612792</v>
      </c>
      <c r="J21" s="223">
        <f t="shared" ref="J21" si="56">J22+J32+J33+J34</f>
        <v>5221438</v>
      </c>
      <c r="K21" s="223">
        <f t="shared" ref="K21" si="57">K22+K32+K33+K34</f>
        <v>5021045</v>
      </c>
      <c r="L21" s="223">
        <f t="shared" ref="L21" si="58">L22+L32+L33+L34</f>
        <v>4836259</v>
      </c>
      <c r="M21" s="224">
        <f t="shared" ref="M21" si="59">M22+M32+M33+M34</f>
        <v>4639525</v>
      </c>
      <c r="N21" s="223">
        <f t="shared" ref="N21" si="60">N22+N32+N33+N34</f>
        <v>4906289</v>
      </c>
      <c r="O21" s="223">
        <f t="shared" ref="O21" si="61">O22+O32+O33+O34</f>
        <v>4753411</v>
      </c>
      <c r="P21" s="223">
        <f t="shared" ref="P21" si="62">P22+P32+P33+P34</f>
        <v>4669435</v>
      </c>
      <c r="Q21" s="224">
        <f t="shared" ref="Q21" si="63">Q22+Q32+Q33+Q34</f>
        <v>4581962</v>
      </c>
      <c r="R21" s="223">
        <f t="shared" ref="R21" si="64">R22+R32+R33+R34</f>
        <v>4637750</v>
      </c>
      <c r="S21" s="223">
        <f t="shared" ref="S21" si="65">S22+S32+S33+S34</f>
        <v>4525330</v>
      </c>
      <c r="T21" s="223">
        <f t="shared" ref="T21" si="66">T22+T32+T33+T34</f>
        <v>4100696</v>
      </c>
      <c r="U21" s="224">
        <v>4049548</v>
      </c>
      <c r="V21" s="223">
        <f>V22+V32+V33+V34</f>
        <v>3653715</v>
      </c>
      <c r="W21" s="223">
        <f>W22+W32+W33+W34</f>
        <v>2845786</v>
      </c>
      <c r="X21" s="223">
        <f>X22+X32+X33+X34</f>
        <v>2729931</v>
      </c>
      <c r="Y21" s="224">
        <f>Y22+Y32+Y33+Y34</f>
        <v>2419160</v>
      </c>
      <c r="Z21" s="223">
        <f t="shared" ref="Z21:AA21" si="67">Z22+Z32+Z33+Z34</f>
        <v>2156578</v>
      </c>
      <c r="AA21" s="223">
        <f t="shared" si="67"/>
        <v>1985481</v>
      </c>
      <c r="AB21" s="223">
        <f t="shared" ref="AB21" si="68">AB22+AB32+AB33+AB34</f>
        <v>1983819</v>
      </c>
      <c r="AC21" s="224">
        <f t="shared" ref="AC21" si="69">AC22+AC32+AC33+AC34</f>
        <v>2017997</v>
      </c>
      <c r="AD21" s="223">
        <f t="shared" ref="AD21" si="70">AD22+AD32+AD33+AD34</f>
        <v>1827128</v>
      </c>
      <c r="AE21" s="223">
        <f t="shared" ref="AE21:AI21" si="71">AE22+AE32+AE33+AE34</f>
        <v>1876165</v>
      </c>
      <c r="AF21" s="223">
        <f t="shared" si="71"/>
        <v>1904125</v>
      </c>
      <c r="AG21" s="224">
        <f t="shared" si="71"/>
        <v>1927181</v>
      </c>
      <c r="AH21" s="223">
        <f t="shared" si="71"/>
        <v>1773291</v>
      </c>
      <c r="AI21" s="223">
        <f t="shared" si="71"/>
        <v>1762053</v>
      </c>
      <c r="AJ21" s="223">
        <v>1832565</v>
      </c>
      <c r="AK21" s="224">
        <v>1815897</v>
      </c>
      <c r="AL21" s="223">
        <v>1862356</v>
      </c>
      <c r="AM21" s="223">
        <v>1844146</v>
      </c>
      <c r="AN21" s="223">
        <v>1839014</v>
      </c>
      <c r="AO21" s="224">
        <v>1740518</v>
      </c>
      <c r="AP21" s="223">
        <v>1271853</v>
      </c>
      <c r="AQ21" s="223">
        <v>1279063</v>
      </c>
      <c r="AR21" s="223">
        <v>1312525</v>
      </c>
      <c r="AS21" s="224">
        <v>1302425</v>
      </c>
      <c r="AT21" s="224">
        <v>1331086</v>
      </c>
      <c r="AU21" s="224">
        <v>1380905</v>
      </c>
    </row>
    <row r="22" spans="1:47" ht="15.75" thickBot="1">
      <c r="A22" s="196"/>
      <c r="B22" s="225" t="s">
        <v>206</v>
      </c>
      <c r="C22" s="198">
        <f t="shared" ref="C22" si="72">SUM(C23:C31)</f>
        <v>341401</v>
      </c>
      <c r="D22" s="198">
        <f t="shared" ref="D22" si="73">SUM(D23:D31)</f>
        <v>342281</v>
      </c>
      <c r="E22" s="198">
        <f t="shared" ref="E22" si="74">SUM(E23:E31)</f>
        <v>350764</v>
      </c>
      <c r="F22" s="198">
        <f t="shared" ref="F22" si="75">SUM(F23:F31)</f>
        <v>359173</v>
      </c>
      <c r="G22" s="198">
        <f t="shared" ref="G22" si="76">SUM(G23:G31)</f>
        <v>360932</v>
      </c>
      <c r="H22" s="198">
        <f t="shared" ref="H22" si="77">SUM(H23:H31)</f>
        <v>358708</v>
      </c>
      <c r="I22" s="198">
        <f t="shared" ref="I22" si="78">SUM(I23:I31)</f>
        <v>329994</v>
      </c>
      <c r="J22" s="198">
        <f t="shared" ref="J22" si="79">SUM(J23:J31)</f>
        <v>297775</v>
      </c>
      <c r="K22" s="198">
        <f t="shared" ref="K22" si="80">SUM(K23:K31)</f>
        <v>297039</v>
      </c>
      <c r="L22" s="198">
        <f t="shared" ref="L22" si="81">SUM(L23:L31)</f>
        <v>274369</v>
      </c>
      <c r="M22" s="200">
        <f t="shared" ref="M22" si="82">SUM(M23:M31)</f>
        <v>267085</v>
      </c>
      <c r="N22" s="198">
        <f t="shared" ref="N22" si="83">SUM(N23:N31)</f>
        <v>330078</v>
      </c>
      <c r="O22" s="198">
        <f t="shared" ref="O22" si="84">SUM(O23:O31)</f>
        <v>319421</v>
      </c>
      <c r="P22" s="198">
        <f t="shared" ref="P22" si="85">SUM(P23:P31)</f>
        <v>328620</v>
      </c>
      <c r="Q22" s="200">
        <f t="shared" ref="Q22" si="86">SUM(Q23:Q31)</f>
        <v>333378</v>
      </c>
      <c r="R22" s="198">
        <f t="shared" ref="R22" si="87">SUM(R23:R31)</f>
        <v>379929</v>
      </c>
      <c r="S22" s="198">
        <f t="shared" ref="S22" si="88">SUM(S23:S31)</f>
        <v>360440</v>
      </c>
      <c r="T22" s="198">
        <f t="shared" ref="T22" si="89">SUM(T23:T31)</f>
        <v>333127</v>
      </c>
      <c r="U22" s="200">
        <v>468951</v>
      </c>
      <c r="V22" s="198">
        <f>SUM(V23:V31)</f>
        <v>432211</v>
      </c>
      <c r="W22" s="198">
        <f>SUM(W23:W31)</f>
        <v>339830</v>
      </c>
      <c r="X22" s="198">
        <f>SUM(X23:X31)</f>
        <v>363710</v>
      </c>
      <c r="Y22" s="200">
        <f>SUM(Y23:Y31)</f>
        <v>335065</v>
      </c>
      <c r="Z22" s="198">
        <f>SUM(Z23:Z31)</f>
        <v>334249</v>
      </c>
      <c r="AA22" s="198">
        <f t="shared" ref="AA22" si="90">SUM(AA23:AA28)</f>
        <v>315115</v>
      </c>
      <c r="AB22" s="198">
        <f t="shared" ref="AB22" si="91">SUM(AB23:AB28)</f>
        <v>281475</v>
      </c>
      <c r="AC22" s="200">
        <f t="shared" ref="AC22" si="92">SUM(AC23:AC28)</f>
        <v>232963</v>
      </c>
      <c r="AD22" s="198">
        <f t="shared" ref="AD22" si="93">SUM(AD23:AD28)</f>
        <v>238456</v>
      </c>
      <c r="AE22" s="198">
        <f t="shared" ref="AE22:AI22" si="94">SUM(AE23:AE28)</f>
        <v>219570</v>
      </c>
      <c r="AF22" s="198">
        <f t="shared" si="94"/>
        <v>64465</v>
      </c>
      <c r="AG22" s="200">
        <f t="shared" si="94"/>
        <v>65209</v>
      </c>
      <c r="AH22" s="198">
        <f t="shared" si="94"/>
        <v>63839</v>
      </c>
      <c r="AI22" s="198">
        <f t="shared" si="94"/>
        <v>63461</v>
      </c>
      <c r="AJ22" s="198">
        <v>63367</v>
      </c>
      <c r="AK22" s="200">
        <v>63806</v>
      </c>
      <c r="AL22" s="198">
        <v>73493</v>
      </c>
      <c r="AM22" s="198">
        <v>71996</v>
      </c>
      <c r="AN22" s="198">
        <v>70873</v>
      </c>
      <c r="AO22" s="200">
        <v>71027</v>
      </c>
      <c r="AP22" s="198">
        <v>70632</v>
      </c>
      <c r="AQ22" s="198">
        <v>68533</v>
      </c>
      <c r="AR22" s="198">
        <v>99117</v>
      </c>
      <c r="AS22" s="200">
        <v>95344</v>
      </c>
      <c r="AT22" s="200">
        <v>67510</v>
      </c>
      <c r="AU22" s="200">
        <v>100388</v>
      </c>
    </row>
    <row r="23" spans="1:47" ht="15" thickTop="1">
      <c r="B23" s="221" t="s">
        <v>199</v>
      </c>
      <c r="C23" s="203">
        <v>4078</v>
      </c>
      <c r="D23" s="203">
        <v>4078</v>
      </c>
      <c r="E23" s="195">
        <v>4078</v>
      </c>
      <c r="F23" s="203">
        <v>4078</v>
      </c>
      <c r="G23" s="203">
        <v>4078</v>
      </c>
      <c r="H23" s="203">
        <v>0</v>
      </c>
      <c r="I23" s="195">
        <v>0</v>
      </c>
      <c r="J23" s="203">
        <v>8458</v>
      </c>
      <c r="K23" s="203">
        <v>8469</v>
      </c>
      <c r="L23" s="203">
        <v>8390</v>
      </c>
      <c r="M23" s="195">
        <v>7872</v>
      </c>
      <c r="N23" s="203">
        <v>0</v>
      </c>
      <c r="O23" s="203">
        <v>0</v>
      </c>
      <c r="P23" s="203">
        <v>0</v>
      </c>
      <c r="Q23" s="195">
        <v>0</v>
      </c>
      <c r="R23" s="203">
        <v>0</v>
      </c>
      <c r="S23" s="203"/>
      <c r="T23" s="203">
        <v>0</v>
      </c>
      <c r="U23" s="205">
        <v>0</v>
      </c>
      <c r="V23" s="203">
        <v>0</v>
      </c>
      <c r="W23" s="203">
        <v>0</v>
      </c>
      <c r="X23" s="203" t="s">
        <v>112</v>
      </c>
      <c r="Y23" s="205" t="s">
        <v>112</v>
      </c>
      <c r="Z23" s="203" t="s">
        <v>112</v>
      </c>
      <c r="AA23" s="203" t="s">
        <v>112</v>
      </c>
      <c r="AB23" s="203" t="s">
        <v>112</v>
      </c>
      <c r="AC23" s="205">
        <v>0</v>
      </c>
      <c r="AD23" s="193"/>
      <c r="AE23" s="193">
        <v>0</v>
      </c>
      <c r="AF23" s="193">
        <v>0</v>
      </c>
      <c r="AG23" s="205">
        <v>0</v>
      </c>
      <c r="AH23" s="193">
        <v>0</v>
      </c>
      <c r="AI23" s="193">
        <v>0</v>
      </c>
      <c r="AJ23" s="193">
        <v>0</v>
      </c>
      <c r="AK23" s="205">
        <v>0</v>
      </c>
      <c r="AL23" s="193">
        <v>0</v>
      </c>
      <c r="AM23" s="193">
        <v>0</v>
      </c>
      <c r="AN23" s="193">
        <v>0</v>
      </c>
      <c r="AO23" s="205">
        <v>0</v>
      </c>
      <c r="AP23" s="193">
        <v>0</v>
      </c>
      <c r="AQ23" s="193">
        <v>0</v>
      </c>
      <c r="AR23" s="193">
        <v>28678</v>
      </c>
      <c r="AS23" s="205">
        <v>27181</v>
      </c>
      <c r="AT23" s="205">
        <v>0</v>
      </c>
      <c r="AU23" s="205">
        <v>38000</v>
      </c>
    </row>
    <row r="24" spans="1:47">
      <c r="B24" s="221" t="s">
        <v>331</v>
      </c>
      <c r="C24" s="193">
        <v>184095</v>
      </c>
      <c r="D24" s="193">
        <v>185618</v>
      </c>
      <c r="E24" s="195">
        <f>25788+195683</f>
        <v>221471</v>
      </c>
      <c r="F24" s="193">
        <v>221517</v>
      </c>
      <c r="G24" s="193">
        <v>224277</v>
      </c>
      <c r="H24" s="193">
        <v>232624</v>
      </c>
      <c r="I24" s="195">
        <v>247356</v>
      </c>
      <c r="J24" s="193">
        <v>215362</v>
      </c>
      <c r="K24" s="193">
        <v>219743</v>
      </c>
      <c r="L24" s="193">
        <v>199574</v>
      </c>
      <c r="M24" s="195">
        <v>193628</v>
      </c>
      <c r="N24" s="193">
        <v>265995</v>
      </c>
      <c r="O24" s="193">
        <v>256626</v>
      </c>
      <c r="P24" s="193">
        <v>267109</v>
      </c>
      <c r="Q24" s="195">
        <v>270998</v>
      </c>
      <c r="R24" s="193">
        <v>287462</v>
      </c>
      <c r="S24" s="193">
        <v>275896</v>
      </c>
      <c r="T24" s="193">
        <v>251323</v>
      </c>
      <c r="U24" s="195">
        <v>284275</v>
      </c>
      <c r="V24" s="193">
        <v>263190</v>
      </c>
      <c r="W24" s="193">
        <v>240335</v>
      </c>
      <c r="X24" s="193">
        <v>265626</v>
      </c>
      <c r="Y24" s="195">
        <v>242144</v>
      </c>
      <c r="Z24" s="193">
        <v>253134</v>
      </c>
      <c r="AA24" s="193">
        <v>242100</v>
      </c>
      <c r="AB24" s="193">
        <v>209352</v>
      </c>
      <c r="AC24" s="195">
        <v>161226</v>
      </c>
      <c r="AD24" s="193">
        <v>165442</v>
      </c>
      <c r="AE24" s="193">
        <v>153800</v>
      </c>
      <c r="AF24" s="193">
        <v>0</v>
      </c>
      <c r="AG24" s="195">
        <v>0</v>
      </c>
      <c r="AH24" s="193">
        <v>0</v>
      </c>
      <c r="AI24" s="193">
        <v>0</v>
      </c>
      <c r="AJ24" s="193">
        <v>0</v>
      </c>
      <c r="AK24" s="195">
        <v>0</v>
      </c>
      <c r="AL24" s="193">
        <v>0</v>
      </c>
      <c r="AM24" s="193">
        <v>0</v>
      </c>
      <c r="AN24" s="193">
        <v>0</v>
      </c>
      <c r="AO24" s="195">
        <v>0</v>
      </c>
      <c r="AP24" s="193">
        <v>11</v>
      </c>
      <c r="AQ24" s="193">
        <v>128</v>
      </c>
      <c r="AR24" s="193">
        <v>269</v>
      </c>
      <c r="AS24" s="195">
        <v>453</v>
      </c>
      <c r="AT24" s="195">
        <v>1699</v>
      </c>
      <c r="AU24" s="195">
        <v>3307</v>
      </c>
    </row>
    <row r="25" spans="1:47">
      <c r="B25" s="220" t="s">
        <v>201</v>
      </c>
      <c r="C25" s="193">
        <v>52766</v>
      </c>
      <c r="D25" s="193">
        <v>57569</v>
      </c>
      <c r="E25" s="195">
        <v>59219</v>
      </c>
      <c r="F25" s="193">
        <v>63063</v>
      </c>
      <c r="G25" s="193">
        <v>62956</v>
      </c>
      <c r="H25" s="193">
        <v>59290</v>
      </c>
      <c r="I25" s="195">
        <v>18866</v>
      </c>
      <c r="J25" s="193">
        <v>13097</v>
      </c>
      <c r="K25" s="193">
        <v>10336</v>
      </c>
      <c r="L25" s="193">
        <v>8948</v>
      </c>
      <c r="M25" s="195">
        <v>9482</v>
      </c>
      <c r="N25" s="193">
        <v>8774</v>
      </c>
      <c r="O25" s="193">
        <v>7878</v>
      </c>
      <c r="P25" s="193">
        <v>7939</v>
      </c>
      <c r="Q25" s="195">
        <v>8634</v>
      </c>
      <c r="R25" s="193">
        <v>8251</v>
      </c>
      <c r="S25" s="193">
        <v>7723</v>
      </c>
      <c r="T25" s="193">
        <v>7348</v>
      </c>
      <c r="U25" s="195">
        <v>104729</v>
      </c>
      <c r="V25" s="193">
        <v>98229</v>
      </c>
      <c r="W25" s="193">
        <v>7974</v>
      </c>
      <c r="X25" s="193">
        <v>7689</v>
      </c>
      <c r="Y25" s="195">
        <v>7867</v>
      </c>
      <c r="Z25" s="193">
        <v>5454</v>
      </c>
      <c r="AA25" s="193">
        <v>4755</v>
      </c>
      <c r="AB25" s="193">
        <v>4091</v>
      </c>
      <c r="AC25" s="195">
        <v>4070</v>
      </c>
      <c r="AD25" s="193">
        <v>21874</v>
      </c>
      <c r="AE25" s="193">
        <v>3599</v>
      </c>
      <c r="AF25" s="193">
        <v>3495</v>
      </c>
      <c r="AG25" s="195">
        <v>3926</v>
      </c>
      <c r="AH25" s="193">
        <v>3592</v>
      </c>
      <c r="AI25" s="193">
        <v>3655</v>
      </c>
      <c r="AJ25" s="193">
        <v>3978</v>
      </c>
      <c r="AK25" s="195">
        <v>4442</v>
      </c>
      <c r="AL25" s="193">
        <v>4423</v>
      </c>
      <c r="AM25" s="193">
        <v>4728</v>
      </c>
      <c r="AN25" s="193">
        <v>4577</v>
      </c>
      <c r="AO25" s="195">
        <v>4795</v>
      </c>
      <c r="AP25" s="193">
        <v>4815</v>
      </c>
      <c r="AQ25" s="193">
        <v>4432</v>
      </c>
      <c r="AR25" s="193">
        <v>4391</v>
      </c>
      <c r="AS25" s="195">
        <v>3440</v>
      </c>
      <c r="AT25" s="195">
        <v>3420</v>
      </c>
      <c r="AU25" s="195">
        <v>2278</v>
      </c>
    </row>
    <row r="26" spans="1:47">
      <c r="B26" s="221" t="s">
        <v>202</v>
      </c>
      <c r="C26" s="193">
        <v>36675</v>
      </c>
      <c r="D26" s="193">
        <v>35043</v>
      </c>
      <c r="E26" s="195">
        <v>34193</v>
      </c>
      <c r="F26" s="193">
        <v>38858</v>
      </c>
      <c r="G26" s="193">
        <v>37504</v>
      </c>
      <c r="H26" s="193">
        <v>36550</v>
      </c>
      <c r="I26" s="195">
        <v>36044</v>
      </c>
      <c r="J26" s="193">
        <v>33471</v>
      </c>
      <c r="K26" s="193">
        <v>31511</v>
      </c>
      <c r="L26" s="193">
        <v>30866</v>
      </c>
      <c r="M26" s="195">
        <v>29916</v>
      </c>
      <c r="N26" s="193">
        <v>29542</v>
      </c>
      <c r="O26" s="193">
        <v>29103</v>
      </c>
      <c r="P26" s="193">
        <v>28240</v>
      </c>
      <c r="Q26" s="195">
        <v>27639</v>
      </c>
      <c r="R26" s="193">
        <v>27715</v>
      </c>
      <c r="S26" s="193">
        <v>27046</v>
      </c>
      <c r="T26" s="193">
        <v>26185</v>
      </c>
      <c r="U26" s="195">
        <v>25700</v>
      </c>
      <c r="V26" s="193">
        <v>24643</v>
      </c>
      <c r="W26" s="193">
        <v>22456</v>
      </c>
      <c r="X26" s="193">
        <v>22355</v>
      </c>
      <c r="Y26" s="195">
        <v>22041</v>
      </c>
      <c r="Z26" s="193">
        <v>21068</v>
      </c>
      <c r="AA26" s="193">
        <v>20996</v>
      </c>
      <c r="AB26" s="193">
        <v>20768</v>
      </c>
      <c r="AC26" s="195">
        <v>20403</v>
      </c>
      <c r="AD26" s="193">
        <v>0</v>
      </c>
      <c r="AE26" s="193">
        <v>21248</v>
      </c>
      <c r="AF26" s="193">
        <v>20047</v>
      </c>
      <c r="AG26" s="195">
        <v>19952</v>
      </c>
      <c r="AH26" s="193">
        <v>17864</v>
      </c>
      <c r="AI26" s="193">
        <v>17423</v>
      </c>
      <c r="AJ26" s="193">
        <v>17006</v>
      </c>
      <c r="AK26" s="195">
        <v>16200</v>
      </c>
      <c r="AL26" s="193">
        <v>18503</v>
      </c>
      <c r="AM26" s="193">
        <v>17313</v>
      </c>
      <c r="AN26" s="193">
        <v>17032</v>
      </c>
      <c r="AO26" s="195">
        <v>17751</v>
      </c>
      <c r="AP26" s="193">
        <v>17051</v>
      </c>
      <c r="AQ26" s="193">
        <v>16132</v>
      </c>
      <c r="AR26" s="193">
        <v>15294</v>
      </c>
      <c r="AS26" s="195">
        <v>14783</v>
      </c>
      <c r="AT26" s="195">
        <v>12757</v>
      </c>
      <c r="AU26" s="195">
        <v>12757</v>
      </c>
    </row>
    <row r="27" spans="1:47">
      <c r="B27" s="221" t="s">
        <v>207</v>
      </c>
      <c r="C27" s="193">
        <v>30893</v>
      </c>
      <c r="D27" s="193">
        <v>31178</v>
      </c>
      <c r="E27" s="195">
        <v>31382</v>
      </c>
      <c r="F27" s="193">
        <v>29321</v>
      </c>
      <c r="G27" s="193">
        <v>28773</v>
      </c>
      <c r="H27" s="193">
        <v>28281</v>
      </c>
      <c r="I27" s="195">
        <v>27728</v>
      </c>
      <c r="J27" s="193">
        <v>27387</v>
      </c>
      <c r="K27" s="193">
        <v>26980</v>
      </c>
      <c r="L27" s="193">
        <v>26591</v>
      </c>
      <c r="M27" s="195">
        <v>26187</v>
      </c>
      <c r="N27" s="193">
        <v>25767</v>
      </c>
      <c r="O27" s="193">
        <v>25814</v>
      </c>
      <c r="P27" s="193">
        <v>25332</v>
      </c>
      <c r="Q27" s="195">
        <v>26107</v>
      </c>
      <c r="R27" s="193">
        <v>25594</v>
      </c>
      <c r="S27" s="193">
        <v>35058</v>
      </c>
      <c r="T27" s="193">
        <v>34444</v>
      </c>
      <c r="U27" s="195">
        <v>34192</v>
      </c>
      <c r="V27" s="193">
        <v>27141</v>
      </c>
      <c r="W27" s="193">
        <v>53406</v>
      </c>
      <c r="X27" s="193">
        <v>53198</v>
      </c>
      <c r="Y27" s="195">
        <v>53321</v>
      </c>
      <c r="Z27" s="193">
        <v>47264</v>
      </c>
      <c r="AA27" s="193">
        <v>47264</v>
      </c>
      <c r="AB27" s="193">
        <v>47264</v>
      </c>
      <c r="AC27" s="195">
        <v>47264</v>
      </c>
      <c r="AD27" s="193">
        <v>47264</v>
      </c>
      <c r="AE27" s="193">
        <v>40923</v>
      </c>
      <c r="AF27" s="193">
        <v>40923</v>
      </c>
      <c r="AG27" s="195">
        <v>41331</v>
      </c>
      <c r="AH27" s="193">
        <v>42383</v>
      </c>
      <c r="AI27" s="193">
        <v>42383</v>
      </c>
      <c r="AJ27" s="193">
        <v>42383</v>
      </c>
      <c r="AK27" s="195">
        <v>43164</v>
      </c>
      <c r="AL27" s="193">
        <v>50567</v>
      </c>
      <c r="AM27" s="193">
        <v>49955</v>
      </c>
      <c r="AN27" s="193">
        <v>49264</v>
      </c>
      <c r="AO27" s="195">
        <v>48481</v>
      </c>
      <c r="AP27" s="193">
        <v>48755</v>
      </c>
      <c r="AQ27" s="193">
        <v>47841</v>
      </c>
      <c r="AR27" s="193">
        <v>50485</v>
      </c>
      <c r="AS27" s="195">
        <v>49487</v>
      </c>
      <c r="AT27" s="195">
        <v>49634</v>
      </c>
      <c r="AU27" s="195">
        <v>44046</v>
      </c>
    </row>
    <row r="28" spans="1:47">
      <c r="B28" s="221" t="s">
        <v>231</v>
      </c>
      <c r="C28" s="369"/>
      <c r="D28" s="369">
        <v>0</v>
      </c>
      <c r="E28" s="195"/>
      <c r="F28" s="369">
        <v>0</v>
      </c>
      <c r="G28" s="369">
        <v>0</v>
      </c>
      <c r="H28" s="369">
        <v>0</v>
      </c>
      <c r="I28" s="195">
        <v>0</v>
      </c>
      <c r="J28" s="369">
        <v>0</v>
      </c>
      <c r="K28" s="369">
        <v>0</v>
      </c>
      <c r="L28" s="369">
        <v>0</v>
      </c>
      <c r="M28" s="195">
        <v>0</v>
      </c>
      <c r="N28" s="369">
        <v>0</v>
      </c>
      <c r="O28" s="369">
        <v>0</v>
      </c>
      <c r="P28" s="369">
        <v>0</v>
      </c>
      <c r="Q28" s="195">
        <v>0</v>
      </c>
      <c r="R28" s="369">
        <v>0</v>
      </c>
      <c r="S28" s="369">
        <v>0</v>
      </c>
      <c r="T28" s="369">
        <v>0</v>
      </c>
      <c r="U28" s="370">
        <v>0</v>
      </c>
      <c r="V28" s="369">
        <v>0</v>
      </c>
      <c r="W28" s="369">
        <v>0</v>
      </c>
      <c r="X28" s="369">
        <v>0</v>
      </c>
      <c r="Y28" s="370">
        <v>0</v>
      </c>
      <c r="Z28" s="203" t="s">
        <v>112</v>
      </c>
      <c r="AA28" s="203" t="s">
        <v>112</v>
      </c>
      <c r="AB28" s="203" t="s">
        <v>112</v>
      </c>
      <c r="AC28" s="370">
        <v>0</v>
      </c>
      <c r="AD28" s="193">
        <v>3876</v>
      </c>
      <c r="AE28" s="193">
        <v>0</v>
      </c>
      <c r="AF28" s="193">
        <v>0</v>
      </c>
      <c r="AG28" s="370">
        <v>0</v>
      </c>
      <c r="AH28" s="193">
        <v>0</v>
      </c>
      <c r="AI28" s="193">
        <v>0</v>
      </c>
      <c r="AJ28" s="193">
        <v>0</v>
      </c>
      <c r="AK28" s="370">
        <v>0</v>
      </c>
      <c r="AL28" s="193">
        <v>0</v>
      </c>
      <c r="AM28" s="193">
        <v>0</v>
      </c>
      <c r="AN28" s="193">
        <v>0</v>
      </c>
      <c r="AO28" s="370">
        <v>0</v>
      </c>
      <c r="AP28" s="193">
        <v>0</v>
      </c>
      <c r="AQ28" s="193">
        <v>0</v>
      </c>
      <c r="AR28" s="193">
        <v>0</v>
      </c>
      <c r="AS28" s="370">
        <v>0</v>
      </c>
      <c r="AT28" s="370">
        <v>0</v>
      </c>
      <c r="AU28" s="370">
        <v>0</v>
      </c>
    </row>
    <row r="29" spans="1:47">
      <c r="B29" s="221" t="s">
        <v>203</v>
      </c>
      <c r="C29" s="369">
        <v>60</v>
      </c>
      <c r="D29" s="369">
        <v>188</v>
      </c>
      <c r="E29" s="195">
        <v>421</v>
      </c>
      <c r="F29" s="369">
        <v>2336</v>
      </c>
      <c r="G29" s="369">
        <v>441</v>
      </c>
      <c r="H29" s="369">
        <v>1963</v>
      </c>
      <c r="I29" s="195"/>
      <c r="J29" s="369"/>
      <c r="K29" s="369"/>
      <c r="L29" s="369"/>
      <c r="M29" s="195"/>
      <c r="N29" s="369"/>
      <c r="O29" s="369"/>
      <c r="P29" s="369"/>
      <c r="Q29" s="195"/>
      <c r="R29" s="369"/>
      <c r="S29" s="369"/>
      <c r="T29" s="369"/>
      <c r="U29" s="370"/>
      <c r="V29" s="369"/>
      <c r="W29" s="369"/>
      <c r="X29" s="369"/>
      <c r="Y29" s="370"/>
      <c r="Z29" s="203"/>
      <c r="AA29" s="203"/>
      <c r="AB29" s="203"/>
      <c r="AC29" s="370"/>
      <c r="AD29" s="193"/>
      <c r="AE29" s="193"/>
      <c r="AF29" s="193"/>
      <c r="AG29" s="370"/>
      <c r="AH29" s="193"/>
      <c r="AI29" s="193"/>
      <c r="AJ29" s="193"/>
      <c r="AK29" s="370"/>
      <c r="AL29" s="193"/>
      <c r="AM29" s="193"/>
      <c r="AN29" s="193"/>
      <c r="AO29" s="370"/>
      <c r="AP29" s="193"/>
      <c r="AQ29" s="193"/>
      <c r="AR29" s="193"/>
      <c r="AS29" s="370"/>
      <c r="AT29" s="370"/>
      <c r="AU29" s="370"/>
    </row>
    <row r="30" spans="1:47">
      <c r="B30" s="221" t="s">
        <v>443</v>
      </c>
      <c r="C30" s="369"/>
      <c r="D30" s="369">
        <v>0</v>
      </c>
      <c r="E30" s="195"/>
      <c r="F30" s="369">
        <v>0</v>
      </c>
      <c r="G30" s="369">
        <v>2903</v>
      </c>
      <c r="H30" s="369"/>
      <c r="I30" s="195"/>
      <c r="J30" s="369"/>
      <c r="K30" s="369"/>
      <c r="L30" s="369"/>
      <c r="M30" s="195"/>
      <c r="N30" s="369"/>
      <c r="O30" s="369"/>
      <c r="P30" s="369"/>
      <c r="Q30" s="195"/>
      <c r="R30" s="369"/>
      <c r="S30" s="369"/>
      <c r="T30" s="369"/>
      <c r="U30" s="370"/>
      <c r="V30" s="369"/>
      <c r="W30" s="369"/>
      <c r="X30" s="369"/>
      <c r="Y30" s="370"/>
      <c r="Z30" s="203"/>
      <c r="AA30" s="203"/>
      <c r="AB30" s="203"/>
      <c r="AC30" s="370"/>
      <c r="AD30" s="193"/>
      <c r="AE30" s="193"/>
      <c r="AF30" s="193"/>
      <c r="AG30" s="370"/>
      <c r="AH30" s="193"/>
      <c r="AI30" s="193"/>
      <c r="AJ30" s="193"/>
      <c r="AK30" s="370"/>
      <c r="AL30" s="193"/>
      <c r="AM30" s="193"/>
      <c r="AN30" s="193"/>
      <c r="AO30" s="370"/>
      <c r="AP30" s="193"/>
      <c r="AQ30" s="193"/>
      <c r="AR30" s="193"/>
      <c r="AS30" s="370"/>
      <c r="AT30" s="370"/>
      <c r="AU30" s="370"/>
    </row>
    <row r="31" spans="1:47">
      <c r="B31" s="221" t="s">
        <v>305</v>
      </c>
      <c r="C31" s="203">
        <v>32834</v>
      </c>
      <c r="D31" s="203">
        <v>28607</v>
      </c>
      <c r="E31" s="195"/>
      <c r="F31" s="203">
        <v>0</v>
      </c>
      <c r="G31" s="203">
        <v>0</v>
      </c>
      <c r="H31" s="203">
        <v>0</v>
      </c>
      <c r="I31" s="195">
        <v>0</v>
      </c>
      <c r="J31" s="203">
        <v>0</v>
      </c>
      <c r="K31" s="203">
        <v>0</v>
      </c>
      <c r="L31" s="203">
        <v>0</v>
      </c>
      <c r="M31" s="195">
        <v>0</v>
      </c>
      <c r="N31" s="203">
        <v>0</v>
      </c>
      <c r="O31" s="203">
        <v>0</v>
      </c>
      <c r="P31" s="203">
        <v>0</v>
      </c>
      <c r="Q31" s="195">
        <v>0</v>
      </c>
      <c r="R31" s="203">
        <v>30907</v>
      </c>
      <c r="S31" s="203">
        <v>14717</v>
      </c>
      <c r="T31" s="203">
        <v>13827</v>
      </c>
      <c r="U31" s="205">
        <v>20055</v>
      </c>
      <c r="V31" s="203">
        <v>19008</v>
      </c>
      <c r="W31" s="203">
        <v>15659</v>
      </c>
      <c r="X31" s="203">
        <v>14842</v>
      </c>
      <c r="Y31" s="205">
        <v>9692</v>
      </c>
      <c r="Z31" s="203">
        <v>7329</v>
      </c>
      <c r="AA31" s="203" t="s">
        <v>112</v>
      </c>
      <c r="AB31" s="203" t="s">
        <v>112</v>
      </c>
      <c r="AC31" s="205" t="s">
        <v>112</v>
      </c>
      <c r="AD31" s="203" t="s">
        <v>112</v>
      </c>
      <c r="AE31" s="203" t="s">
        <v>112</v>
      </c>
      <c r="AF31" s="203" t="s">
        <v>112</v>
      </c>
      <c r="AG31" s="205" t="s">
        <v>112</v>
      </c>
      <c r="AH31" s="203" t="s">
        <v>112</v>
      </c>
      <c r="AI31" s="203" t="s">
        <v>112</v>
      </c>
      <c r="AJ31" s="203" t="s">
        <v>112</v>
      </c>
      <c r="AK31" s="205" t="s">
        <v>112</v>
      </c>
      <c r="AL31" s="203" t="s">
        <v>112</v>
      </c>
      <c r="AM31" s="203" t="s">
        <v>112</v>
      </c>
      <c r="AN31" s="203" t="s">
        <v>112</v>
      </c>
      <c r="AO31" s="205" t="s">
        <v>112</v>
      </c>
      <c r="AP31" s="203" t="s">
        <v>112</v>
      </c>
      <c r="AQ31" s="203" t="s">
        <v>112</v>
      </c>
      <c r="AR31" s="203" t="s">
        <v>112</v>
      </c>
      <c r="AS31" s="205" t="s">
        <v>112</v>
      </c>
      <c r="AT31" s="205" t="s">
        <v>112</v>
      </c>
      <c r="AU31" s="205" t="s">
        <v>112</v>
      </c>
    </row>
    <row r="32" spans="1:47" ht="15.75" thickBot="1">
      <c r="A32" s="196"/>
      <c r="B32" s="225" t="s">
        <v>208</v>
      </c>
      <c r="C32" s="198">
        <v>3807015</v>
      </c>
      <c r="D32" s="198">
        <v>3730614</v>
      </c>
      <c r="E32" s="200">
        <v>3653823</v>
      </c>
      <c r="F32" s="198">
        <v>3630841</v>
      </c>
      <c r="G32" s="198">
        <v>3605222</v>
      </c>
      <c r="H32" s="198">
        <v>3627907</v>
      </c>
      <c r="I32" s="200">
        <v>3557942</v>
      </c>
      <c r="J32" s="198">
        <v>3365706</v>
      </c>
      <c r="K32" s="198">
        <v>3320707</v>
      </c>
      <c r="L32" s="198">
        <v>3219457</v>
      </c>
      <c r="M32" s="200">
        <v>3062162</v>
      </c>
      <c r="N32" s="198">
        <v>3295867</v>
      </c>
      <c r="O32" s="198">
        <v>3181948</v>
      </c>
      <c r="P32" s="198">
        <v>3166324</v>
      </c>
      <c r="Q32" s="200">
        <v>3086604</v>
      </c>
      <c r="R32" s="198">
        <v>3110661</v>
      </c>
      <c r="S32" s="198">
        <v>3031061</v>
      </c>
      <c r="T32" s="198">
        <v>2631855</v>
      </c>
      <c r="U32" s="200">
        <v>2433484</v>
      </c>
      <c r="V32" s="198">
        <v>2076402</v>
      </c>
      <c r="W32" s="198">
        <v>1364063</v>
      </c>
      <c r="X32" s="198">
        <v>1224672</v>
      </c>
      <c r="Y32" s="200">
        <v>937817</v>
      </c>
      <c r="Z32" s="198">
        <v>681634</v>
      </c>
      <c r="AA32" s="198">
        <v>527732</v>
      </c>
      <c r="AB32" s="198">
        <v>560619</v>
      </c>
      <c r="AC32" s="200">
        <v>639741</v>
      </c>
      <c r="AD32" s="198">
        <v>443081</v>
      </c>
      <c r="AE32" s="198">
        <v>510856</v>
      </c>
      <c r="AF32" s="198">
        <v>690051</v>
      </c>
      <c r="AG32" s="200">
        <v>705659</v>
      </c>
      <c r="AH32" s="198">
        <v>563287</v>
      </c>
      <c r="AI32" s="198">
        <v>548760</v>
      </c>
      <c r="AJ32" s="198">
        <v>611792</v>
      </c>
      <c r="AK32" s="200">
        <v>587274</v>
      </c>
      <c r="AL32" s="198">
        <v>625588</v>
      </c>
      <c r="AM32" s="198">
        <v>602300</v>
      </c>
      <c r="AN32" s="198">
        <v>0</v>
      </c>
      <c r="AO32" s="200">
        <v>490627</v>
      </c>
      <c r="AP32" s="198">
        <v>23947</v>
      </c>
      <c r="AQ32" s="198">
        <v>30942</v>
      </c>
      <c r="AR32" s="198">
        <v>34164</v>
      </c>
      <c r="AS32" s="200">
        <v>22060</v>
      </c>
      <c r="AT32" s="200">
        <v>66554</v>
      </c>
      <c r="AU32" s="200">
        <v>82506</v>
      </c>
    </row>
    <row r="33" spans="1:47" ht="16.5" thickTop="1" thickBot="1">
      <c r="A33" s="196"/>
      <c r="B33" s="226" t="s">
        <v>209</v>
      </c>
      <c r="C33" s="198">
        <v>2257510</v>
      </c>
      <c r="D33" s="198">
        <v>2225048</v>
      </c>
      <c r="E33" s="200">
        <f>2122100+9623</f>
        <v>2131723</v>
      </c>
      <c r="F33" s="198">
        <v>1995624</v>
      </c>
      <c r="G33" s="198">
        <v>1860499</v>
      </c>
      <c r="H33" s="198">
        <v>1696844</v>
      </c>
      <c r="I33" s="200">
        <v>1438320</v>
      </c>
      <c r="J33" s="198">
        <v>1270152</v>
      </c>
      <c r="K33" s="198">
        <v>1113722</v>
      </c>
      <c r="L33" s="198">
        <v>1051362</v>
      </c>
      <c r="M33" s="200">
        <v>1021532</v>
      </c>
      <c r="N33" s="198">
        <v>990321</v>
      </c>
      <c r="O33" s="198">
        <v>962003</v>
      </c>
      <c r="P33" s="198">
        <v>883076</v>
      </c>
      <c r="Q33" s="200">
        <v>880798</v>
      </c>
      <c r="R33" s="198">
        <v>865183</v>
      </c>
      <c r="S33" s="198">
        <v>851052</v>
      </c>
      <c r="T33" s="198">
        <v>852140</v>
      </c>
      <c r="U33" s="200">
        <v>863044</v>
      </c>
      <c r="V33" s="198">
        <v>865723</v>
      </c>
      <c r="W33" s="198">
        <v>862001</v>
      </c>
      <c r="X33" s="198">
        <v>861145</v>
      </c>
      <c r="Y33" s="200">
        <v>867712</v>
      </c>
      <c r="Z33" s="198">
        <v>861530</v>
      </c>
      <c r="AA33" s="198">
        <v>863054</v>
      </c>
      <c r="AB33" s="198">
        <v>861981</v>
      </c>
      <c r="AC33" s="200">
        <v>865665</v>
      </c>
      <c r="AD33" s="198">
        <v>867917</v>
      </c>
      <c r="AE33" s="198">
        <v>867297</v>
      </c>
      <c r="AF33" s="198">
        <v>874606</v>
      </c>
      <c r="AG33" s="200">
        <v>880461</v>
      </c>
      <c r="AH33" s="198">
        <v>869963</v>
      </c>
      <c r="AI33" s="198">
        <v>872805</v>
      </c>
      <c r="AJ33" s="198">
        <v>879553</v>
      </c>
      <c r="AK33" s="200">
        <v>886133</v>
      </c>
      <c r="AL33" s="198">
        <v>883759</v>
      </c>
      <c r="AM33" s="198">
        <v>889632</v>
      </c>
      <c r="AN33" s="198">
        <v>597085</v>
      </c>
      <c r="AO33" s="200">
        <v>896971</v>
      </c>
      <c r="AP33" s="198">
        <v>894540</v>
      </c>
      <c r="AQ33" s="198">
        <v>896012</v>
      </c>
      <c r="AR33" s="198">
        <v>894826</v>
      </c>
      <c r="AS33" s="200">
        <v>899891</v>
      </c>
      <c r="AT33" s="200">
        <v>908891</v>
      </c>
      <c r="AU33" s="200">
        <v>923789</v>
      </c>
    </row>
    <row r="34" spans="1:47" ht="16.5" thickTop="1" thickBot="1">
      <c r="A34" s="196"/>
      <c r="B34" s="226" t="s">
        <v>210</v>
      </c>
      <c r="C34" s="198">
        <v>283466</v>
      </c>
      <c r="D34" s="198">
        <v>283854</v>
      </c>
      <c r="E34" s="200">
        <v>282701</v>
      </c>
      <c r="F34" s="198">
        <v>283763</v>
      </c>
      <c r="G34" s="198">
        <v>285056</v>
      </c>
      <c r="H34" s="198">
        <v>286352</v>
      </c>
      <c r="I34" s="200">
        <v>286536</v>
      </c>
      <c r="J34" s="198">
        <v>287805</v>
      </c>
      <c r="K34" s="198">
        <v>289577</v>
      </c>
      <c r="L34" s="198">
        <v>291071</v>
      </c>
      <c r="M34" s="200">
        <v>288746</v>
      </c>
      <c r="N34" s="198">
        <v>290023</v>
      </c>
      <c r="O34" s="198">
        <v>290039</v>
      </c>
      <c r="P34" s="198">
        <v>291415</v>
      </c>
      <c r="Q34" s="200">
        <v>281182</v>
      </c>
      <c r="R34" s="198">
        <v>281977</v>
      </c>
      <c r="S34" s="198">
        <v>282777</v>
      </c>
      <c r="T34" s="198">
        <v>283574</v>
      </c>
      <c r="U34" s="200">
        <v>284069</v>
      </c>
      <c r="V34" s="198">
        <v>279379</v>
      </c>
      <c r="W34" s="198">
        <v>279892</v>
      </c>
      <c r="X34" s="198">
        <v>280404</v>
      </c>
      <c r="Y34" s="200">
        <v>278566</v>
      </c>
      <c r="Z34" s="198">
        <v>279165</v>
      </c>
      <c r="AA34" s="198">
        <v>279580</v>
      </c>
      <c r="AB34" s="198">
        <v>279744</v>
      </c>
      <c r="AC34" s="200">
        <v>279628</v>
      </c>
      <c r="AD34" s="198">
        <v>277674</v>
      </c>
      <c r="AE34" s="198">
        <v>278442</v>
      </c>
      <c r="AF34" s="198">
        <v>275003</v>
      </c>
      <c r="AG34" s="200">
        <v>275852</v>
      </c>
      <c r="AH34" s="198">
        <v>276202</v>
      </c>
      <c r="AI34" s="198">
        <v>277027</v>
      </c>
      <c r="AJ34" s="198">
        <v>277853</v>
      </c>
      <c r="AK34" s="200">
        <v>278684</v>
      </c>
      <c r="AL34" s="198">
        <v>279516</v>
      </c>
      <c r="AM34" s="198">
        <v>280218</v>
      </c>
      <c r="AN34" s="198">
        <v>890003</v>
      </c>
      <c r="AO34" s="200">
        <v>281893</v>
      </c>
      <c r="AP34" s="198">
        <v>282734</v>
      </c>
      <c r="AQ34" s="198">
        <v>283576</v>
      </c>
      <c r="AR34" s="198">
        <v>284418</v>
      </c>
      <c r="AS34" s="200">
        <v>285130</v>
      </c>
      <c r="AT34" s="200">
        <v>288131</v>
      </c>
      <c r="AU34" s="200">
        <v>274222</v>
      </c>
    </row>
    <row r="35" spans="1:47" ht="16.5" customHeight="1" thickTop="1">
      <c r="A35" s="191"/>
      <c r="B35" s="477" t="s">
        <v>372</v>
      </c>
      <c r="C35" s="443" t="s">
        <v>460</v>
      </c>
      <c r="D35" s="443" t="s">
        <v>455</v>
      </c>
      <c r="E35" s="445" t="s">
        <v>452</v>
      </c>
      <c r="F35" s="443" t="s">
        <v>447</v>
      </c>
      <c r="G35" s="443" t="s">
        <v>444</v>
      </c>
      <c r="H35" s="443" t="s">
        <v>440</v>
      </c>
      <c r="I35" s="445" t="s">
        <v>434</v>
      </c>
      <c r="J35" s="443" t="s">
        <v>430</v>
      </c>
      <c r="K35" s="443" t="s">
        <v>427</v>
      </c>
      <c r="L35" s="443" t="s">
        <v>417</v>
      </c>
      <c r="M35" s="446" t="s">
        <v>407</v>
      </c>
      <c r="N35" s="443" t="s">
        <v>401</v>
      </c>
      <c r="O35" s="443" t="s">
        <v>398</v>
      </c>
      <c r="P35" s="443" t="s">
        <v>392</v>
      </c>
      <c r="Q35" s="446" t="s">
        <v>388</v>
      </c>
      <c r="R35" s="443" t="s">
        <v>382</v>
      </c>
      <c r="S35" s="443" t="s">
        <v>364</v>
      </c>
      <c r="T35" s="443" t="s">
        <v>360</v>
      </c>
      <c r="U35" s="446" t="s">
        <v>355</v>
      </c>
      <c r="V35" s="443" t="s">
        <v>348</v>
      </c>
      <c r="W35" s="443" t="s">
        <v>344</v>
      </c>
      <c r="X35" s="443" t="s">
        <v>341</v>
      </c>
      <c r="Y35" s="446">
        <v>44196</v>
      </c>
      <c r="Z35" s="444">
        <v>44104</v>
      </c>
      <c r="AA35" s="443" t="s">
        <v>329</v>
      </c>
      <c r="AB35" s="443" t="s">
        <v>330</v>
      </c>
      <c r="AC35" s="446">
        <v>43830</v>
      </c>
      <c r="AD35" s="444">
        <v>43738</v>
      </c>
      <c r="AE35" s="444">
        <v>43646</v>
      </c>
      <c r="AF35" s="444">
        <v>43555</v>
      </c>
      <c r="AG35" s="446">
        <v>43465</v>
      </c>
      <c r="AH35" s="444">
        <v>43373</v>
      </c>
      <c r="AI35" s="444">
        <v>43281</v>
      </c>
      <c r="AJ35" s="444">
        <v>43190</v>
      </c>
      <c r="AK35" s="446">
        <v>43100</v>
      </c>
      <c r="AL35" s="444">
        <v>43008</v>
      </c>
      <c r="AM35" s="444">
        <v>42916</v>
      </c>
      <c r="AN35" s="444">
        <v>42825</v>
      </c>
      <c r="AO35" s="446">
        <v>42735</v>
      </c>
      <c r="AP35" s="444">
        <v>42643</v>
      </c>
      <c r="AQ35" s="444">
        <v>42551</v>
      </c>
      <c r="AR35" s="444">
        <v>42460</v>
      </c>
      <c r="AS35" s="446">
        <v>42369</v>
      </c>
      <c r="AT35" s="446">
        <v>42004</v>
      </c>
      <c r="AU35" s="446">
        <v>41639</v>
      </c>
    </row>
    <row r="36" spans="1:47" ht="15" customHeight="1">
      <c r="A36" s="191"/>
      <c r="B36" s="447"/>
      <c r="C36" s="443"/>
      <c r="D36" s="443"/>
      <c r="E36" s="445"/>
      <c r="F36" s="443"/>
      <c r="G36" s="443"/>
      <c r="H36" s="443"/>
      <c r="I36" s="445"/>
      <c r="J36" s="443"/>
      <c r="K36" s="443"/>
      <c r="L36" s="443"/>
      <c r="M36" s="446"/>
      <c r="N36" s="443"/>
      <c r="O36" s="443"/>
      <c r="P36" s="443"/>
      <c r="Q36" s="446"/>
      <c r="R36" s="443"/>
      <c r="S36" s="443"/>
      <c r="T36" s="443"/>
      <c r="U36" s="446"/>
      <c r="V36" s="443"/>
      <c r="W36" s="443"/>
      <c r="X36" s="443"/>
      <c r="Y36" s="446"/>
      <c r="Z36" s="444"/>
      <c r="AA36" s="443"/>
      <c r="AB36" s="443"/>
      <c r="AC36" s="446"/>
      <c r="AD36" s="444"/>
      <c r="AE36" s="444"/>
      <c r="AF36" s="444"/>
      <c r="AG36" s="446"/>
      <c r="AH36" s="444"/>
      <c r="AI36" s="444"/>
      <c r="AJ36" s="444"/>
      <c r="AK36" s="446"/>
      <c r="AL36" s="444"/>
      <c r="AM36" s="444"/>
      <c r="AN36" s="444"/>
      <c r="AO36" s="446"/>
      <c r="AP36" s="444"/>
      <c r="AQ36" s="444"/>
      <c r="AR36" s="444"/>
      <c r="AS36" s="446"/>
      <c r="AT36" s="446"/>
      <c r="AU36" s="446"/>
    </row>
    <row r="37" spans="1:47" ht="15">
      <c r="A37" s="196"/>
      <c r="B37" s="218" t="s">
        <v>211</v>
      </c>
      <c r="C37" s="211">
        <f t="shared" ref="C37" si="95">C38+C49+C57</f>
        <v>8065467</v>
      </c>
      <c r="D37" s="211">
        <f t="shared" ref="D37" si="96">D38+D49+D57</f>
        <v>7857823</v>
      </c>
      <c r="E37" s="213">
        <f t="shared" ref="E37" si="97">E38+E49+E57</f>
        <v>7710739</v>
      </c>
      <c r="F37" s="211">
        <f t="shared" ref="F37" si="98">F38+F49+F57</f>
        <v>7499859</v>
      </c>
      <c r="G37" s="211">
        <f t="shared" ref="G37" si="99">G38+G49+G57</f>
        <v>7307707</v>
      </c>
      <c r="H37" s="211">
        <f t="shared" ref="H37" si="100">H38+H49+H57</f>
        <v>7005576</v>
      </c>
      <c r="I37" s="213">
        <f t="shared" ref="I37" si="101">I38+I49+I57</f>
        <v>6786939</v>
      </c>
      <c r="J37" s="211">
        <f t="shared" ref="J37" si="102">J38+J49+J57</f>
        <v>7203523</v>
      </c>
      <c r="K37" s="211">
        <f t="shared" ref="K37" si="103">K38+K49+K57</f>
        <v>6742376</v>
      </c>
      <c r="L37" s="211">
        <f t="shared" ref="L37" si="104">L38+L49+L57</f>
        <v>6775923</v>
      </c>
      <c r="M37" s="213">
        <f t="shared" ref="M37" si="105">M38+M49+M57</f>
        <v>6122655</v>
      </c>
      <c r="N37" s="211">
        <f t="shared" ref="N37" si="106">N38+N49+N57</f>
        <v>5778646</v>
      </c>
      <c r="O37" s="211">
        <f t="shared" ref="O37" si="107">O38+O49+O57</f>
        <v>5507669</v>
      </c>
      <c r="P37" s="211">
        <f t="shared" ref="P37" si="108">P38+P49+P57</f>
        <v>5661867</v>
      </c>
      <c r="Q37" s="213">
        <f t="shared" ref="Q37" si="109">Q38+Q49+Q57</f>
        <v>5560600</v>
      </c>
      <c r="R37" s="211">
        <f t="shared" ref="R37" si="110">R38+R49+R57</f>
        <v>5323961</v>
      </c>
      <c r="S37" s="211">
        <f t="shared" ref="S37" si="111">S38+S49+S57</f>
        <v>5586281</v>
      </c>
      <c r="T37" s="211">
        <f t="shared" ref="T37" si="112">T38+T49+T57</f>
        <v>5206322</v>
      </c>
      <c r="U37" s="213">
        <v>4979306</v>
      </c>
      <c r="V37" s="211">
        <f t="shared" ref="V37:W37" si="113">V38+V49+V57</f>
        <v>4188065</v>
      </c>
      <c r="W37" s="211">
        <f t="shared" si="113"/>
        <v>3350499</v>
      </c>
      <c r="X37" s="211">
        <f>X38+X49+X57</f>
        <v>3178694.6197500001</v>
      </c>
      <c r="Y37" s="213">
        <f>Y38+Y49+Y57</f>
        <v>3003793</v>
      </c>
      <c r="Z37" s="211">
        <f t="shared" ref="Z37:AA37" si="114">Z38+Z49+Z57</f>
        <v>2818668</v>
      </c>
      <c r="AA37" s="211">
        <f t="shared" si="114"/>
        <v>2696616</v>
      </c>
      <c r="AB37" s="211">
        <f t="shared" ref="AB37" si="115">AB38+AB49+AB57</f>
        <v>2565468</v>
      </c>
      <c r="AC37" s="213">
        <f t="shared" ref="AC37" si="116">AC38+AC49+AC57</f>
        <v>2628874</v>
      </c>
      <c r="AD37" s="211">
        <f t="shared" ref="AD37" si="117">AD38+AD49+AD57</f>
        <v>2481618</v>
      </c>
      <c r="AE37" s="211">
        <f t="shared" ref="AE37:AI37" si="118">AE38+AE49+AE57</f>
        <v>2608239</v>
      </c>
      <c r="AF37" s="211">
        <f t="shared" si="118"/>
        <v>2745864</v>
      </c>
      <c r="AG37" s="213">
        <f t="shared" si="118"/>
        <v>2751422</v>
      </c>
      <c r="AH37" s="211">
        <f t="shared" si="118"/>
        <v>2703128</v>
      </c>
      <c r="AI37" s="211">
        <f t="shared" si="118"/>
        <v>2667636</v>
      </c>
      <c r="AJ37" s="211">
        <v>2851709</v>
      </c>
      <c r="AK37" s="213">
        <v>2206223</v>
      </c>
      <c r="AL37" s="211">
        <v>2284935</v>
      </c>
      <c r="AM37" s="211">
        <v>2357539</v>
      </c>
      <c r="AN37" s="211">
        <v>2266807</v>
      </c>
      <c r="AO37" s="213">
        <v>2164121</v>
      </c>
      <c r="AP37" s="211">
        <v>1706181</v>
      </c>
      <c r="AQ37" s="211">
        <v>1712986</v>
      </c>
      <c r="AR37" s="211">
        <v>1745074</v>
      </c>
      <c r="AS37" s="213">
        <v>1665054</v>
      </c>
      <c r="AT37" s="213">
        <v>1625571</v>
      </c>
      <c r="AU37" s="213">
        <v>1650189</v>
      </c>
    </row>
    <row r="38" spans="1:47" ht="15.75" thickBot="1">
      <c r="A38" s="196"/>
      <c r="B38" s="219" t="s">
        <v>212</v>
      </c>
      <c r="C38" s="198">
        <f t="shared" ref="C38" si="119">SUM(C39:C48)</f>
        <v>594343</v>
      </c>
      <c r="D38" s="198">
        <f t="shared" ref="D38" si="120">SUM(D39:D48)</f>
        <v>562716</v>
      </c>
      <c r="E38" s="200">
        <f t="shared" ref="E38" si="121">SUM(E39:E48)</f>
        <v>526090</v>
      </c>
      <c r="F38" s="198">
        <f t="shared" ref="F38" si="122">SUM(F39:F48)</f>
        <v>728535</v>
      </c>
      <c r="G38" s="198">
        <f t="shared" ref="G38" si="123">SUM(G39:G48)</f>
        <v>735605</v>
      </c>
      <c r="H38" s="198">
        <f t="shared" ref="H38" si="124">SUM(H39:H48)</f>
        <v>950055</v>
      </c>
      <c r="I38" s="200">
        <f t="shared" ref="I38" si="125">SUM(I39:I48)</f>
        <v>630499</v>
      </c>
      <c r="J38" s="198">
        <f t="shared" ref="J38" si="126">SUM(J39:J48)</f>
        <v>1018759</v>
      </c>
      <c r="K38" s="198">
        <f t="shared" ref="K38" si="127">SUM(K39:K48)</f>
        <v>734949</v>
      </c>
      <c r="L38" s="198">
        <f t="shared" ref="L38" si="128">SUM(L39:L48)</f>
        <v>786843</v>
      </c>
      <c r="M38" s="200">
        <f t="shared" ref="M38" si="129">SUM(M39:M48)</f>
        <v>774861</v>
      </c>
      <c r="N38" s="198">
        <f t="shared" ref="N38" si="130">SUM(N39:N48)</f>
        <v>873036</v>
      </c>
      <c r="O38" s="198">
        <f t="shared" ref="O38" si="131">SUM(O39:O48)</f>
        <v>715977</v>
      </c>
      <c r="P38" s="198">
        <f t="shared" ref="P38" si="132">SUM(P39:P48)</f>
        <v>717171</v>
      </c>
      <c r="Q38" s="200">
        <f t="shared" ref="Q38" si="133">SUM(Q39:Q48)</f>
        <v>845983</v>
      </c>
      <c r="R38" s="198">
        <f t="shared" ref="R38" si="134">SUM(R39:R48)</f>
        <v>821761</v>
      </c>
      <c r="S38" s="198">
        <f t="shared" ref="S38" si="135">SUM(S39:S48)</f>
        <v>656021</v>
      </c>
      <c r="T38" s="198">
        <f t="shared" ref="T38" si="136">SUM(T39:T48)</f>
        <v>801999</v>
      </c>
      <c r="U38" s="200">
        <v>884841</v>
      </c>
      <c r="V38" s="198">
        <f t="shared" ref="V38:W38" si="137">SUM(V39:V48)</f>
        <v>476919</v>
      </c>
      <c r="W38" s="198">
        <f t="shared" si="137"/>
        <v>432377.00000000012</v>
      </c>
      <c r="X38" s="198">
        <f>SUM(X39:X48)</f>
        <v>529926.61975000007</v>
      </c>
      <c r="Y38" s="200">
        <f t="shared" ref="Y38:AD38" si="138">SUM(Y39:Y48)</f>
        <v>634178</v>
      </c>
      <c r="Z38" s="198">
        <f t="shared" si="138"/>
        <v>618509</v>
      </c>
      <c r="AA38" s="198">
        <f t="shared" si="138"/>
        <v>621499</v>
      </c>
      <c r="AB38" s="198">
        <f t="shared" si="138"/>
        <v>537947</v>
      </c>
      <c r="AC38" s="200">
        <f t="shared" si="138"/>
        <v>419631</v>
      </c>
      <c r="AD38" s="198">
        <f t="shared" si="138"/>
        <v>408760</v>
      </c>
      <c r="AE38" s="198">
        <f t="shared" ref="AE38:AI38" si="139">SUM(AE39:AE48)</f>
        <v>458139</v>
      </c>
      <c r="AF38" s="198">
        <f t="shared" si="139"/>
        <v>724371</v>
      </c>
      <c r="AG38" s="200">
        <f t="shared" si="139"/>
        <v>620502</v>
      </c>
      <c r="AH38" s="198">
        <f t="shared" si="139"/>
        <v>539102</v>
      </c>
      <c r="AI38" s="198">
        <f t="shared" si="139"/>
        <v>522325</v>
      </c>
      <c r="AJ38" s="198">
        <v>584311</v>
      </c>
      <c r="AK38" s="200">
        <v>535036</v>
      </c>
      <c r="AL38" s="198">
        <v>620225</v>
      </c>
      <c r="AM38" s="198">
        <v>390258</v>
      </c>
      <c r="AN38" s="198">
        <v>364745</v>
      </c>
      <c r="AO38" s="200">
        <v>428544</v>
      </c>
      <c r="AP38" s="198">
        <v>375429</v>
      </c>
      <c r="AQ38" s="198">
        <v>408695</v>
      </c>
      <c r="AR38" s="198">
        <v>405779</v>
      </c>
      <c r="AS38" s="200">
        <v>293480</v>
      </c>
      <c r="AT38" s="200">
        <v>286026</v>
      </c>
      <c r="AU38" s="200">
        <v>248007</v>
      </c>
    </row>
    <row r="39" spans="1:47" ht="15" thickTop="1">
      <c r="B39" s="221" t="s">
        <v>213</v>
      </c>
      <c r="C39" s="193">
        <v>95382</v>
      </c>
      <c r="D39" s="193">
        <v>112381</v>
      </c>
      <c r="E39" s="195">
        <v>104441</v>
      </c>
      <c r="F39" s="193">
        <v>114051</v>
      </c>
      <c r="G39" s="193">
        <v>121128</v>
      </c>
      <c r="H39" s="193">
        <v>133461</v>
      </c>
      <c r="I39" s="195">
        <v>126494</v>
      </c>
      <c r="J39" s="193">
        <v>121494</v>
      </c>
      <c r="K39" s="193">
        <v>75446</v>
      </c>
      <c r="L39" s="193">
        <v>88691</v>
      </c>
      <c r="M39" s="195">
        <v>65272</v>
      </c>
      <c r="N39" s="193">
        <v>69293</v>
      </c>
      <c r="O39" s="193">
        <v>55607</v>
      </c>
      <c r="P39" s="193">
        <v>73594</v>
      </c>
      <c r="Q39" s="195">
        <v>58698</v>
      </c>
      <c r="R39" s="193">
        <v>73840</v>
      </c>
      <c r="S39" s="193">
        <v>51092</v>
      </c>
      <c r="T39" s="193">
        <v>55200</v>
      </c>
      <c r="U39" s="195">
        <v>68822</v>
      </c>
      <c r="V39" s="193">
        <v>43470.689200000001</v>
      </c>
      <c r="W39" s="193">
        <v>50554.689200000001</v>
      </c>
      <c r="X39" s="193">
        <v>39276.619749999998</v>
      </c>
      <c r="Y39" s="195">
        <v>39692</v>
      </c>
      <c r="Z39" s="193">
        <v>28141</v>
      </c>
      <c r="AA39" s="193">
        <v>53418</v>
      </c>
      <c r="AB39" s="193">
        <v>30261</v>
      </c>
      <c r="AC39" s="195">
        <v>31841</v>
      </c>
      <c r="AD39" s="193">
        <v>25184</v>
      </c>
      <c r="AE39" s="193">
        <v>33219</v>
      </c>
      <c r="AF39" s="193">
        <v>30142</v>
      </c>
      <c r="AG39" s="195">
        <v>29899</v>
      </c>
      <c r="AH39" s="193">
        <v>11124</v>
      </c>
      <c r="AI39" s="193">
        <v>26625</v>
      </c>
      <c r="AJ39" s="193">
        <v>23458</v>
      </c>
      <c r="AK39" s="195">
        <v>34714</v>
      </c>
      <c r="AL39" s="193">
        <v>31128</v>
      </c>
      <c r="AM39" s="193">
        <v>26634</v>
      </c>
      <c r="AN39" s="193">
        <v>25084</v>
      </c>
      <c r="AO39" s="195">
        <v>35855</v>
      </c>
      <c r="AP39" s="193">
        <v>23206</v>
      </c>
      <c r="AQ39" s="193">
        <v>23505</v>
      </c>
      <c r="AR39" s="193">
        <v>23175</v>
      </c>
      <c r="AS39" s="195">
        <v>24103</v>
      </c>
      <c r="AT39" s="195">
        <v>18711</v>
      </c>
      <c r="AU39" s="195">
        <v>18214</v>
      </c>
    </row>
    <row r="40" spans="1:47">
      <c r="B40" s="220" t="s">
        <v>214</v>
      </c>
      <c r="C40" s="193">
        <f>130629+151389</f>
        <v>282018</v>
      </c>
      <c r="D40" s="193">
        <v>211772</v>
      </c>
      <c r="E40" s="195">
        <v>175915</v>
      </c>
      <c r="F40" s="193">
        <v>407099</v>
      </c>
      <c r="G40" s="193">
        <v>362354</v>
      </c>
      <c r="H40" s="193">
        <v>341194</v>
      </c>
      <c r="I40" s="195">
        <v>283334</v>
      </c>
      <c r="J40" s="193">
        <v>654521</v>
      </c>
      <c r="K40" s="193">
        <v>416396</v>
      </c>
      <c r="L40" s="193">
        <v>459827</v>
      </c>
      <c r="M40" s="195">
        <v>404151</v>
      </c>
      <c r="N40" s="193">
        <v>501444</v>
      </c>
      <c r="O40" s="193">
        <v>340535</v>
      </c>
      <c r="P40" s="193">
        <v>241340</v>
      </c>
      <c r="Q40" s="195">
        <v>168988</v>
      </c>
      <c r="R40" s="193">
        <v>210964</v>
      </c>
      <c r="S40" s="193">
        <v>169220</v>
      </c>
      <c r="T40" s="193">
        <v>127301</v>
      </c>
      <c r="U40" s="195">
        <v>151226</v>
      </c>
      <c r="V40" s="193">
        <v>131717</v>
      </c>
      <c r="W40" s="193">
        <v>118676</v>
      </c>
      <c r="X40" s="193">
        <v>248329</v>
      </c>
      <c r="Y40" s="195">
        <v>325894</v>
      </c>
      <c r="Z40" s="193">
        <v>333065</v>
      </c>
      <c r="AA40" s="193">
        <v>342405</v>
      </c>
      <c r="AB40" s="193">
        <v>279597</v>
      </c>
      <c r="AC40" s="195">
        <v>151547</v>
      </c>
      <c r="AD40" s="193">
        <v>196065</v>
      </c>
      <c r="AE40" s="193">
        <v>227966</v>
      </c>
      <c r="AF40" s="193">
        <v>457386</v>
      </c>
      <c r="AG40" s="195">
        <v>340159</v>
      </c>
      <c r="AH40" s="193">
        <v>305620</v>
      </c>
      <c r="AI40" s="193">
        <v>285372</v>
      </c>
      <c r="AJ40" s="193">
        <v>265604</v>
      </c>
      <c r="AK40" s="195">
        <v>239403</v>
      </c>
      <c r="AL40" s="193">
        <v>254944</v>
      </c>
      <c r="AM40" s="193">
        <v>190582</v>
      </c>
      <c r="AN40" s="193">
        <v>133393</v>
      </c>
      <c r="AO40" s="195">
        <v>206320</v>
      </c>
      <c r="AP40" s="193">
        <v>202025</v>
      </c>
      <c r="AQ40" s="193">
        <v>253830</v>
      </c>
      <c r="AR40" s="193">
        <v>224432</v>
      </c>
      <c r="AS40" s="195">
        <v>129908</v>
      </c>
      <c r="AT40" s="195">
        <v>182505</v>
      </c>
      <c r="AU40" s="195">
        <v>149482</v>
      </c>
    </row>
    <row r="41" spans="1:47">
      <c r="B41" s="220" t="s">
        <v>408</v>
      </c>
      <c r="C41" s="193">
        <v>2212</v>
      </c>
      <c r="D41" s="193">
        <v>2035</v>
      </c>
      <c r="E41" s="195">
        <v>1967</v>
      </c>
      <c r="F41" s="193">
        <v>1854</v>
      </c>
      <c r="G41" s="193">
        <v>1792</v>
      </c>
      <c r="H41" s="193">
        <v>1732</v>
      </c>
      <c r="I41" s="195">
        <v>1655</v>
      </c>
      <c r="J41" s="193">
        <v>1650</v>
      </c>
      <c r="K41" s="193">
        <v>1243</v>
      </c>
      <c r="L41" s="193">
        <v>1200</v>
      </c>
      <c r="M41" s="195">
        <v>948</v>
      </c>
      <c r="N41" s="193">
        <v>0</v>
      </c>
      <c r="O41" s="193">
        <v>0</v>
      </c>
      <c r="P41" s="193">
        <v>0</v>
      </c>
      <c r="Q41" s="195">
        <v>0</v>
      </c>
      <c r="R41" s="193">
        <v>0</v>
      </c>
      <c r="S41" s="193">
        <v>0</v>
      </c>
      <c r="T41" s="193">
        <v>0</v>
      </c>
      <c r="U41" s="195">
        <v>0</v>
      </c>
      <c r="V41" s="193">
        <v>0</v>
      </c>
      <c r="W41" s="193">
        <v>0</v>
      </c>
      <c r="X41" s="193">
        <v>0</v>
      </c>
      <c r="Y41" s="195">
        <v>0</v>
      </c>
      <c r="Z41" s="193">
        <v>0</v>
      </c>
      <c r="AA41" s="193">
        <v>0</v>
      </c>
      <c r="AB41" s="193">
        <v>0</v>
      </c>
      <c r="AC41" s="195">
        <v>0</v>
      </c>
      <c r="AD41" s="193">
        <v>0</v>
      </c>
      <c r="AE41" s="193">
        <v>0</v>
      </c>
      <c r="AF41" s="193">
        <v>0</v>
      </c>
      <c r="AG41" s="195">
        <v>0</v>
      </c>
      <c r="AH41" s="193">
        <v>0</v>
      </c>
      <c r="AI41" s="193">
        <v>0</v>
      </c>
      <c r="AJ41" s="193">
        <v>0</v>
      </c>
      <c r="AK41" s="195">
        <v>0</v>
      </c>
      <c r="AL41" s="193">
        <v>0</v>
      </c>
      <c r="AM41" s="193">
        <v>0</v>
      </c>
      <c r="AN41" s="193">
        <v>0</v>
      </c>
      <c r="AO41" s="195">
        <v>0</v>
      </c>
      <c r="AP41" s="184"/>
      <c r="AQ41" s="184"/>
      <c r="AR41" s="184"/>
      <c r="AS41" s="184"/>
      <c r="AT41" s="184"/>
      <c r="AU41" s="184"/>
    </row>
    <row r="42" spans="1:47">
      <c r="B42" s="220" t="s">
        <v>215</v>
      </c>
      <c r="C42" s="193">
        <v>43396</v>
      </c>
      <c r="D42" s="193">
        <v>71035</v>
      </c>
      <c r="E42" s="195">
        <v>68441</v>
      </c>
      <c r="F42" s="193">
        <v>53370</v>
      </c>
      <c r="G42" s="193">
        <v>41096</v>
      </c>
      <c r="H42" s="193">
        <v>36552</v>
      </c>
      <c r="I42" s="195">
        <v>63268</v>
      </c>
      <c r="J42" s="193">
        <v>48422</v>
      </c>
      <c r="K42" s="193">
        <v>39133</v>
      </c>
      <c r="L42" s="193">
        <v>32418</v>
      </c>
      <c r="M42" s="195">
        <v>54524</v>
      </c>
      <c r="N42" s="193">
        <v>45937</v>
      </c>
      <c r="O42" s="193">
        <v>39825</v>
      </c>
      <c r="P42" s="193">
        <v>32900</v>
      </c>
      <c r="Q42" s="195">
        <v>55211</v>
      </c>
      <c r="R42" s="193">
        <v>52147</v>
      </c>
      <c r="S42" s="193">
        <v>39762</v>
      </c>
      <c r="T42" s="193">
        <v>30923</v>
      </c>
      <c r="U42" s="195">
        <v>52550</v>
      </c>
      <c r="V42" s="193">
        <v>39465</v>
      </c>
      <c r="W42" s="193">
        <v>29121</v>
      </c>
      <c r="X42" s="193">
        <v>23472</v>
      </c>
      <c r="Y42" s="195">
        <v>36951</v>
      </c>
      <c r="Z42" s="193">
        <v>33953</v>
      </c>
      <c r="AA42" s="193">
        <v>29554</v>
      </c>
      <c r="AB42" s="193">
        <v>21894</v>
      </c>
      <c r="AC42" s="195">
        <v>18161</v>
      </c>
      <c r="AD42" s="193">
        <v>21001</v>
      </c>
      <c r="AE42" s="193">
        <v>18156</v>
      </c>
      <c r="AF42" s="193">
        <v>35057</v>
      </c>
      <c r="AG42" s="195">
        <v>37164</v>
      </c>
      <c r="AH42" s="193">
        <v>28501</v>
      </c>
      <c r="AI42" s="193">
        <v>23203</v>
      </c>
      <c r="AJ42" s="193">
        <v>33822</v>
      </c>
      <c r="AK42" s="195">
        <v>29606</v>
      </c>
      <c r="AL42" s="193">
        <v>26495</v>
      </c>
      <c r="AM42" s="193">
        <v>21783</v>
      </c>
      <c r="AN42" s="193">
        <v>31851</v>
      </c>
      <c r="AO42" s="195">
        <v>28759</v>
      </c>
      <c r="AP42" s="193">
        <v>28622</v>
      </c>
      <c r="AQ42" s="193">
        <v>23157</v>
      </c>
      <c r="AR42" s="193">
        <v>34834</v>
      </c>
      <c r="AS42" s="195">
        <v>26763</v>
      </c>
      <c r="AT42" s="195">
        <v>24593</v>
      </c>
      <c r="AU42" s="195">
        <v>17383</v>
      </c>
    </row>
    <row r="43" spans="1:47">
      <c r="B43" s="220" t="s">
        <v>216</v>
      </c>
      <c r="C43" s="193">
        <v>27324</v>
      </c>
      <c r="D43" s="193">
        <f>2727+7704</f>
        <v>10431</v>
      </c>
      <c r="E43" s="195">
        <f>2860+11966</f>
        <v>14826</v>
      </c>
      <c r="F43" s="193">
        <v>15696</v>
      </c>
      <c r="G43" s="193">
        <v>72447</v>
      </c>
      <c r="H43" s="193">
        <v>58565</v>
      </c>
      <c r="I43" s="195">
        <v>32372</v>
      </c>
      <c r="J43" s="193">
        <v>46166</v>
      </c>
      <c r="K43" s="193">
        <v>49041</v>
      </c>
      <c r="L43" s="193">
        <v>32730</v>
      </c>
      <c r="M43" s="195">
        <v>77434</v>
      </c>
      <c r="N43" s="193">
        <v>108521</v>
      </c>
      <c r="O43" s="193">
        <v>118499</v>
      </c>
      <c r="P43" s="193">
        <v>107942</v>
      </c>
      <c r="Q43" s="195">
        <v>306115</v>
      </c>
      <c r="R43" s="193">
        <v>281528</v>
      </c>
      <c r="S43" s="193">
        <v>202987</v>
      </c>
      <c r="T43" s="193">
        <v>136952</v>
      </c>
      <c r="U43" s="195">
        <v>137775</v>
      </c>
      <c r="V43" s="193">
        <v>101887</v>
      </c>
      <c r="W43" s="193">
        <v>79502</v>
      </c>
      <c r="X43" s="193">
        <v>54670</v>
      </c>
      <c r="Y43" s="195">
        <v>74676</v>
      </c>
      <c r="Z43" s="193">
        <v>82398</v>
      </c>
      <c r="AA43" s="193">
        <v>62626</v>
      </c>
      <c r="AB43" s="193">
        <v>34203</v>
      </c>
      <c r="AC43" s="195">
        <v>49355</v>
      </c>
      <c r="AD43" s="193">
        <f>15485+28460</f>
        <v>43945</v>
      </c>
      <c r="AE43" s="193">
        <v>39218</v>
      </c>
      <c r="AF43" s="193">
        <v>40869</v>
      </c>
      <c r="AG43" s="195">
        <f>52559+16497</f>
        <v>69056</v>
      </c>
      <c r="AH43" s="193">
        <v>63760</v>
      </c>
      <c r="AI43" s="193">
        <v>57509</v>
      </c>
      <c r="AJ43" s="193">
        <v>44115</v>
      </c>
      <c r="AK43" s="195">
        <v>18018</v>
      </c>
      <c r="AL43" s="193">
        <v>27023</v>
      </c>
      <c r="AM43" s="193">
        <v>29899</v>
      </c>
      <c r="AN43" s="193">
        <v>30889</v>
      </c>
      <c r="AO43" s="195">
        <v>23728</v>
      </c>
      <c r="AP43" s="193">
        <v>23247</v>
      </c>
      <c r="AQ43" s="193">
        <v>21555</v>
      </c>
      <c r="AR43" s="193">
        <v>25248</v>
      </c>
      <c r="AS43" s="195">
        <v>30872</v>
      </c>
      <c r="AT43" s="195">
        <v>12477</v>
      </c>
      <c r="AU43" s="195">
        <v>10764</v>
      </c>
    </row>
    <row r="44" spans="1:47">
      <c r="B44" s="220" t="s">
        <v>217</v>
      </c>
      <c r="C44" s="193">
        <v>0</v>
      </c>
      <c r="D44" s="193">
        <v>48766</v>
      </c>
      <c r="E44" s="195">
        <v>48777</v>
      </c>
      <c r="F44" s="193">
        <v>0</v>
      </c>
      <c r="G44" s="193">
        <v>0</v>
      </c>
      <c r="H44" s="193">
        <v>0</v>
      </c>
      <c r="I44" s="195">
        <v>0</v>
      </c>
      <c r="J44" s="193">
        <v>0</v>
      </c>
      <c r="K44" s="193">
        <v>0</v>
      </c>
      <c r="L44" s="193">
        <v>0</v>
      </c>
      <c r="M44" s="195">
        <v>0</v>
      </c>
      <c r="N44" s="193">
        <v>0</v>
      </c>
      <c r="O44" s="193">
        <v>0</v>
      </c>
      <c r="P44" s="193">
        <v>0</v>
      </c>
      <c r="Q44" s="195">
        <v>0</v>
      </c>
      <c r="R44" s="193">
        <v>0</v>
      </c>
      <c r="S44" s="193">
        <v>0</v>
      </c>
      <c r="T44" s="193">
        <v>0</v>
      </c>
      <c r="U44" s="195">
        <v>0</v>
      </c>
      <c r="V44" s="193"/>
      <c r="W44" s="193">
        <v>0</v>
      </c>
      <c r="X44" s="193">
        <v>0</v>
      </c>
      <c r="Y44" s="195">
        <v>0</v>
      </c>
      <c r="Z44" s="193">
        <v>0</v>
      </c>
      <c r="AA44" s="193">
        <v>0</v>
      </c>
      <c r="AB44" s="193">
        <v>0</v>
      </c>
      <c r="AC44" s="195">
        <v>0</v>
      </c>
      <c r="AD44" s="193">
        <v>13240</v>
      </c>
      <c r="AE44" s="193">
        <v>0</v>
      </c>
      <c r="AF44" s="193">
        <v>0</v>
      </c>
      <c r="AG44" s="195">
        <v>38720</v>
      </c>
      <c r="AH44" s="193">
        <v>10569</v>
      </c>
      <c r="AI44" s="193">
        <v>0</v>
      </c>
      <c r="AJ44" s="193">
        <v>100042</v>
      </c>
      <c r="AK44" s="195">
        <v>100148</v>
      </c>
      <c r="AL44" s="193">
        <v>107458</v>
      </c>
      <c r="AM44" s="193">
        <v>4404</v>
      </c>
      <c r="AN44" s="193">
        <v>33961</v>
      </c>
      <c r="AO44" s="195">
        <v>33962</v>
      </c>
      <c r="AP44" s="193">
        <v>2786</v>
      </c>
      <c r="AQ44" s="193">
        <v>2789</v>
      </c>
      <c r="AR44" s="193">
        <v>26825</v>
      </c>
      <c r="AS44" s="195">
        <v>26826</v>
      </c>
      <c r="AT44" s="195">
        <v>20483</v>
      </c>
      <c r="AU44" s="195">
        <v>16091</v>
      </c>
    </row>
    <row r="45" spans="1:47">
      <c r="B45" s="220" t="s">
        <v>218</v>
      </c>
      <c r="C45" s="193">
        <v>0</v>
      </c>
      <c r="D45" s="193">
        <v>1400</v>
      </c>
      <c r="E45" s="195">
        <v>1368</v>
      </c>
      <c r="F45" s="193">
        <v>0</v>
      </c>
      <c r="G45" s="193">
        <v>0</v>
      </c>
      <c r="H45" s="193">
        <v>0</v>
      </c>
      <c r="I45" s="195">
        <v>0</v>
      </c>
      <c r="J45" s="193">
        <v>0</v>
      </c>
      <c r="K45" s="193">
        <v>0</v>
      </c>
      <c r="L45" s="193">
        <v>0</v>
      </c>
      <c r="M45" s="195">
        <v>0</v>
      </c>
      <c r="N45" s="193">
        <v>0</v>
      </c>
      <c r="O45" s="193">
        <v>0</v>
      </c>
      <c r="P45" s="193">
        <v>0</v>
      </c>
      <c r="Q45" s="195">
        <v>0</v>
      </c>
      <c r="R45" s="193">
        <v>0</v>
      </c>
      <c r="S45" s="193">
        <v>0</v>
      </c>
      <c r="T45" s="193">
        <v>0</v>
      </c>
      <c r="U45" s="195">
        <v>0</v>
      </c>
      <c r="V45" s="193"/>
      <c r="W45" s="193">
        <v>0</v>
      </c>
      <c r="X45" s="193">
        <v>0</v>
      </c>
      <c r="Y45" s="195">
        <v>0</v>
      </c>
      <c r="Z45" s="193">
        <v>0</v>
      </c>
      <c r="AA45" s="193">
        <v>0</v>
      </c>
      <c r="AB45" s="193">
        <v>0</v>
      </c>
      <c r="AC45" s="195">
        <v>0</v>
      </c>
      <c r="AD45" s="193">
        <v>0</v>
      </c>
      <c r="AE45" s="193">
        <v>0</v>
      </c>
      <c r="AF45" s="193">
        <v>0</v>
      </c>
      <c r="AG45" s="195">
        <v>0</v>
      </c>
      <c r="AH45" s="193">
        <v>0</v>
      </c>
      <c r="AI45" s="193">
        <v>0</v>
      </c>
      <c r="AJ45" s="193">
        <v>0</v>
      </c>
      <c r="AK45" s="195">
        <v>0</v>
      </c>
      <c r="AL45" s="193">
        <v>3615</v>
      </c>
      <c r="AM45" s="193">
        <v>7210</v>
      </c>
      <c r="AN45" s="193">
        <v>7145</v>
      </c>
      <c r="AO45" s="195">
        <v>7072</v>
      </c>
      <c r="AP45" s="193">
        <v>5300</v>
      </c>
      <c r="AQ45" s="193">
        <v>5238</v>
      </c>
      <c r="AR45" s="193">
        <v>3405</v>
      </c>
      <c r="AS45" s="195">
        <v>3368</v>
      </c>
      <c r="AT45" s="195">
        <v>3227</v>
      </c>
      <c r="AU45" s="195">
        <v>3109</v>
      </c>
    </row>
    <row r="46" spans="1:47">
      <c r="B46" s="220" t="s">
        <v>219</v>
      </c>
      <c r="C46" s="193">
        <v>0</v>
      </c>
      <c r="D46" s="193">
        <v>303</v>
      </c>
      <c r="E46" s="195">
        <v>7148</v>
      </c>
      <c r="F46" s="193">
        <v>0</v>
      </c>
      <c r="G46" s="193">
        <v>0</v>
      </c>
      <c r="H46" s="193">
        <v>0</v>
      </c>
      <c r="I46" s="195">
        <v>0</v>
      </c>
      <c r="J46" s="193">
        <v>0</v>
      </c>
      <c r="K46" s="193">
        <v>0</v>
      </c>
      <c r="L46" s="193">
        <v>0</v>
      </c>
      <c r="M46" s="195">
        <v>0</v>
      </c>
      <c r="N46" s="193">
        <v>0</v>
      </c>
      <c r="O46" s="193">
        <v>0</v>
      </c>
      <c r="P46" s="193">
        <v>0</v>
      </c>
      <c r="Q46" s="195">
        <v>0</v>
      </c>
      <c r="R46" s="193">
        <v>0</v>
      </c>
      <c r="S46" s="193">
        <v>0</v>
      </c>
      <c r="T46" s="193">
        <v>0</v>
      </c>
      <c r="U46" s="195">
        <v>0</v>
      </c>
      <c r="V46" s="193"/>
      <c r="W46" s="193">
        <v>0</v>
      </c>
      <c r="X46" s="193">
        <v>0</v>
      </c>
      <c r="Y46" s="195">
        <v>0</v>
      </c>
      <c r="Z46" s="193">
        <v>0</v>
      </c>
      <c r="AA46" s="193">
        <v>0</v>
      </c>
      <c r="AB46" s="193">
        <v>0</v>
      </c>
      <c r="AC46" s="195">
        <v>0</v>
      </c>
      <c r="AD46" s="193">
        <v>98473</v>
      </c>
      <c r="AE46" s="193">
        <v>0</v>
      </c>
      <c r="AF46" s="193">
        <v>0</v>
      </c>
      <c r="AG46" s="195">
        <v>92564</v>
      </c>
      <c r="AH46" s="193">
        <v>107983</v>
      </c>
      <c r="AI46" s="193">
        <v>108919</v>
      </c>
      <c r="AJ46" s="193">
        <v>108487</v>
      </c>
      <c r="AK46" s="195">
        <v>107322</v>
      </c>
      <c r="AL46" s="193">
        <v>106191</v>
      </c>
      <c r="AM46" s="193">
        <v>98845</v>
      </c>
      <c r="AN46" s="193">
        <v>92887</v>
      </c>
      <c r="AO46" s="195">
        <v>83962</v>
      </c>
      <c r="AP46" s="193">
        <v>76727</v>
      </c>
      <c r="AQ46" s="193">
        <v>66436</v>
      </c>
      <c r="AR46" s="193">
        <v>55663</v>
      </c>
      <c r="AS46" s="195">
        <v>41173</v>
      </c>
      <c r="AT46" s="195">
        <v>12641</v>
      </c>
      <c r="AU46" s="195">
        <v>11133</v>
      </c>
    </row>
    <row r="47" spans="1:47">
      <c r="B47" s="220" t="s">
        <v>334</v>
      </c>
      <c r="C47" s="193">
        <v>5714</v>
      </c>
      <c r="D47" s="193">
        <v>3769</v>
      </c>
      <c r="E47" s="195">
        <v>3154</v>
      </c>
      <c r="F47" s="193">
        <v>4153</v>
      </c>
      <c r="G47" s="193">
        <v>3791</v>
      </c>
      <c r="H47" s="193">
        <v>2457</v>
      </c>
      <c r="I47" s="195">
        <v>1435</v>
      </c>
      <c r="J47" s="193">
        <v>1967</v>
      </c>
      <c r="K47" s="193">
        <v>1723</v>
      </c>
      <c r="L47" s="193">
        <v>2041</v>
      </c>
      <c r="M47" s="195">
        <v>1803</v>
      </c>
      <c r="N47" s="193">
        <v>1575</v>
      </c>
      <c r="O47" s="193">
        <v>1501</v>
      </c>
      <c r="P47" s="193">
        <v>1385</v>
      </c>
      <c r="Q47" s="195">
        <v>1565</v>
      </c>
      <c r="R47" s="193">
        <v>1415</v>
      </c>
      <c r="S47" s="193">
        <v>2105</v>
      </c>
      <c r="T47" s="193">
        <v>1744</v>
      </c>
      <c r="U47" s="195">
        <v>1699</v>
      </c>
      <c r="V47" s="193">
        <v>1786</v>
      </c>
      <c r="W47" s="193">
        <v>1976</v>
      </c>
      <c r="X47" s="193">
        <v>7637</v>
      </c>
      <c r="Y47" s="195">
        <v>2831</v>
      </c>
      <c r="Z47" s="193">
        <v>0</v>
      </c>
      <c r="AA47" s="193">
        <v>0</v>
      </c>
      <c r="AB47" s="193">
        <v>0</v>
      </c>
      <c r="AC47" s="195">
        <v>0</v>
      </c>
      <c r="AD47" s="193">
        <v>0</v>
      </c>
      <c r="AE47" s="193">
        <v>0</v>
      </c>
      <c r="AF47" s="193">
        <v>0</v>
      </c>
      <c r="AG47" s="195">
        <v>0</v>
      </c>
      <c r="AH47" s="193">
        <v>0</v>
      </c>
      <c r="AI47" s="193">
        <v>0</v>
      </c>
      <c r="AJ47" s="193">
        <v>0</v>
      </c>
      <c r="AK47" s="195">
        <v>0</v>
      </c>
      <c r="AL47" s="193">
        <v>0</v>
      </c>
      <c r="AM47" s="193">
        <v>0</v>
      </c>
      <c r="AN47" s="193">
        <v>0</v>
      </c>
      <c r="AO47" s="195">
        <v>0</v>
      </c>
      <c r="AP47" s="193">
        <v>0</v>
      </c>
      <c r="AQ47" s="193">
        <v>0</v>
      </c>
      <c r="AR47" s="193">
        <v>0</v>
      </c>
      <c r="AS47" s="195">
        <v>0</v>
      </c>
      <c r="AT47" s="195">
        <v>0</v>
      </c>
      <c r="AU47" s="195">
        <v>0</v>
      </c>
    </row>
    <row r="48" spans="1:47">
      <c r="B48" s="220" t="s">
        <v>220</v>
      </c>
      <c r="C48" s="193">
        <v>138297</v>
      </c>
      <c r="D48" s="193">
        <v>100824</v>
      </c>
      <c r="E48" s="195">
        <v>100053</v>
      </c>
      <c r="F48" s="193">
        <v>132312</v>
      </c>
      <c r="G48" s="193">
        <v>132997</v>
      </c>
      <c r="H48" s="193">
        <v>376094</v>
      </c>
      <c r="I48" s="195">
        <v>121941</v>
      </c>
      <c r="J48" s="193">
        <v>144539</v>
      </c>
      <c r="K48" s="193">
        <v>151967</v>
      </c>
      <c r="L48" s="193">
        <v>169936</v>
      </c>
      <c r="M48" s="195">
        <v>170729</v>
      </c>
      <c r="N48" s="193">
        <v>146266</v>
      </c>
      <c r="O48" s="193">
        <v>160010</v>
      </c>
      <c r="P48" s="193">
        <v>260010</v>
      </c>
      <c r="Q48" s="195">
        <v>255406</v>
      </c>
      <c r="R48" s="193">
        <v>201867</v>
      </c>
      <c r="S48" s="193">
        <v>190855</v>
      </c>
      <c r="T48" s="193">
        <v>449879</v>
      </c>
      <c r="U48" s="195">
        <v>472769</v>
      </c>
      <c r="V48" s="193">
        <v>158593.31080000001</v>
      </c>
      <c r="W48" s="193">
        <v>152547.31080000009</v>
      </c>
      <c r="X48" s="193">
        <v>156542</v>
      </c>
      <c r="Y48" s="195">
        <v>154134</v>
      </c>
      <c r="Z48" s="193">
        <v>140952</v>
      </c>
      <c r="AA48" s="193">
        <v>133496</v>
      </c>
      <c r="AB48" s="193">
        <v>171992</v>
      </c>
      <c r="AC48" s="195">
        <v>168727</v>
      </c>
      <c r="AD48" s="193">
        <v>10852</v>
      </c>
      <c r="AE48" s="193">
        <v>139580</v>
      </c>
      <c r="AF48" s="193">
        <v>160917</v>
      </c>
      <c r="AG48" s="195">
        <v>12940</v>
      </c>
      <c r="AH48" s="193">
        <v>11545</v>
      </c>
      <c r="AI48" s="193">
        <f>129616-AI46</f>
        <v>20697</v>
      </c>
      <c r="AJ48" s="193">
        <v>8783</v>
      </c>
      <c r="AK48" s="195">
        <v>5825</v>
      </c>
      <c r="AL48" s="193">
        <v>63371</v>
      </c>
      <c r="AM48" s="193">
        <v>10901</v>
      </c>
      <c r="AN48" s="193">
        <v>9535</v>
      </c>
      <c r="AO48" s="195">
        <v>8886</v>
      </c>
      <c r="AP48" s="193">
        <v>13516</v>
      </c>
      <c r="AQ48" s="193">
        <v>12185</v>
      </c>
      <c r="AR48" s="193">
        <v>12197</v>
      </c>
      <c r="AS48" s="195">
        <v>10467</v>
      </c>
      <c r="AT48" s="195">
        <v>11389</v>
      </c>
      <c r="AU48" s="195">
        <v>21831</v>
      </c>
    </row>
    <row r="49" spans="1:47" ht="15.75" thickBot="1">
      <c r="A49" s="196"/>
      <c r="B49" s="219" t="s">
        <v>221</v>
      </c>
      <c r="C49" s="198">
        <f t="shared" ref="C49" si="140">SUM(C50:C56)</f>
        <v>5472302</v>
      </c>
      <c r="D49" s="198">
        <f t="shared" ref="D49" si="141">SUM(D50:D56)</f>
        <v>5422439</v>
      </c>
      <c r="E49" s="200">
        <f t="shared" ref="E49" si="142">SUM(E50:E56)</f>
        <v>5380850</v>
      </c>
      <c r="F49" s="198">
        <f t="shared" ref="F49" si="143">SUM(F50:F56)</f>
        <v>4301010</v>
      </c>
      <c r="G49" s="198">
        <f t="shared" ref="G49" si="144">SUM(G50:G56)</f>
        <v>3762177</v>
      </c>
      <c r="H49" s="198">
        <f t="shared" ref="H49" si="145">SUM(H50:H56)</f>
        <v>3405857</v>
      </c>
      <c r="I49" s="200">
        <f t="shared" ref="I49" si="146">SUM(I50:I56)</f>
        <v>3365983</v>
      </c>
      <c r="J49" s="198">
        <f t="shared" ref="J49" si="147">SUM(J50:J56)</f>
        <v>3421787</v>
      </c>
      <c r="K49" s="198">
        <f t="shared" ref="K49" si="148">SUM(K50:K56)</f>
        <v>3330859</v>
      </c>
      <c r="L49" s="198">
        <f t="shared" ref="L49" si="149">SUM(L50:L56)</f>
        <v>3456728</v>
      </c>
      <c r="M49" s="200">
        <f t="shared" ref="M49" si="150">SUM(M50:M56)</f>
        <v>2925461</v>
      </c>
      <c r="N49" s="198">
        <f t="shared" ref="N49" si="151">SUM(N50:N56)</f>
        <v>2097267</v>
      </c>
      <c r="O49" s="198">
        <f t="shared" ref="O49" si="152">SUM(O50:O56)</f>
        <v>2182417</v>
      </c>
      <c r="P49" s="198">
        <f t="shared" ref="P49" si="153">SUM(P50:P56)</f>
        <v>2387060</v>
      </c>
      <c r="Q49" s="200">
        <f t="shared" ref="Q49" si="154">SUM(Q50:Q56)</f>
        <v>2397213</v>
      </c>
      <c r="R49" s="198">
        <f t="shared" ref="R49" si="155">SUM(R50:R56)</f>
        <v>1683568</v>
      </c>
      <c r="S49" s="198">
        <f t="shared" ref="S49" si="156">SUM(S50:S56)</f>
        <v>1709712</v>
      </c>
      <c r="T49" s="198">
        <f t="shared" ref="T49" si="157">SUM(T50:T56)</f>
        <v>1761955</v>
      </c>
      <c r="U49" s="200">
        <v>1805722</v>
      </c>
      <c r="V49" s="198">
        <f t="shared" ref="V49:W49" si="158">SUM(V50:V56)</f>
        <v>1176439</v>
      </c>
      <c r="W49" s="198">
        <f t="shared" si="158"/>
        <v>936560</v>
      </c>
      <c r="X49" s="198">
        <f t="shared" ref="X49:AA49" si="159">SUM(X50:X56)</f>
        <v>574704</v>
      </c>
      <c r="Y49" s="200">
        <f t="shared" si="159"/>
        <v>644608</v>
      </c>
      <c r="Z49" s="198">
        <f t="shared" si="159"/>
        <v>672885</v>
      </c>
      <c r="AA49" s="198">
        <f t="shared" si="159"/>
        <v>674098</v>
      </c>
      <c r="AB49" s="198">
        <f t="shared" ref="AB49" si="160">SUM(AB50:AB56)</f>
        <v>645034</v>
      </c>
      <c r="AC49" s="200">
        <f t="shared" ref="AC49" si="161">SUM(AC50:AC56)</f>
        <v>736190</v>
      </c>
      <c r="AD49" s="198">
        <f t="shared" ref="AD49" si="162">SUM(AD50:AD56)</f>
        <v>748768</v>
      </c>
      <c r="AE49" s="198">
        <f t="shared" ref="AE49:AI49" si="163">SUM(AE50:AE56)</f>
        <v>767933</v>
      </c>
      <c r="AF49" s="198">
        <f t="shared" si="163"/>
        <v>654211</v>
      </c>
      <c r="AG49" s="200">
        <f t="shared" si="163"/>
        <v>783400</v>
      </c>
      <c r="AH49" s="198">
        <f t="shared" si="163"/>
        <v>869073</v>
      </c>
      <c r="AI49" s="198">
        <f t="shared" si="163"/>
        <v>993329</v>
      </c>
      <c r="AJ49" s="198">
        <v>1133916</v>
      </c>
      <c r="AK49" s="200">
        <v>680262</v>
      </c>
      <c r="AL49" s="198">
        <v>673028</v>
      </c>
      <c r="AM49" s="198">
        <v>730558</v>
      </c>
      <c r="AN49" s="198">
        <v>699075</v>
      </c>
      <c r="AO49" s="200">
        <v>653829</v>
      </c>
      <c r="AP49" s="198">
        <v>425707</v>
      </c>
      <c r="AQ49" s="198">
        <v>419032</v>
      </c>
      <c r="AR49" s="198">
        <v>470058</v>
      </c>
      <c r="AS49" s="200">
        <v>544351</v>
      </c>
      <c r="AT49" s="200">
        <v>562675</v>
      </c>
      <c r="AU49" s="200">
        <v>660149</v>
      </c>
    </row>
    <row r="50" spans="1:47" ht="15" thickTop="1">
      <c r="B50" s="220" t="s">
        <v>214</v>
      </c>
      <c r="C50" s="193">
        <f>2539940+2376377</f>
        <v>4916317</v>
      </c>
      <c r="D50" s="193">
        <v>4900897</v>
      </c>
      <c r="E50" s="195">
        <v>4850397</v>
      </c>
      <c r="F50" s="193">
        <v>3776874</v>
      </c>
      <c r="G50" s="193">
        <v>3244586</v>
      </c>
      <c r="H50" s="193">
        <v>2900463</v>
      </c>
      <c r="I50" s="195">
        <v>2857699</v>
      </c>
      <c r="J50" s="193">
        <v>2880375</v>
      </c>
      <c r="K50" s="193">
        <v>2792822</v>
      </c>
      <c r="L50" s="193">
        <v>2906165</v>
      </c>
      <c r="M50" s="195">
        <v>2377999</v>
      </c>
      <c r="N50" s="193">
        <v>1537348</v>
      </c>
      <c r="O50" s="193">
        <v>1630456</v>
      </c>
      <c r="P50" s="193">
        <v>1834820</v>
      </c>
      <c r="Q50" s="195">
        <v>1846461</v>
      </c>
      <c r="R50" s="193">
        <v>1184503</v>
      </c>
      <c r="S50" s="193">
        <v>1202370</v>
      </c>
      <c r="T50" s="193">
        <v>1261523</v>
      </c>
      <c r="U50" s="195">
        <v>1279884</v>
      </c>
      <c r="V50" s="193">
        <v>794765</v>
      </c>
      <c r="W50" s="193">
        <v>598910</v>
      </c>
      <c r="X50" s="193">
        <v>255584</v>
      </c>
      <c r="Y50" s="195">
        <v>331978</v>
      </c>
      <c r="Z50" s="193">
        <v>343682</v>
      </c>
      <c r="AA50" s="193">
        <v>354032</v>
      </c>
      <c r="AB50" s="193">
        <v>368304</v>
      </c>
      <c r="AC50" s="195">
        <v>460000</v>
      </c>
      <c r="AD50" s="193">
        <v>480295</v>
      </c>
      <c r="AE50" s="193">
        <v>496517</v>
      </c>
      <c r="AF50" s="193">
        <v>393813</v>
      </c>
      <c r="AG50" s="195">
        <v>519992</v>
      </c>
      <c r="AH50" s="193">
        <v>604860</v>
      </c>
      <c r="AI50" s="193">
        <v>677494</v>
      </c>
      <c r="AJ50" s="193">
        <v>823055</v>
      </c>
      <c r="AK50" s="195">
        <v>387504</v>
      </c>
      <c r="AL50" s="193">
        <v>338559</v>
      </c>
      <c r="AM50" s="193">
        <v>288862</v>
      </c>
      <c r="AN50" s="193">
        <v>266351</v>
      </c>
      <c r="AO50" s="195">
        <v>268805</v>
      </c>
      <c r="AP50" s="193">
        <v>321213</v>
      </c>
      <c r="AQ50" s="193">
        <v>320173</v>
      </c>
      <c r="AR50" s="193">
        <v>372771</v>
      </c>
      <c r="AS50" s="195">
        <v>455424</v>
      </c>
      <c r="AT50" s="195">
        <v>467698</v>
      </c>
      <c r="AU50" s="195">
        <v>591334</v>
      </c>
    </row>
    <row r="51" spans="1:47">
      <c r="B51" s="220" t="s">
        <v>408</v>
      </c>
      <c r="C51" s="193">
        <v>8026</v>
      </c>
      <c r="D51" s="193">
        <v>8224</v>
      </c>
      <c r="E51" s="195">
        <v>8759</v>
      </c>
      <c r="F51" s="193">
        <v>8971</v>
      </c>
      <c r="G51" s="193">
        <v>9458</v>
      </c>
      <c r="H51" s="193">
        <v>9929</v>
      </c>
      <c r="I51" s="195">
        <v>10308</v>
      </c>
      <c r="J51" s="193">
        <v>10271</v>
      </c>
      <c r="K51" s="193">
        <v>9593</v>
      </c>
      <c r="L51" s="193">
        <v>9928</v>
      </c>
      <c r="M51" s="195">
        <v>9018</v>
      </c>
      <c r="N51" s="193">
        <v>0</v>
      </c>
      <c r="O51" s="193">
        <v>0</v>
      </c>
      <c r="P51" s="193">
        <v>0</v>
      </c>
      <c r="Q51" s="195">
        <v>0</v>
      </c>
      <c r="R51" s="193">
        <v>0</v>
      </c>
      <c r="S51" s="193">
        <v>0</v>
      </c>
      <c r="T51" s="193">
        <v>0</v>
      </c>
      <c r="U51" s="195">
        <v>0</v>
      </c>
      <c r="V51" s="193">
        <v>0</v>
      </c>
      <c r="W51" s="193">
        <v>0</v>
      </c>
      <c r="X51" s="193">
        <v>0</v>
      </c>
      <c r="Y51" s="195">
        <v>0</v>
      </c>
      <c r="Z51" s="193">
        <v>0</v>
      </c>
      <c r="AA51" s="193">
        <v>0</v>
      </c>
      <c r="AB51" s="193">
        <v>0</v>
      </c>
      <c r="AC51" s="195">
        <v>0</v>
      </c>
      <c r="AD51" s="193">
        <v>0</v>
      </c>
      <c r="AE51" s="193">
        <v>0</v>
      </c>
      <c r="AF51" s="193">
        <v>0</v>
      </c>
      <c r="AG51" s="195">
        <v>0</v>
      </c>
      <c r="AH51" s="193">
        <v>0</v>
      </c>
      <c r="AI51" s="193">
        <v>0</v>
      </c>
      <c r="AJ51" s="193">
        <v>0</v>
      </c>
      <c r="AK51" s="195">
        <v>0</v>
      </c>
      <c r="AL51" s="193">
        <v>0</v>
      </c>
      <c r="AM51" s="193">
        <v>0</v>
      </c>
      <c r="AN51" s="193">
        <v>0</v>
      </c>
      <c r="AO51" s="195">
        <v>0</v>
      </c>
      <c r="AP51" s="184"/>
      <c r="AQ51" s="184"/>
      <c r="AR51" s="184"/>
      <c r="AS51" s="184"/>
      <c r="AT51" s="184"/>
      <c r="AU51" s="184"/>
    </row>
    <row r="52" spans="1:47">
      <c r="B52" s="220" t="s">
        <v>222</v>
      </c>
      <c r="C52" s="193">
        <v>480954</v>
      </c>
      <c r="D52" s="193">
        <v>451019</v>
      </c>
      <c r="E52" s="195">
        <v>457161</v>
      </c>
      <c r="F52" s="193">
        <v>462491</v>
      </c>
      <c r="G52" s="193">
        <v>450513</v>
      </c>
      <c r="H52" s="193">
        <v>438680</v>
      </c>
      <c r="I52" s="195">
        <v>441665</v>
      </c>
      <c r="J52" s="193">
        <v>391243</v>
      </c>
      <c r="K52" s="193">
        <v>389245</v>
      </c>
      <c r="L52" s="193">
        <v>397819</v>
      </c>
      <c r="M52" s="195">
        <v>398628</v>
      </c>
      <c r="N52" s="193">
        <v>417729</v>
      </c>
      <c r="O52" s="193">
        <v>416615</v>
      </c>
      <c r="P52" s="193">
        <v>419647</v>
      </c>
      <c r="Q52" s="195">
        <v>417057</v>
      </c>
      <c r="R52" s="193">
        <v>439619</v>
      </c>
      <c r="S52" s="193">
        <v>447227</v>
      </c>
      <c r="T52" s="193">
        <v>445095</v>
      </c>
      <c r="U52" s="195">
        <v>468997</v>
      </c>
      <c r="V52" s="193">
        <v>326147</v>
      </c>
      <c r="W52" s="193">
        <v>286255</v>
      </c>
      <c r="X52" s="193">
        <v>269030</v>
      </c>
      <c r="Y52" s="195">
        <v>261104</v>
      </c>
      <c r="Z52" s="193">
        <v>272259</v>
      </c>
      <c r="AA52" s="193">
        <v>270609</v>
      </c>
      <c r="AB52" s="193">
        <v>252330</v>
      </c>
      <c r="AC52" s="195">
        <v>248179</v>
      </c>
      <c r="AD52" s="193">
        <v>244567</v>
      </c>
      <c r="AE52" s="193">
        <v>244863</v>
      </c>
      <c r="AF52" s="193">
        <v>232507</v>
      </c>
      <c r="AG52" s="195">
        <v>235520</v>
      </c>
      <c r="AH52" s="193">
        <v>244162</v>
      </c>
      <c r="AI52" s="193">
        <v>243426</v>
      </c>
      <c r="AJ52" s="193">
        <v>235592</v>
      </c>
      <c r="AK52" s="195">
        <v>207127</v>
      </c>
      <c r="AL52" s="193">
        <v>254542</v>
      </c>
      <c r="AM52" s="193">
        <v>246927</v>
      </c>
      <c r="AN52" s="193">
        <v>235714</v>
      </c>
      <c r="AO52" s="195">
        <v>178140</v>
      </c>
      <c r="AP52" s="193">
        <v>30394</v>
      </c>
      <c r="AQ52" s="193">
        <v>27754</v>
      </c>
      <c r="AR52" s="193">
        <v>25413</v>
      </c>
      <c r="AS52" s="195">
        <v>24889</v>
      </c>
      <c r="AT52" s="195">
        <v>39980</v>
      </c>
      <c r="AU52" s="195">
        <v>42262</v>
      </c>
    </row>
    <row r="53" spans="1:47">
      <c r="B53" s="220" t="s">
        <v>223</v>
      </c>
      <c r="C53" s="193">
        <v>0</v>
      </c>
      <c r="D53" s="193">
        <v>4419</v>
      </c>
      <c r="E53" s="195">
        <v>4337</v>
      </c>
      <c r="F53" s="193">
        <v>0</v>
      </c>
      <c r="G53" s="193">
        <v>0</v>
      </c>
      <c r="H53" s="193">
        <v>0</v>
      </c>
      <c r="I53" s="195">
        <v>0</v>
      </c>
      <c r="J53" s="193">
        <v>0</v>
      </c>
      <c r="K53" s="193">
        <v>0</v>
      </c>
      <c r="L53" s="193">
        <v>0</v>
      </c>
      <c r="M53" s="195">
        <v>0</v>
      </c>
      <c r="N53" s="193">
        <v>0</v>
      </c>
      <c r="O53" s="193">
        <v>0</v>
      </c>
      <c r="P53" s="193">
        <v>0</v>
      </c>
      <c r="Q53" s="195">
        <v>0</v>
      </c>
      <c r="R53" s="193">
        <v>0</v>
      </c>
      <c r="S53" s="193"/>
      <c r="T53" s="193">
        <v>0</v>
      </c>
      <c r="U53" s="195">
        <v>0</v>
      </c>
      <c r="V53" s="193">
        <v>0</v>
      </c>
      <c r="W53" s="193">
        <v>0</v>
      </c>
      <c r="X53" s="193">
        <v>0</v>
      </c>
      <c r="Y53" s="195">
        <v>0</v>
      </c>
      <c r="Z53" s="193">
        <v>0</v>
      </c>
      <c r="AA53" s="193">
        <v>0</v>
      </c>
      <c r="AB53" s="193">
        <v>0</v>
      </c>
      <c r="AC53" s="195">
        <v>0</v>
      </c>
      <c r="AD53" s="193">
        <f>3015+3207</f>
        <v>6222</v>
      </c>
      <c r="AE53" s="193">
        <v>0</v>
      </c>
      <c r="AF53" s="193">
        <v>0</v>
      </c>
      <c r="AG53" s="195">
        <v>3467</v>
      </c>
      <c r="AH53" s="193">
        <v>2865</v>
      </c>
      <c r="AI53" s="193">
        <v>2926</v>
      </c>
      <c r="AJ53" s="193">
        <v>3229</v>
      </c>
      <c r="AK53" s="195">
        <v>3334</v>
      </c>
      <c r="AL53" s="193">
        <v>2818</v>
      </c>
      <c r="AM53" s="193">
        <v>2996</v>
      </c>
      <c r="AN53" s="193">
        <v>3234</v>
      </c>
      <c r="AO53" s="195">
        <v>23353</v>
      </c>
      <c r="AP53" s="193">
        <v>20787</v>
      </c>
      <c r="AQ53" s="193">
        <v>20654</v>
      </c>
      <c r="AR53" s="193">
        <v>20596</v>
      </c>
      <c r="AS53" s="195">
        <v>20597</v>
      </c>
      <c r="AT53" s="195">
        <v>24244</v>
      </c>
      <c r="AU53" s="195">
        <v>21935</v>
      </c>
    </row>
    <row r="54" spans="1:47">
      <c r="B54" s="220" t="s">
        <v>334</v>
      </c>
      <c r="C54" s="193">
        <v>38698</v>
      </c>
      <c r="D54" s="193">
        <f>36755+2914</f>
        <v>39669</v>
      </c>
      <c r="E54" s="195">
        <f>35981+3408</f>
        <v>39389</v>
      </c>
      <c r="F54" s="193">
        <v>27054</v>
      </c>
      <c r="G54" s="193">
        <v>28558</v>
      </c>
      <c r="H54" s="193">
        <v>30496</v>
      </c>
      <c r="I54" s="195">
        <v>29771</v>
      </c>
      <c r="J54" s="193">
        <v>37827</v>
      </c>
      <c r="K54" s="193">
        <v>36491</v>
      </c>
      <c r="L54" s="193">
        <v>36631</v>
      </c>
      <c r="M54" s="195">
        <v>33429</v>
      </c>
      <c r="N54" s="193">
        <v>30632</v>
      </c>
      <c r="O54" s="193">
        <v>21902</v>
      </c>
      <c r="P54" s="193">
        <v>20546</v>
      </c>
      <c r="Q54" s="195">
        <v>20266</v>
      </c>
      <c r="R54" s="193">
        <v>35479</v>
      </c>
      <c r="S54" s="193">
        <v>33410</v>
      </c>
      <c r="T54" s="193">
        <v>27149</v>
      </c>
      <c r="U54" s="195">
        <v>27245</v>
      </c>
      <c r="V54" s="193">
        <v>25409</v>
      </c>
      <c r="W54" s="193">
        <v>19533</v>
      </c>
      <c r="X54" s="193">
        <v>16260</v>
      </c>
      <c r="Y54" s="195">
        <v>15561</v>
      </c>
      <c r="Z54" s="193">
        <v>17731</v>
      </c>
      <c r="AA54" s="193">
        <v>16047</v>
      </c>
      <c r="AB54" s="193">
        <v>15898</v>
      </c>
      <c r="AC54" s="195">
        <v>18965</v>
      </c>
      <c r="AD54" s="193">
        <v>17684</v>
      </c>
      <c r="AE54" s="193">
        <v>19808</v>
      </c>
      <c r="AF54" s="193">
        <v>21703</v>
      </c>
      <c r="AG54" s="195">
        <v>21923</v>
      </c>
      <c r="AH54" s="193">
        <v>17186</v>
      </c>
      <c r="AI54" s="193">
        <v>69483</v>
      </c>
      <c r="AJ54" s="193">
        <v>72040</v>
      </c>
      <c r="AK54" s="195">
        <v>82297</v>
      </c>
      <c r="AL54" s="193">
        <v>77109</v>
      </c>
      <c r="AM54" s="193">
        <v>77971</v>
      </c>
      <c r="AN54" s="193">
        <v>85171</v>
      </c>
      <c r="AO54" s="195">
        <v>84132</v>
      </c>
      <c r="AP54" s="193">
        <v>53313</v>
      </c>
      <c r="AQ54" s="193">
        <v>50451</v>
      </c>
      <c r="AR54" s="193">
        <v>51278</v>
      </c>
      <c r="AS54" s="195">
        <v>43441</v>
      </c>
      <c r="AT54" s="195">
        <v>30753</v>
      </c>
      <c r="AU54" s="195">
        <v>4618</v>
      </c>
    </row>
    <row r="55" spans="1:47">
      <c r="B55" s="220" t="s">
        <v>443</v>
      </c>
      <c r="C55" s="193">
        <v>0</v>
      </c>
      <c r="D55" s="193">
        <v>90</v>
      </c>
      <c r="E55" s="195">
        <v>1693</v>
      </c>
      <c r="F55" s="193">
        <v>0</v>
      </c>
      <c r="G55" s="193">
        <v>2879</v>
      </c>
      <c r="H55" s="193"/>
      <c r="I55" s="195"/>
      <c r="J55" s="193"/>
      <c r="K55" s="193"/>
      <c r="L55" s="193"/>
      <c r="M55" s="195"/>
      <c r="N55" s="193"/>
      <c r="O55" s="193"/>
      <c r="P55" s="193"/>
      <c r="Q55" s="195"/>
      <c r="R55" s="193"/>
      <c r="S55" s="193"/>
      <c r="T55" s="193"/>
      <c r="U55" s="195"/>
      <c r="V55" s="193"/>
      <c r="W55" s="193"/>
      <c r="X55" s="193"/>
      <c r="Y55" s="195"/>
      <c r="Z55" s="193"/>
      <c r="AA55" s="193"/>
      <c r="AB55" s="193"/>
      <c r="AC55" s="195"/>
      <c r="AD55" s="193"/>
      <c r="AE55" s="193"/>
      <c r="AF55" s="193"/>
      <c r="AG55" s="195"/>
      <c r="AH55" s="193"/>
      <c r="AI55" s="193"/>
      <c r="AJ55" s="193"/>
      <c r="AK55" s="195"/>
      <c r="AL55" s="193"/>
      <c r="AM55" s="193"/>
      <c r="AN55" s="193"/>
      <c r="AO55" s="195"/>
      <c r="AP55" s="193"/>
      <c r="AQ55" s="193"/>
      <c r="AR55" s="193"/>
      <c r="AS55" s="195"/>
      <c r="AT55" s="195"/>
      <c r="AU55" s="195"/>
    </row>
    <row r="56" spans="1:47">
      <c r="B56" s="220" t="s">
        <v>224</v>
      </c>
      <c r="C56" s="193">
        <v>28307</v>
      </c>
      <c r="D56" s="193">
        <f>2500+1051+12052+2518</f>
        <v>18121</v>
      </c>
      <c r="E56" s="195">
        <f>2518+3103+1262+12231</f>
        <v>19114</v>
      </c>
      <c r="F56" s="193">
        <v>25620</v>
      </c>
      <c r="G56" s="193">
        <v>26183</v>
      </c>
      <c r="H56" s="193">
        <v>26289</v>
      </c>
      <c r="I56" s="195">
        <v>26540</v>
      </c>
      <c r="J56" s="193">
        <v>102071</v>
      </c>
      <c r="K56" s="193">
        <v>102708</v>
      </c>
      <c r="L56" s="193">
        <v>106185</v>
      </c>
      <c r="M56" s="195">
        <v>106387</v>
      </c>
      <c r="N56" s="193">
        <v>111558</v>
      </c>
      <c r="O56" s="193">
        <v>113444</v>
      </c>
      <c r="P56" s="193">
        <v>112047</v>
      </c>
      <c r="Q56" s="195">
        <v>113429</v>
      </c>
      <c r="R56" s="193">
        <v>23967</v>
      </c>
      <c r="S56" s="193">
        <v>26705</v>
      </c>
      <c r="T56" s="193">
        <v>28188</v>
      </c>
      <c r="U56" s="195">
        <v>29596</v>
      </c>
      <c r="V56" s="193">
        <v>30118</v>
      </c>
      <c r="W56" s="193">
        <v>31862</v>
      </c>
      <c r="X56" s="193">
        <v>33830</v>
      </c>
      <c r="Y56" s="195">
        <v>35965</v>
      </c>
      <c r="Z56" s="193">
        <v>39213</v>
      </c>
      <c r="AA56" s="193">
        <v>33410</v>
      </c>
      <c r="AB56" s="193">
        <v>8502</v>
      </c>
      <c r="AC56" s="195">
        <v>9046</v>
      </c>
      <c r="AD56" s="193">
        <v>0</v>
      </c>
      <c r="AE56" s="193">
        <v>6745</v>
      </c>
      <c r="AF56" s="193">
        <v>6188</v>
      </c>
      <c r="AG56" s="195">
        <v>2498</v>
      </c>
      <c r="AH56" s="193">
        <v>0</v>
      </c>
      <c r="AI56" s="193">
        <v>0</v>
      </c>
      <c r="AJ56" s="193">
        <v>0</v>
      </c>
      <c r="AK56" s="195">
        <v>0</v>
      </c>
      <c r="AL56" s="193">
        <v>0</v>
      </c>
      <c r="AM56" s="193">
        <v>113802</v>
      </c>
      <c r="AN56" s="193">
        <v>108605</v>
      </c>
      <c r="AO56" s="195">
        <v>99399</v>
      </c>
      <c r="AP56" s="193">
        <v>0</v>
      </c>
      <c r="AQ56" s="193">
        <v>0</v>
      </c>
      <c r="AR56" s="193">
        <v>0</v>
      </c>
      <c r="AS56" s="195">
        <v>0</v>
      </c>
      <c r="AT56" s="195">
        <v>0</v>
      </c>
      <c r="AU56" s="195">
        <v>0</v>
      </c>
    </row>
    <row r="57" spans="1:47" ht="15.75" thickBot="1">
      <c r="A57" s="196"/>
      <c r="B57" s="228" t="s">
        <v>225</v>
      </c>
      <c r="C57" s="198">
        <f t="shared" ref="C57" si="164">SUM(C58:C63)</f>
        <v>1998822</v>
      </c>
      <c r="D57" s="198">
        <f t="shared" ref="D57" si="165">SUM(D58:D63)</f>
        <v>1872668</v>
      </c>
      <c r="E57" s="200">
        <f t="shared" ref="E57" si="166">SUM(E58:E63)</f>
        <v>1803799</v>
      </c>
      <c r="F57" s="198">
        <f t="shared" ref="F57" si="167">SUM(F58:F63)</f>
        <v>2470314</v>
      </c>
      <c r="G57" s="198">
        <f t="shared" ref="G57" si="168">SUM(G58:G63)</f>
        <v>2809925</v>
      </c>
      <c r="H57" s="198">
        <f t="shared" ref="H57" si="169">SUM(H58:H63)</f>
        <v>2649664</v>
      </c>
      <c r="I57" s="200">
        <f t="shared" ref="I57" si="170">SUM(I58:I63)</f>
        <v>2790457</v>
      </c>
      <c r="J57" s="198">
        <f t="shared" ref="J57" si="171">SUM(J58:J63)</f>
        <v>2762977</v>
      </c>
      <c r="K57" s="198">
        <f t="shared" ref="K57" si="172">SUM(K58:K63)</f>
        <v>2676568</v>
      </c>
      <c r="L57" s="198">
        <f t="shared" ref="L57" si="173">SUM(L58:L63)</f>
        <v>2532352</v>
      </c>
      <c r="M57" s="200">
        <f t="shared" ref="M57" si="174">SUM(M58:M63)</f>
        <v>2422333</v>
      </c>
      <c r="N57" s="198">
        <f t="shared" ref="N57" si="175">SUM(N58:N63)</f>
        <v>2808343</v>
      </c>
      <c r="O57" s="198">
        <f t="shared" ref="O57" si="176">SUM(O58:O63)</f>
        <v>2609275</v>
      </c>
      <c r="P57" s="198">
        <f t="shared" ref="P57" si="177">SUM(P58:P63)</f>
        <v>2557636</v>
      </c>
      <c r="Q57" s="200">
        <f t="shared" ref="Q57" si="178">SUM(Q58:Q63)</f>
        <v>2317404</v>
      </c>
      <c r="R57" s="198">
        <f t="shared" ref="R57" si="179">SUM(R58:R63)</f>
        <v>2818632</v>
      </c>
      <c r="S57" s="198">
        <f t="shared" ref="S57" si="180">SUM(S58:S63)</f>
        <v>3220548</v>
      </c>
      <c r="T57" s="198">
        <f t="shared" ref="T57" si="181">SUM(T58:T63)</f>
        <v>2642368</v>
      </c>
      <c r="U57" s="200">
        <v>2288743</v>
      </c>
      <c r="V57" s="198">
        <f t="shared" ref="V57:W57" si="182">SUM(V58:V63)</f>
        <v>2534707</v>
      </c>
      <c r="W57" s="198">
        <f t="shared" si="182"/>
        <v>1981562</v>
      </c>
      <c r="X57" s="198">
        <f t="shared" ref="X57:Y57" si="183">SUM(X58:X63)</f>
        <v>2074064</v>
      </c>
      <c r="Y57" s="200">
        <f t="shared" si="183"/>
        <v>1725007</v>
      </c>
      <c r="Z57" s="198">
        <f t="shared" ref="Z57:AA57" si="184">SUM(Z58:Z63)</f>
        <v>1527274</v>
      </c>
      <c r="AA57" s="198">
        <f t="shared" si="184"/>
        <v>1401019</v>
      </c>
      <c r="AB57" s="198">
        <f t="shared" ref="AB57" si="185">SUM(AB58:AB63)</f>
        <v>1382487</v>
      </c>
      <c r="AC57" s="200">
        <f t="shared" ref="AC57" si="186">SUM(AC58:AC63)</f>
        <v>1473053</v>
      </c>
      <c r="AD57" s="198">
        <f t="shared" ref="AD57" si="187">SUM(AD58:AD63)</f>
        <v>1324090</v>
      </c>
      <c r="AE57" s="198">
        <f t="shared" ref="AE57:AI57" si="188">SUM(AE58:AE63)</f>
        <v>1382167</v>
      </c>
      <c r="AF57" s="198">
        <f t="shared" si="188"/>
        <v>1367282</v>
      </c>
      <c r="AG57" s="200">
        <f t="shared" si="188"/>
        <v>1347520</v>
      </c>
      <c r="AH57" s="198">
        <f t="shared" si="188"/>
        <v>1294953</v>
      </c>
      <c r="AI57" s="198">
        <f t="shared" si="188"/>
        <v>1151982</v>
      </c>
      <c r="AJ57" s="198">
        <v>1133482</v>
      </c>
      <c r="AK57" s="200">
        <v>990925</v>
      </c>
      <c r="AL57" s="198">
        <v>991682</v>
      </c>
      <c r="AM57" s="198">
        <v>1236723</v>
      </c>
      <c r="AN57" s="198">
        <v>1202987</v>
      </c>
      <c r="AO57" s="200">
        <v>1081748</v>
      </c>
      <c r="AP57" s="198">
        <v>905045</v>
      </c>
      <c r="AQ57" s="198">
        <v>885259</v>
      </c>
      <c r="AR57" s="198">
        <v>869237</v>
      </c>
      <c r="AS57" s="200">
        <v>827223</v>
      </c>
      <c r="AT57" s="200">
        <v>776870</v>
      </c>
      <c r="AU57" s="200">
        <v>742033</v>
      </c>
    </row>
    <row r="58" spans="1:47" ht="15" thickTop="1">
      <c r="B58" s="229" t="s">
        <v>226</v>
      </c>
      <c r="C58" s="193">
        <v>1170110</v>
      </c>
      <c r="D58" s="193">
        <v>1170110</v>
      </c>
      <c r="E58" s="195">
        <v>1170110</v>
      </c>
      <c r="F58" s="193">
        <v>1170110</v>
      </c>
      <c r="G58" s="193">
        <v>1170110</v>
      </c>
      <c r="H58" s="193">
        <v>1170110</v>
      </c>
      <c r="I58" s="195">
        <v>1170110</v>
      </c>
      <c r="J58" s="193">
        <v>1170110</v>
      </c>
      <c r="K58" s="193">
        <v>1170110</v>
      </c>
      <c r="L58" s="193">
        <v>927877</v>
      </c>
      <c r="M58" s="195">
        <v>927877</v>
      </c>
      <c r="N58" s="193">
        <v>927877</v>
      </c>
      <c r="O58" s="193">
        <v>927877</v>
      </c>
      <c r="P58" s="193">
        <v>927877</v>
      </c>
      <c r="Q58" s="195">
        <v>927877</v>
      </c>
      <c r="R58" s="193">
        <v>927877</v>
      </c>
      <c r="S58" s="193">
        <v>927877</v>
      </c>
      <c r="T58" s="193">
        <v>699002</v>
      </c>
      <c r="U58" s="195">
        <v>699002</v>
      </c>
      <c r="V58" s="193">
        <v>699002</v>
      </c>
      <c r="W58" s="193">
        <v>699002</v>
      </c>
      <c r="X58" s="193">
        <v>699002</v>
      </c>
      <c r="Y58" s="195">
        <v>699002</v>
      </c>
      <c r="Z58" s="193">
        <v>699002</v>
      </c>
      <c r="AA58" s="193">
        <v>699002</v>
      </c>
      <c r="AB58" s="193">
        <v>699002</v>
      </c>
      <c r="AC58" s="195">
        <v>699002</v>
      </c>
      <c r="AD58" s="193">
        <v>699002</v>
      </c>
      <c r="AE58" s="193">
        <v>699002</v>
      </c>
      <c r="AF58" s="193">
        <v>474415</v>
      </c>
      <c r="AG58" s="195">
        <v>474415</v>
      </c>
      <c r="AH58" s="193">
        <v>384331</v>
      </c>
      <c r="AI58" s="193">
        <v>384331</v>
      </c>
      <c r="AJ58" s="193">
        <v>384331</v>
      </c>
      <c r="AK58" s="195">
        <v>384331</v>
      </c>
      <c r="AL58" s="193">
        <v>384331</v>
      </c>
      <c r="AM58" s="193">
        <v>384331</v>
      </c>
      <c r="AN58" s="193">
        <v>384331</v>
      </c>
      <c r="AO58" s="195">
        <v>384331</v>
      </c>
      <c r="AP58" s="193">
        <v>384331</v>
      </c>
      <c r="AQ58" s="193">
        <v>384331</v>
      </c>
      <c r="AR58" s="193">
        <v>384331</v>
      </c>
      <c r="AS58" s="195">
        <v>384331</v>
      </c>
      <c r="AT58" s="195">
        <v>384331</v>
      </c>
      <c r="AU58" s="195">
        <v>384331</v>
      </c>
    </row>
    <row r="59" spans="1:47">
      <c r="B59" s="229" t="s">
        <v>227</v>
      </c>
      <c r="C59" s="193">
        <v>-81793</v>
      </c>
      <c r="D59" s="193">
        <v>-81793</v>
      </c>
      <c r="E59" s="195">
        <v>-81793</v>
      </c>
      <c r="F59" s="193">
        <v>-81793</v>
      </c>
      <c r="G59" s="193">
        <v>-74788</v>
      </c>
      <c r="H59" s="193">
        <v>-46922</v>
      </c>
      <c r="I59" s="195">
        <v>-22080</v>
      </c>
      <c r="J59" s="193">
        <v>-46819</v>
      </c>
      <c r="K59" s="193">
        <v>-45913</v>
      </c>
      <c r="L59" s="193">
        <v>-45913</v>
      </c>
      <c r="M59" s="195">
        <v>-28276</v>
      </c>
      <c r="N59" s="193">
        <v>-28276</v>
      </c>
      <c r="O59" s="193">
        <v>-32621</v>
      </c>
      <c r="P59" s="193">
        <v>-31039</v>
      </c>
      <c r="Q59" s="195">
        <v>-31039</v>
      </c>
      <c r="R59" s="193">
        <v>-31039</v>
      </c>
      <c r="S59" s="193">
        <v>-30802</v>
      </c>
      <c r="T59" s="193">
        <v>-1401</v>
      </c>
      <c r="U59" s="195">
        <v>-1401</v>
      </c>
      <c r="V59" s="193">
        <v>-1401</v>
      </c>
      <c r="W59" s="193">
        <v>-1401</v>
      </c>
      <c r="X59" s="193">
        <v>-1401</v>
      </c>
      <c r="Y59" s="195">
        <v>-1154</v>
      </c>
      <c r="Z59" s="193">
        <v>-37378</v>
      </c>
      <c r="AA59" s="193">
        <v>-40711</v>
      </c>
      <c r="AB59" s="193">
        <v>-27807</v>
      </c>
      <c r="AC59" s="195">
        <v>-101459</v>
      </c>
      <c r="AD59" s="193">
        <v>-91222</v>
      </c>
      <c r="AE59" s="193">
        <v>-41146</v>
      </c>
      <c r="AF59" s="193">
        <v>-12584</v>
      </c>
      <c r="AG59" s="195">
        <v>-33221</v>
      </c>
      <c r="AH59" s="193">
        <v>-14879</v>
      </c>
      <c r="AI59" s="193">
        <v>-14879</v>
      </c>
      <c r="AJ59" s="193">
        <v>-14879</v>
      </c>
      <c r="AK59" s="195">
        <v>-14879</v>
      </c>
      <c r="AL59" s="193">
        <v>-14879</v>
      </c>
      <c r="AM59" s="193">
        <v>-14879</v>
      </c>
      <c r="AN59" s="193">
        <v>-14879</v>
      </c>
      <c r="AO59" s="195">
        <v>-14879</v>
      </c>
      <c r="AP59" s="193">
        <v>-14879</v>
      </c>
      <c r="AQ59" s="193">
        <v>-14879</v>
      </c>
      <c r="AR59" s="193">
        <v>-14879</v>
      </c>
      <c r="AS59" s="195">
        <v>-14879</v>
      </c>
      <c r="AT59" s="195">
        <v>-14879</v>
      </c>
      <c r="AU59" s="195">
        <v>-14879</v>
      </c>
    </row>
    <row r="60" spans="1:47">
      <c r="B60" s="229" t="s">
        <v>228</v>
      </c>
      <c r="C60" s="193">
        <v>565727</v>
      </c>
      <c r="D60" s="193">
        <v>561500</v>
      </c>
      <c r="E60" s="195">
        <v>561500</v>
      </c>
      <c r="F60" s="193">
        <v>1146551</v>
      </c>
      <c r="G60" s="193">
        <v>1148077</v>
      </c>
      <c r="H60" s="193">
        <v>1142556</v>
      </c>
      <c r="I60" s="195">
        <v>1392556</v>
      </c>
      <c r="J60" s="193">
        <v>1185348</v>
      </c>
      <c r="K60" s="193">
        <v>1178663</v>
      </c>
      <c r="L60" s="193">
        <v>1412878</v>
      </c>
      <c r="M60" s="195">
        <v>1521186</v>
      </c>
      <c r="N60" s="193">
        <v>928860</v>
      </c>
      <c r="O60" s="193">
        <v>928860</v>
      </c>
      <c r="P60" s="193">
        <v>1010773</v>
      </c>
      <c r="Q60" s="195">
        <v>1010773</v>
      </c>
      <c r="R60" s="193">
        <v>919223</v>
      </c>
      <c r="S60" s="193">
        <v>919223</v>
      </c>
      <c r="T60" s="193">
        <v>1147566</v>
      </c>
      <c r="U60" s="195">
        <v>1147566</v>
      </c>
      <c r="V60" s="193">
        <v>682286</v>
      </c>
      <c r="W60" s="193">
        <v>710286</v>
      </c>
      <c r="X60" s="193">
        <v>804599</v>
      </c>
      <c r="Y60" s="195">
        <v>804599</v>
      </c>
      <c r="Z60" s="193">
        <v>559374</v>
      </c>
      <c r="AA60" s="193">
        <v>611711</v>
      </c>
      <c r="AB60" s="193">
        <v>611165</v>
      </c>
      <c r="AC60" s="195">
        <v>736249</v>
      </c>
      <c r="AD60" s="193">
        <v>603952</v>
      </c>
      <c r="AE60" s="193">
        <v>603952</v>
      </c>
      <c r="AF60" s="193">
        <v>828039</v>
      </c>
      <c r="AG60" s="195">
        <v>872230</v>
      </c>
      <c r="AH60" s="193">
        <v>580224</v>
      </c>
      <c r="AI60" s="193">
        <v>580224</v>
      </c>
      <c r="AJ60" s="193">
        <v>579807</v>
      </c>
      <c r="AK60" s="195">
        <v>579807</v>
      </c>
      <c r="AL60" s="193">
        <v>368260</v>
      </c>
      <c r="AM60" s="193">
        <v>731060</v>
      </c>
      <c r="AN60" s="193">
        <v>730701</v>
      </c>
      <c r="AO60" s="195">
        <v>730701</v>
      </c>
      <c r="AP60" s="193">
        <v>481046</v>
      </c>
      <c r="AQ60" s="193">
        <v>481046</v>
      </c>
      <c r="AR60" s="193">
        <v>480839</v>
      </c>
      <c r="AS60" s="195">
        <v>480839</v>
      </c>
      <c r="AT60" s="195">
        <v>418127</v>
      </c>
      <c r="AU60" s="195">
        <v>372408</v>
      </c>
    </row>
    <row r="61" spans="1:47">
      <c r="B61" s="229" t="s">
        <v>385</v>
      </c>
      <c r="C61" s="193">
        <f>6425+6766</f>
        <v>13191</v>
      </c>
      <c r="D61" s="193">
        <f>6425+6316</f>
        <v>12741</v>
      </c>
      <c r="E61" s="195">
        <f>6425+5866</f>
        <v>12291</v>
      </c>
      <c r="F61" s="193">
        <v>11841</v>
      </c>
      <c r="G61" s="193">
        <v>15495</v>
      </c>
      <c r="H61" s="193">
        <f>3819+10609</f>
        <v>14428</v>
      </c>
      <c r="I61" s="195">
        <v>13360</v>
      </c>
      <c r="J61" s="193">
        <v>13529</v>
      </c>
      <c r="K61" s="193">
        <v>15364</v>
      </c>
      <c r="L61" s="193">
        <v>13186</v>
      </c>
      <c r="M61" s="195">
        <v>11420</v>
      </c>
      <c r="N61" s="193">
        <v>9654</v>
      </c>
      <c r="O61" s="193">
        <v>13266</v>
      </c>
      <c r="P61" s="193">
        <v>9870</v>
      </c>
      <c r="Q61" s="195">
        <v>6474</v>
      </c>
      <c r="R61" s="193">
        <v>3078</v>
      </c>
      <c r="S61" s="193"/>
      <c r="T61" s="193"/>
      <c r="U61" s="195"/>
      <c r="V61" s="193"/>
      <c r="W61" s="193"/>
      <c r="X61" s="193"/>
      <c r="Y61" s="195"/>
      <c r="Z61" s="193"/>
      <c r="AA61" s="193"/>
      <c r="AB61" s="193"/>
      <c r="AC61" s="195"/>
      <c r="AD61" s="193"/>
      <c r="AE61" s="193"/>
      <c r="AF61" s="193"/>
      <c r="AG61" s="195"/>
      <c r="AH61" s="193"/>
      <c r="AI61" s="193"/>
      <c r="AJ61" s="193"/>
      <c r="AK61" s="195"/>
      <c r="AL61" s="193"/>
      <c r="AM61" s="193"/>
      <c r="AN61" s="193"/>
      <c r="AO61" s="195"/>
      <c r="AP61" s="193"/>
      <c r="AQ61" s="193"/>
      <c r="AR61" s="193"/>
      <c r="AS61" s="195"/>
      <c r="AT61" s="195"/>
      <c r="AU61" s="195"/>
    </row>
    <row r="62" spans="1:47">
      <c r="B62" s="229" t="s">
        <v>229</v>
      </c>
      <c r="C62" s="193">
        <v>162546</v>
      </c>
      <c r="D62" s="193">
        <v>37472</v>
      </c>
      <c r="E62" s="195"/>
      <c r="F62" s="193">
        <v>109148</v>
      </c>
      <c r="G62" s="193">
        <v>384610</v>
      </c>
      <c r="H62" s="193">
        <v>151382</v>
      </c>
      <c r="I62" s="195">
        <v>0</v>
      </c>
      <c r="J62" s="193">
        <v>263340</v>
      </c>
      <c r="K62" s="193">
        <v>144766</v>
      </c>
      <c r="L62" s="193">
        <v>55992</v>
      </c>
      <c r="M62" s="195">
        <v>0</v>
      </c>
      <c r="N62" s="193">
        <v>627355</v>
      </c>
      <c r="O62" s="193">
        <v>437446</v>
      </c>
      <c r="P62" s="193">
        <v>251769</v>
      </c>
      <c r="Q62" s="195">
        <v>0</v>
      </c>
      <c r="R62" s="193">
        <v>552807</v>
      </c>
      <c r="S62" s="193">
        <v>979966</v>
      </c>
      <c r="T62" s="193">
        <v>445396</v>
      </c>
      <c r="U62" s="195">
        <v>0</v>
      </c>
      <c r="V62" s="193">
        <v>778800</v>
      </c>
      <c r="W62" s="193">
        <v>272620</v>
      </c>
      <c r="X62" s="193">
        <v>277547</v>
      </c>
      <c r="Y62" s="195">
        <v>0</v>
      </c>
      <c r="Z62" s="193">
        <v>82527</v>
      </c>
      <c r="AA62" s="193">
        <v>-72350</v>
      </c>
      <c r="AB62" s="193">
        <v>-92219</v>
      </c>
      <c r="AC62" s="195">
        <v>0</v>
      </c>
      <c r="AD62" s="193">
        <v>54199</v>
      </c>
      <c r="AE62" s="193">
        <v>66792</v>
      </c>
      <c r="AF62" s="193">
        <v>56283</v>
      </c>
      <c r="AG62" s="195">
        <v>0</v>
      </c>
      <c r="AH62" s="193">
        <v>374232</v>
      </c>
      <c r="AI62" s="193">
        <v>229629</v>
      </c>
      <c r="AJ62" s="193">
        <v>158506</v>
      </c>
      <c r="AK62" s="195">
        <v>0</v>
      </c>
      <c r="AL62" s="193">
        <v>192820</v>
      </c>
      <c r="AM62" s="193">
        <v>59842</v>
      </c>
      <c r="AN62" s="193">
        <v>34466</v>
      </c>
      <c r="AO62" s="195">
        <v>0</v>
      </c>
      <c r="AP62" s="193">
        <v>65873</v>
      </c>
      <c r="AQ62" s="193">
        <v>46591</v>
      </c>
      <c r="AR62" s="193">
        <v>36169</v>
      </c>
      <c r="AS62" s="195">
        <v>0</v>
      </c>
      <c r="AT62" s="195">
        <v>0</v>
      </c>
      <c r="AU62" s="195">
        <v>173</v>
      </c>
    </row>
    <row r="63" spans="1:47">
      <c r="B63" s="229" t="s">
        <v>230</v>
      </c>
      <c r="C63" s="193">
        <v>169041</v>
      </c>
      <c r="D63" s="193">
        <v>172638</v>
      </c>
      <c r="E63" s="195">
        <v>141691</v>
      </c>
      <c r="F63" s="193">
        <v>114457</v>
      </c>
      <c r="G63" s="193">
        <v>166421</v>
      </c>
      <c r="H63" s="193">
        <v>218110</v>
      </c>
      <c r="I63" s="195">
        <v>236511</v>
      </c>
      <c r="J63" s="193">
        <v>177469</v>
      </c>
      <c r="K63" s="193">
        <v>213578</v>
      </c>
      <c r="L63" s="193">
        <v>168332</v>
      </c>
      <c r="M63" s="195">
        <v>-9874</v>
      </c>
      <c r="N63" s="193">
        <v>342873</v>
      </c>
      <c r="O63" s="193">
        <v>334447</v>
      </c>
      <c r="P63" s="193">
        <v>388386</v>
      </c>
      <c r="Q63" s="195">
        <v>403319</v>
      </c>
      <c r="R63" s="193">
        <v>446686</v>
      </c>
      <c r="S63" s="193">
        <v>424284</v>
      </c>
      <c r="T63" s="193">
        <v>351805</v>
      </c>
      <c r="U63" s="195">
        <v>443576</v>
      </c>
      <c r="V63" s="193">
        <v>376020</v>
      </c>
      <c r="W63" s="193">
        <v>301055</v>
      </c>
      <c r="X63" s="193">
        <v>294317</v>
      </c>
      <c r="Y63" s="195">
        <v>222560</v>
      </c>
      <c r="Z63" s="193">
        <v>223749</v>
      </c>
      <c r="AA63" s="193">
        <v>203367</v>
      </c>
      <c r="AB63" s="193">
        <v>192346</v>
      </c>
      <c r="AC63" s="195">
        <v>139261</v>
      </c>
      <c r="AD63" s="193">
        <v>58159</v>
      </c>
      <c r="AE63" s="193">
        <v>53567</v>
      </c>
      <c r="AF63" s="193">
        <v>21129</v>
      </c>
      <c r="AG63" s="195">
        <v>34096</v>
      </c>
      <c r="AH63" s="193">
        <v>-28955</v>
      </c>
      <c r="AI63" s="193">
        <v>-27323</v>
      </c>
      <c r="AJ63" s="193">
        <v>25717</v>
      </c>
      <c r="AK63" s="195">
        <v>41666</v>
      </c>
      <c r="AL63" s="193">
        <v>61150</v>
      </c>
      <c r="AM63" s="193">
        <v>76369</v>
      </c>
      <c r="AN63" s="193">
        <v>68368</v>
      </c>
      <c r="AO63" s="195">
        <v>-18405</v>
      </c>
      <c r="AP63" s="193">
        <v>-11326</v>
      </c>
      <c r="AQ63" s="193">
        <v>-11830</v>
      </c>
      <c r="AR63" s="193">
        <v>-17223</v>
      </c>
      <c r="AS63" s="195">
        <v>-23068</v>
      </c>
      <c r="AT63" s="195">
        <v>-10709</v>
      </c>
      <c r="AU63" s="195">
        <v>0</v>
      </c>
    </row>
    <row r="64" spans="1:47">
      <c r="AI64" s="193"/>
      <c r="AJ64" s="187"/>
      <c r="AK64" s="187"/>
      <c r="AL64" s="187"/>
      <c r="AM64" s="187"/>
      <c r="AN64" s="187"/>
      <c r="AO64" s="187"/>
      <c r="AP64" s="187"/>
      <c r="AQ64" s="187"/>
      <c r="AR64" s="187"/>
      <c r="AS64" s="187"/>
      <c r="AT64" s="187"/>
      <c r="AU64" s="187"/>
    </row>
    <row r="65" spans="36:41">
      <c r="AJ65" s="231"/>
      <c r="AK65" s="231"/>
      <c r="AL65" s="231"/>
      <c r="AM65" s="231"/>
      <c r="AN65" s="231"/>
      <c r="AO65" s="231"/>
    </row>
    <row r="66" spans="36:41">
      <c r="AJ66" s="231"/>
      <c r="AK66" s="231"/>
      <c r="AL66" s="231"/>
      <c r="AM66" s="231"/>
      <c r="AO66" s="231"/>
    </row>
    <row r="67" spans="36:41">
      <c r="AJ67" s="231"/>
      <c r="AK67" s="231"/>
    </row>
    <row r="68" spans="36:41">
      <c r="AJ68" s="231"/>
      <c r="AK68" s="231"/>
      <c r="AL68" s="231"/>
      <c r="AM68" s="231"/>
    </row>
    <row r="69" spans="36:41">
      <c r="AJ69" s="231"/>
      <c r="AK69" s="231"/>
      <c r="AL69" s="231"/>
      <c r="AM69" s="231"/>
    </row>
    <row r="70" spans="36:41">
      <c r="AJ70" s="231"/>
      <c r="AK70" s="231"/>
      <c r="AL70" s="231"/>
      <c r="AM70" s="231"/>
    </row>
  </sheetData>
  <mergeCells count="93">
    <mergeCell ref="F35:F36"/>
    <mergeCell ref="AE35:AE36"/>
    <mergeCell ref="L10:L11"/>
    <mergeCell ref="L35:L36"/>
    <mergeCell ref="N10:N11"/>
    <mergeCell ref="N35:N36"/>
    <mergeCell ref="Y35:Y36"/>
    <mergeCell ref="V10:V11"/>
    <mergeCell ref="X35:X36"/>
    <mergeCell ref="Y10:Y11"/>
    <mergeCell ref="P35:P36"/>
    <mergeCell ref="M10:M11"/>
    <mergeCell ref="M35:M36"/>
    <mergeCell ref="O10:O11"/>
    <mergeCell ref="AU10:AU11"/>
    <mergeCell ref="AU35:AU36"/>
    <mergeCell ref="AI35:AI36"/>
    <mergeCell ref="AT35:AT36"/>
    <mergeCell ref="AS35:AS36"/>
    <mergeCell ref="AT10:AT11"/>
    <mergeCell ref="AM35:AM36"/>
    <mergeCell ref="AL35:AL36"/>
    <mergeCell ref="AP10:AP11"/>
    <mergeCell ref="AO10:AO11"/>
    <mergeCell ref="AN10:AN11"/>
    <mergeCell ref="AM10:AM11"/>
    <mergeCell ref="AS10:AS11"/>
    <mergeCell ref="AL10:AL11"/>
    <mergeCell ref="AR10:AR11"/>
    <mergeCell ref="AQ10:AQ11"/>
    <mergeCell ref="B7:B8"/>
    <mergeCell ref="B10:B11"/>
    <mergeCell ref="AC35:AC36"/>
    <mergeCell ref="AD35:AD36"/>
    <mergeCell ref="AA10:AA11"/>
    <mergeCell ref="AA35:AA36"/>
    <mergeCell ref="AB10:AB11"/>
    <mergeCell ref="AB35:AB36"/>
    <mergeCell ref="AC10:AC11"/>
    <mergeCell ref="AD10:AD11"/>
    <mergeCell ref="W10:W11"/>
    <mergeCell ref="W35:W36"/>
    <mergeCell ref="B35:B36"/>
    <mergeCell ref="J10:J11"/>
    <mergeCell ref="J35:J36"/>
    <mergeCell ref="U35:U36"/>
    <mergeCell ref="AG10:AG11"/>
    <mergeCell ref="AI10:AI11"/>
    <mergeCell ref="AR35:AR36"/>
    <mergeCell ref="AQ35:AQ36"/>
    <mergeCell ref="AF35:AF36"/>
    <mergeCell ref="AG35:AG36"/>
    <mergeCell ref="AH35:AH36"/>
    <mergeCell ref="AK35:AK36"/>
    <mergeCell ref="AJ35:AJ36"/>
    <mergeCell ref="AP35:AP36"/>
    <mergeCell ref="AO35:AO36"/>
    <mergeCell ref="AN35:AN36"/>
    <mergeCell ref="AJ10:AJ11"/>
    <mergeCell ref="AH10:AH11"/>
    <mergeCell ref="AK10:AK11"/>
    <mergeCell ref="E35:E36"/>
    <mergeCell ref="F10:F11"/>
    <mergeCell ref="AF10:AF11"/>
    <mergeCell ref="Z10:Z11"/>
    <mergeCell ref="Q10:Q11"/>
    <mergeCell ref="Q35:Q36"/>
    <mergeCell ref="T10:T11"/>
    <mergeCell ref="T35:T36"/>
    <mergeCell ref="V35:V36"/>
    <mergeCell ref="AE10:AE11"/>
    <mergeCell ref="R35:R36"/>
    <mergeCell ref="R10:R11"/>
    <mergeCell ref="S10:S11"/>
    <mergeCell ref="S35:S36"/>
    <mergeCell ref="Z35:Z36"/>
    <mergeCell ref="U10:U11"/>
    <mergeCell ref="C10:C11"/>
    <mergeCell ref="C35:C36"/>
    <mergeCell ref="D10:D11"/>
    <mergeCell ref="D35:D36"/>
    <mergeCell ref="X10:X11"/>
    <mergeCell ref="K10:K11"/>
    <mergeCell ref="K35:K36"/>
    <mergeCell ref="G10:G11"/>
    <mergeCell ref="G35:G36"/>
    <mergeCell ref="H10:H11"/>
    <mergeCell ref="H35:H36"/>
    <mergeCell ref="I10:I11"/>
    <mergeCell ref="I35:I36"/>
    <mergeCell ref="P10:P11"/>
    <mergeCell ref="O35:O36"/>
    <mergeCell ref="E10:E11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AH22:AI22 W22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9A4A9-12FE-4E23-B0DA-397B0C6F2B74}">
  <sheetPr>
    <tabColor rgb="FF0A3200"/>
    <pageSetUpPr fitToPage="1"/>
  </sheetPr>
  <dimension ref="A1"/>
  <sheetViews>
    <sheetView zoomScale="90" zoomScaleNormal="90" workbookViewId="0"/>
  </sheetViews>
  <sheetFormatPr defaultColWidth="9.140625" defaultRowHeight="12.75"/>
  <cols>
    <col min="1" max="16384" width="9.140625" style="180"/>
  </cols>
  <sheetData/>
  <pageMargins left="0.511811024" right="0.511811024" top="0.78740157499999996" bottom="0.78740157499999996" header="0.31496062000000002" footer="0.31496062000000002"/>
  <pageSetup paperSize="9" scale="75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A3200"/>
  </sheetPr>
  <dimension ref="A1:AU97"/>
  <sheetViews>
    <sheetView zoomScale="90" zoomScaleNormal="90" workbookViewId="0">
      <selection activeCell="G10" sqref="G10:G11"/>
    </sheetView>
  </sheetViews>
  <sheetFormatPr defaultColWidth="9.140625" defaultRowHeight="14.25"/>
  <cols>
    <col min="1" max="1" width="1.7109375" style="181" customWidth="1"/>
    <col min="2" max="2" width="68.28515625" style="181" customWidth="1"/>
    <col min="3" max="4" width="11.5703125" style="181" bestFit="1" customWidth="1"/>
    <col min="5" max="5" width="12.28515625" style="181" bestFit="1" customWidth="1"/>
    <col min="6" max="8" width="11.5703125" style="181" bestFit="1" customWidth="1"/>
    <col min="9" max="10" width="12.28515625" style="181" bestFit="1" customWidth="1"/>
    <col min="11" max="11" width="11.5703125" style="181" bestFit="1" customWidth="1"/>
    <col min="12" max="12" width="10.85546875" style="181" bestFit="1" customWidth="1"/>
    <col min="13" max="13" width="12.28515625" style="181" bestFit="1" customWidth="1"/>
    <col min="14" max="15" width="11.5703125" style="181" bestFit="1" customWidth="1"/>
    <col min="16" max="16" width="10.5703125" style="181" bestFit="1" customWidth="1"/>
    <col min="17" max="18" width="12.28515625" style="181" bestFit="1" customWidth="1"/>
    <col min="19" max="19" width="11.5703125" style="181" bestFit="1" customWidth="1"/>
    <col min="20" max="20" width="10.7109375" style="181" customWidth="1"/>
    <col min="21" max="21" width="12.28515625" style="181" bestFit="1" customWidth="1"/>
    <col min="22" max="22" width="11.5703125" style="181" bestFit="1" customWidth="1"/>
    <col min="23" max="33" width="10.7109375" style="181" customWidth="1"/>
    <col min="34" max="34" width="10.5703125" style="181" bestFit="1" customWidth="1"/>
    <col min="35" max="36" width="10.5703125" style="183" bestFit="1" customWidth="1"/>
    <col min="37" max="37" width="10.7109375" style="181" customWidth="1"/>
    <col min="38" max="39" width="10.5703125" style="183" bestFit="1" customWidth="1"/>
    <col min="40" max="40" width="9.85546875" style="183" bestFit="1" customWidth="1"/>
    <col min="41" max="41" width="10.7109375" style="181" customWidth="1"/>
    <col min="42" max="43" width="10.5703125" style="183" bestFit="1" customWidth="1"/>
    <col min="44" max="44" width="9.85546875" style="183" bestFit="1" customWidth="1"/>
    <col min="45" max="47" width="10.7109375" style="181" customWidth="1"/>
    <col min="48" max="16384" width="9.140625" style="184"/>
  </cols>
  <sheetData>
    <row r="1" spans="1:47" ht="9" customHeight="1"/>
    <row r="2" spans="1:47" ht="15.75" customHeight="1"/>
    <row r="3" spans="1:47" ht="15.75" customHeight="1"/>
    <row r="4" spans="1:47" ht="15.75" customHeight="1"/>
    <row r="5" spans="1:47" ht="15.75" customHeight="1"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K5" s="188"/>
      <c r="AO5" s="188"/>
      <c r="AS5" s="188"/>
      <c r="AT5" s="188"/>
      <c r="AU5" s="188"/>
    </row>
    <row r="6" spans="1:47" ht="9.75" customHeight="1"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K6" s="188"/>
      <c r="AO6" s="188"/>
      <c r="AS6" s="188"/>
      <c r="AT6" s="188"/>
      <c r="AU6" s="188"/>
    </row>
    <row r="7" spans="1:47" ht="15" customHeight="1">
      <c r="B7" s="434" t="s">
        <v>378</v>
      </c>
      <c r="C7" s="371"/>
      <c r="D7" s="371"/>
      <c r="E7" s="371"/>
      <c r="F7" s="371"/>
      <c r="G7" s="371"/>
      <c r="H7" s="371"/>
      <c r="I7" s="371"/>
      <c r="J7" s="371"/>
      <c r="K7" s="371"/>
      <c r="L7" s="371"/>
      <c r="M7" s="371"/>
      <c r="N7" s="371"/>
      <c r="O7" s="371"/>
      <c r="P7" s="371"/>
      <c r="Q7" s="371"/>
      <c r="R7" s="371"/>
      <c r="S7" s="371"/>
      <c r="T7" s="371"/>
      <c r="U7" s="371"/>
      <c r="V7" s="371"/>
      <c r="W7" s="371"/>
      <c r="X7" s="371"/>
      <c r="Y7" s="371"/>
      <c r="Z7" s="371"/>
      <c r="AA7" s="371"/>
      <c r="AB7" s="371"/>
      <c r="AC7" s="371"/>
      <c r="AD7" s="371"/>
      <c r="AE7" s="371"/>
      <c r="AF7" s="371"/>
      <c r="AG7" s="371"/>
      <c r="AH7" s="371"/>
      <c r="AI7" s="233"/>
      <c r="AJ7" s="233"/>
      <c r="AK7" s="371"/>
      <c r="AL7" s="233"/>
      <c r="AM7" s="233"/>
      <c r="AN7" s="233"/>
      <c r="AO7" s="371"/>
      <c r="AP7" s="233"/>
      <c r="AQ7" s="233"/>
      <c r="AR7" s="232"/>
      <c r="AS7" s="371"/>
      <c r="AT7" s="371"/>
      <c r="AU7" s="371"/>
    </row>
    <row r="8" spans="1:47" ht="15" customHeight="1">
      <c r="B8" s="434"/>
      <c r="C8" s="371"/>
      <c r="D8" s="371"/>
      <c r="E8" s="371"/>
      <c r="F8" s="371"/>
      <c r="G8" s="371"/>
      <c r="H8" s="371"/>
      <c r="I8" s="371"/>
      <c r="J8" s="371"/>
      <c r="K8" s="371"/>
      <c r="L8" s="371"/>
      <c r="M8" s="371"/>
      <c r="N8" s="371"/>
      <c r="O8" s="371"/>
      <c r="P8" s="371"/>
      <c r="Q8" s="371"/>
      <c r="R8" s="371"/>
      <c r="S8" s="371"/>
      <c r="T8" s="371"/>
      <c r="U8" s="371"/>
      <c r="V8" s="371"/>
      <c r="W8" s="371"/>
      <c r="X8" s="371"/>
      <c r="Y8" s="371"/>
      <c r="Z8" s="371"/>
      <c r="AA8" s="371"/>
      <c r="AB8" s="371"/>
      <c r="AC8" s="371"/>
      <c r="AD8" s="371"/>
      <c r="AE8" s="371"/>
      <c r="AF8" s="371"/>
      <c r="AG8" s="371"/>
      <c r="AH8" s="371"/>
      <c r="AI8" s="233"/>
      <c r="AJ8" s="233"/>
      <c r="AK8" s="371"/>
      <c r="AL8" s="233"/>
      <c r="AM8" s="233"/>
      <c r="AN8" s="233"/>
      <c r="AO8" s="371"/>
      <c r="AP8" s="233"/>
      <c r="AQ8" s="233"/>
      <c r="AR8" s="232"/>
      <c r="AS8" s="371"/>
      <c r="AT8" s="371"/>
      <c r="AU8" s="371"/>
    </row>
    <row r="9" spans="1:47" ht="9" customHeight="1">
      <c r="B9" s="188"/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K9" s="188"/>
      <c r="AO9" s="188"/>
      <c r="AS9" s="188"/>
      <c r="AT9" s="188"/>
      <c r="AU9" s="188"/>
    </row>
    <row r="10" spans="1:47" ht="14.25" customHeight="1">
      <c r="B10" s="451" t="s">
        <v>163</v>
      </c>
      <c r="C10" s="448" t="s">
        <v>461</v>
      </c>
      <c r="D10" s="449" t="s">
        <v>454</v>
      </c>
      <c r="E10" s="450" t="s">
        <v>451</v>
      </c>
      <c r="F10" s="448" t="s">
        <v>448</v>
      </c>
      <c r="G10" s="448" t="s">
        <v>465</v>
      </c>
      <c r="H10" s="449" t="s">
        <v>464</v>
      </c>
      <c r="I10" s="450" t="s">
        <v>433</v>
      </c>
      <c r="J10" s="448" t="s">
        <v>429</v>
      </c>
      <c r="K10" s="448" t="s">
        <v>426</v>
      </c>
      <c r="L10" s="449" t="s">
        <v>416</v>
      </c>
      <c r="M10" s="450" t="s">
        <v>405</v>
      </c>
      <c r="N10" s="448" t="s">
        <v>402</v>
      </c>
      <c r="O10" s="448" t="s">
        <v>399</v>
      </c>
      <c r="P10" s="449" t="s">
        <v>390</v>
      </c>
      <c r="Q10" s="450" t="s">
        <v>386</v>
      </c>
      <c r="R10" s="448" t="s">
        <v>383</v>
      </c>
      <c r="S10" s="448" t="s">
        <v>359</v>
      </c>
      <c r="T10" s="449" t="s">
        <v>359</v>
      </c>
      <c r="U10" s="450" t="s">
        <v>354</v>
      </c>
      <c r="V10" s="448" t="s">
        <v>349</v>
      </c>
      <c r="W10" s="448" t="s">
        <v>345</v>
      </c>
      <c r="X10" s="449" t="s">
        <v>340</v>
      </c>
      <c r="Y10" s="450" t="s">
        <v>338</v>
      </c>
      <c r="Z10" s="448" t="s">
        <v>332</v>
      </c>
      <c r="AA10" s="448" t="s">
        <v>328</v>
      </c>
      <c r="AB10" s="438" t="s">
        <v>325</v>
      </c>
      <c r="AC10" s="450" t="s">
        <v>323</v>
      </c>
      <c r="AD10" s="448" t="s">
        <v>322</v>
      </c>
      <c r="AE10" s="448" t="s">
        <v>312</v>
      </c>
      <c r="AF10" s="448" t="s">
        <v>307</v>
      </c>
      <c r="AG10" s="450" t="s">
        <v>304</v>
      </c>
      <c r="AH10" s="448" t="s">
        <v>162</v>
      </c>
      <c r="AI10" s="448" t="s">
        <v>165</v>
      </c>
      <c r="AJ10" s="448" t="s">
        <v>167</v>
      </c>
      <c r="AK10" s="450" t="s">
        <v>161</v>
      </c>
      <c r="AL10" s="448" t="s">
        <v>156</v>
      </c>
      <c r="AM10" s="448" t="s">
        <v>170</v>
      </c>
      <c r="AN10" s="448" t="s">
        <v>172</v>
      </c>
      <c r="AO10" s="450" t="s">
        <v>148</v>
      </c>
      <c r="AP10" s="448" t="s">
        <v>147</v>
      </c>
      <c r="AQ10" s="448" t="s">
        <v>175</v>
      </c>
      <c r="AR10" s="448" t="s">
        <v>177</v>
      </c>
      <c r="AS10" s="450" t="s">
        <v>146</v>
      </c>
      <c r="AT10" s="450" t="s">
        <v>145</v>
      </c>
      <c r="AU10" s="450" t="s">
        <v>178</v>
      </c>
    </row>
    <row r="11" spans="1:47" ht="14.25" customHeight="1">
      <c r="B11" s="447"/>
      <c r="C11" s="448"/>
      <c r="D11" s="449"/>
      <c r="E11" s="450"/>
      <c r="F11" s="448"/>
      <c r="G11" s="448"/>
      <c r="H11" s="449"/>
      <c r="I11" s="450"/>
      <c r="J11" s="448"/>
      <c r="K11" s="448"/>
      <c r="L11" s="449"/>
      <c r="M11" s="450"/>
      <c r="N11" s="448"/>
      <c r="O11" s="448"/>
      <c r="P11" s="449"/>
      <c r="Q11" s="450"/>
      <c r="R11" s="448"/>
      <c r="S11" s="448"/>
      <c r="T11" s="449"/>
      <c r="U11" s="450"/>
      <c r="V11" s="448"/>
      <c r="W11" s="448"/>
      <c r="X11" s="449"/>
      <c r="Y11" s="450"/>
      <c r="Z11" s="448"/>
      <c r="AA11" s="448"/>
      <c r="AB11" s="438"/>
      <c r="AC11" s="450"/>
      <c r="AD11" s="448"/>
      <c r="AE11" s="448"/>
      <c r="AF11" s="448"/>
      <c r="AG11" s="450"/>
      <c r="AH11" s="448"/>
      <c r="AI11" s="448"/>
      <c r="AJ11" s="448"/>
      <c r="AK11" s="450"/>
      <c r="AL11" s="448"/>
      <c r="AM11" s="448"/>
      <c r="AN11" s="448"/>
      <c r="AO11" s="450"/>
      <c r="AP11" s="448"/>
      <c r="AQ11" s="448"/>
      <c r="AR11" s="448"/>
      <c r="AS11" s="450"/>
      <c r="AT11" s="450"/>
      <c r="AU11" s="450"/>
    </row>
    <row r="12" spans="1:47" ht="15.75" thickBot="1">
      <c r="A12" s="196"/>
      <c r="B12" s="197" t="s">
        <v>234</v>
      </c>
      <c r="C12" s="197"/>
      <c r="D12" s="235"/>
      <c r="E12" s="236"/>
      <c r="F12" s="197"/>
      <c r="G12" s="197"/>
      <c r="H12" s="235"/>
      <c r="I12" s="236"/>
      <c r="J12" s="197"/>
      <c r="K12" s="197"/>
      <c r="L12" s="235"/>
      <c r="M12" s="236"/>
      <c r="N12" s="197"/>
      <c r="O12" s="197"/>
      <c r="P12" s="235"/>
      <c r="Q12" s="236"/>
      <c r="R12" s="197"/>
      <c r="S12" s="197"/>
      <c r="T12" s="235"/>
      <c r="U12" s="236"/>
      <c r="V12" s="197"/>
      <c r="W12" s="197"/>
      <c r="X12" s="235"/>
      <c r="Y12" s="236"/>
      <c r="Z12" s="197"/>
      <c r="AA12" s="197"/>
      <c r="AB12" s="197"/>
      <c r="AC12" s="236"/>
      <c r="AD12" s="197"/>
      <c r="AE12" s="197"/>
      <c r="AF12" s="197"/>
      <c r="AG12" s="236"/>
      <c r="AH12" s="197"/>
      <c r="AI12" s="198"/>
      <c r="AJ12" s="198"/>
      <c r="AK12" s="236"/>
      <c r="AL12" s="198"/>
      <c r="AM12" s="198"/>
      <c r="AN12" s="198"/>
      <c r="AO12" s="236"/>
      <c r="AP12" s="198"/>
      <c r="AQ12" s="198"/>
      <c r="AR12" s="198"/>
      <c r="AS12" s="236"/>
      <c r="AT12" s="236"/>
      <c r="AU12" s="236"/>
    </row>
    <row r="13" spans="1:47" ht="15" thickTop="1">
      <c r="B13" s="192" t="s">
        <v>195</v>
      </c>
      <c r="C13" s="372"/>
      <c r="D13" s="194"/>
      <c r="E13" s="195"/>
      <c r="F13" s="372"/>
      <c r="G13" s="372"/>
      <c r="H13" s="194"/>
      <c r="I13" s="195"/>
      <c r="J13" s="372"/>
      <c r="K13" s="372"/>
      <c r="L13" s="194"/>
      <c r="M13" s="195"/>
      <c r="N13" s="372"/>
      <c r="O13" s="372"/>
      <c r="P13" s="194"/>
      <c r="Q13" s="195"/>
      <c r="R13" s="372"/>
      <c r="S13" s="372"/>
      <c r="T13" s="194"/>
      <c r="U13" s="195"/>
      <c r="V13" s="372"/>
      <c r="W13" s="372"/>
      <c r="X13" s="194"/>
      <c r="Y13" s="195"/>
      <c r="Z13" s="193">
        <v>82527</v>
      </c>
      <c r="AA13" s="193">
        <v>-72350</v>
      </c>
      <c r="AB13" s="193">
        <v>-92219</v>
      </c>
      <c r="AC13" s="195">
        <v>173505</v>
      </c>
      <c r="AD13" s="193">
        <v>54199</v>
      </c>
      <c r="AE13" s="193">
        <v>66792</v>
      </c>
      <c r="AF13" s="193">
        <v>56283</v>
      </c>
      <c r="AG13" s="195">
        <v>528040</v>
      </c>
      <c r="AH13" s="193">
        <v>374232</v>
      </c>
      <c r="AI13" s="193">
        <v>229629</v>
      </c>
      <c r="AJ13" s="193">
        <v>158506</v>
      </c>
      <c r="AK13" s="195">
        <v>302657</v>
      </c>
      <c r="AL13" s="193">
        <v>192820</v>
      </c>
      <c r="AM13" s="193">
        <v>59842</v>
      </c>
      <c r="AN13" s="193">
        <v>34466</v>
      </c>
      <c r="AO13" s="195">
        <v>280836</v>
      </c>
      <c r="AP13" s="193">
        <v>65873</v>
      </c>
      <c r="AQ13" s="193">
        <v>46591</v>
      </c>
      <c r="AR13" s="193">
        <v>36169</v>
      </c>
      <c r="AS13" s="195">
        <v>87833</v>
      </c>
      <c r="AT13" s="195">
        <v>65591</v>
      </c>
      <c r="AU13" s="195">
        <v>360072</v>
      </c>
    </row>
    <row r="14" spans="1:47">
      <c r="B14" s="237" t="s">
        <v>358</v>
      </c>
      <c r="C14" s="193">
        <v>185292</v>
      </c>
      <c r="D14" s="194">
        <v>30734</v>
      </c>
      <c r="E14" s="195">
        <v>577464</v>
      </c>
      <c r="F14" s="193">
        <v>600726</v>
      </c>
      <c r="G14" s="193">
        <v>476798</v>
      </c>
      <c r="H14" s="194">
        <v>176923</v>
      </c>
      <c r="I14" s="195">
        <v>699110</v>
      </c>
      <c r="J14" s="193">
        <v>322867</v>
      </c>
      <c r="K14" s="193">
        <v>185972</v>
      </c>
      <c r="L14" s="194">
        <v>78609</v>
      </c>
      <c r="M14" s="195">
        <v>939091</v>
      </c>
      <c r="N14" s="193">
        <v>772056</v>
      </c>
      <c r="O14" s="193">
        <v>571271</v>
      </c>
      <c r="P14" s="194">
        <v>330595</v>
      </c>
      <c r="Q14" s="195">
        <v>1649714</v>
      </c>
      <c r="R14" s="193">
        <v>1448196</v>
      </c>
      <c r="S14" s="193">
        <v>1156436</v>
      </c>
      <c r="T14" s="194">
        <v>517315</v>
      </c>
      <c r="U14" s="195">
        <v>2350671</v>
      </c>
      <c r="V14" s="193">
        <v>1466357</v>
      </c>
      <c r="W14" s="193">
        <v>615142</v>
      </c>
      <c r="X14" s="194">
        <v>309319</v>
      </c>
      <c r="Y14" s="195">
        <v>464489</v>
      </c>
      <c r="Z14" s="193"/>
      <c r="AA14" s="193"/>
      <c r="AB14" s="193"/>
      <c r="AC14" s="195"/>
      <c r="AD14" s="193"/>
      <c r="AE14" s="193"/>
      <c r="AF14" s="193"/>
      <c r="AG14" s="195"/>
      <c r="AH14" s="193"/>
      <c r="AI14" s="193"/>
      <c r="AJ14" s="193"/>
      <c r="AK14" s="195"/>
      <c r="AL14" s="193"/>
      <c r="AM14" s="193"/>
      <c r="AN14" s="193"/>
      <c r="AO14" s="195"/>
      <c r="AP14" s="184"/>
      <c r="AQ14" s="184"/>
      <c r="AR14" s="184"/>
      <c r="AS14" s="184"/>
      <c r="AT14" s="184"/>
      <c r="AU14" s="184"/>
    </row>
    <row r="15" spans="1:47" ht="15.75" thickBot="1">
      <c r="A15" s="196"/>
      <c r="B15" s="197" t="s">
        <v>235</v>
      </c>
      <c r="C15" s="198"/>
      <c r="D15" s="199"/>
      <c r="E15" s="200"/>
      <c r="F15" s="198"/>
      <c r="G15" s="198"/>
      <c r="H15" s="199"/>
      <c r="I15" s="200"/>
      <c r="J15" s="198"/>
      <c r="K15" s="198"/>
      <c r="L15" s="199"/>
      <c r="M15" s="200"/>
      <c r="N15" s="198"/>
      <c r="O15" s="198"/>
      <c r="P15" s="199"/>
      <c r="Q15" s="200"/>
      <c r="R15" s="198"/>
      <c r="S15" s="198"/>
      <c r="T15" s="199"/>
      <c r="U15" s="200"/>
      <c r="V15" s="198"/>
      <c r="W15" s="198"/>
      <c r="X15" s="199"/>
      <c r="Y15" s="200"/>
      <c r="Z15" s="198"/>
      <c r="AA15" s="198"/>
      <c r="AB15" s="198"/>
      <c r="AC15" s="200"/>
      <c r="AD15" s="198"/>
      <c r="AE15" s="198"/>
      <c r="AF15" s="198"/>
      <c r="AG15" s="200"/>
      <c r="AH15" s="198"/>
      <c r="AI15" s="198"/>
      <c r="AJ15" s="198"/>
      <c r="AK15" s="200"/>
      <c r="AL15" s="198"/>
      <c r="AM15" s="198"/>
      <c r="AN15" s="198"/>
      <c r="AO15" s="200"/>
      <c r="AP15" s="198"/>
      <c r="AQ15" s="198"/>
      <c r="AR15" s="198"/>
      <c r="AS15" s="200"/>
      <c r="AT15" s="200"/>
      <c r="AU15" s="200"/>
    </row>
    <row r="16" spans="1:47" ht="15" thickTop="1">
      <c r="B16" s="201" t="s">
        <v>236</v>
      </c>
      <c r="C16" s="193">
        <v>59238</v>
      </c>
      <c r="D16" s="194">
        <v>22124</v>
      </c>
      <c r="E16" s="195">
        <f>142836+1986</f>
        <v>144822</v>
      </c>
      <c r="F16" s="193">
        <v>106005</v>
      </c>
      <c r="G16" s="193">
        <v>70460</v>
      </c>
      <c r="H16" s="194">
        <v>35130</v>
      </c>
      <c r="I16" s="195">
        <v>137089</v>
      </c>
      <c r="J16" s="193">
        <v>102593</v>
      </c>
      <c r="K16" s="193">
        <v>67516</v>
      </c>
      <c r="L16" s="194">
        <v>34222</v>
      </c>
      <c r="M16" s="195">
        <v>117942</v>
      </c>
      <c r="N16" s="193">
        <v>70353</v>
      </c>
      <c r="O16" s="193">
        <v>46154</v>
      </c>
      <c r="P16" s="194">
        <v>23032</v>
      </c>
      <c r="Q16" s="195">
        <v>95664</v>
      </c>
      <c r="R16" s="193">
        <v>71543</v>
      </c>
      <c r="S16" s="193">
        <v>47687</v>
      </c>
      <c r="T16" s="194">
        <v>23756</v>
      </c>
      <c r="U16" s="195">
        <v>90086</v>
      </c>
      <c r="V16" s="193">
        <v>65163</v>
      </c>
      <c r="W16" s="193">
        <v>43401</v>
      </c>
      <c r="X16" s="194">
        <v>21702</v>
      </c>
      <c r="Y16" s="195">
        <v>87448</v>
      </c>
      <c r="Z16" s="193">
        <v>65555</v>
      </c>
      <c r="AA16" s="193">
        <v>43680</v>
      </c>
      <c r="AB16" s="193">
        <v>21839</v>
      </c>
      <c r="AC16" s="195">
        <v>92552</v>
      </c>
      <c r="AD16" s="193">
        <v>67063</v>
      </c>
      <c r="AE16" s="193">
        <v>45316</v>
      </c>
      <c r="AF16" s="193">
        <v>23105</v>
      </c>
      <c r="AG16" s="195">
        <v>95858</v>
      </c>
      <c r="AH16" s="193">
        <v>71024</v>
      </c>
      <c r="AI16" s="193">
        <v>35167</v>
      </c>
      <c r="AJ16" s="193">
        <v>17540</v>
      </c>
      <c r="AK16" s="195">
        <v>68880</v>
      </c>
      <c r="AL16" s="193">
        <v>51451</v>
      </c>
      <c r="AM16" s="193">
        <v>34257</v>
      </c>
      <c r="AN16" s="193">
        <v>17113</v>
      </c>
      <c r="AO16" s="195">
        <v>109611</v>
      </c>
      <c r="AP16" s="193">
        <v>37726</v>
      </c>
      <c r="AQ16" s="193">
        <v>25014</v>
      </c>
      <c r="AR16" s="193">
        <v>12484</v>
      </c>
      <c r="AS16" s="195">
        <v>78326</v>
      </c>
      <c r="AT16" s="195">
        <v>46909</v>
      </c>
      <c r="AU16" s="195">
        <v>16912</v>
      </c>
    </row>
    <row r="17" spans="1:47">
      <c r="B17" s="201" t="s">
        <v>237</v>
      </c>
      <c r="C17" s="193">
        <v>0</v>
      </c>
      <c r="D17" s="194"/>
      <c r="E17" s="195">
        <v>3112</v>
      </c>
      <c r="F17" s="193">
        <v>3112</v>
      </c>
      <c r="G17" s="193">
        <v>573</v>
      </c>
      <c r="H17" s="194">
        <v>0</v>
      </c>
      <c r="I17" s="195">
        <v>2855</v>
      </c>
      <c r="J17" s="193">
        <v>2753</v>
      </c>
      <c r="K17" s="193">
        <v>14</v>
      </c>
      <c r="L17" s="194">
        <v>0</v>
      </c>
      <c r="M17" s="195">
        <v>3046</v>
      </c>
      <c r="N17" s="193">
        <v>83</v>
      </c>
      <c r="O17" s="193">
        <v>0</v>
      </c>
      <c r="P17" s="194">
        <v>0</v>
      </c>
      <c r="Q17" s="195">
        <v>403</v>
      </c>
      <c r="R17" s="193">
        <v>79</v>
      </c>
      <c r="S17" s="193">
        <v>79</v>
      </c>
      <c r="T17" s="194">
        <v>66</v>
      </c>
      <c r="U17" s="195">
        <v>1071</v>
      </c>
      <c r="V17" s="193">
        <v>30</v>
      </c>
      <c r="W17" s="193">
        <v>0</v>
      </c>
      <c r="X17" s="194" t="s">
        <v>112</v>
      </c>
      <c r="Y17" s="195">
        <v>340</v>
      </c>
      <c r="Z17" s="193">
        <v>75</v>
      </c>
      <c r="AA17" s="193">
        <v>55</v>
      </c>
      <c r="AB17" s="193">
        <v>55</v>
      </c>
      <c r="AC17" s="195">
        <v>95</v>
      </c>
      <c r="AD17" s="193">
        <v>78</v>
      </c>
      <c r="AE17" s="193">
        <v>58</v>
      </c>
      <c r="AF17" s="193">
        <v>24</v>
      </c>
      <c r="AG17" s="195">
        <v>720</v>
      </c>
      <c r="AH17" s="193">
        <v>13</v>
      </c>
      <c r="AI17" s="193">
        <v>13</v>
      </c>
      <c r="AJ17" s="193">
        <v>6</v>
      </c>
      <c r="AK17" s="195">
        <v>285</v>
      </c>
      <c r="AL17" s="193">
        <v>271</v>
      </c>
      <c r="AM17" s="193">
        <v>271</v>
      </c>
      <c r="AN17" s="193">
        <v>119</v>
      </c>
      <c r="AO17" s="195">
        <v>83</v>
      </c>
      <c r="AP17" s="193">
        <v>40</v>
      </c>
      <c r="AQ17" s="193">
        <v>34</v>
      </c>
      <c r="AR17" s="193">
        <v>9</v>
      </c>
      <c r="AS17" s="195">
        <v>727</v>
      </c>
      <c r="AT17" s="195">
        <v>-11580</v>
      </c>
      <c r="AU17" s="195">
        <v>2271</v>
      </c>
    </row>
    <row r="18" spans="1:47">
      <c r="B18" s="201" t="s">
        <v>238</v>
      </c>
      <c r="C18" s="193">
        <v>5099</v>
      </c>
      <c r="D18" s="194">
        <v>4463</v>
      </c>
      <c r="E18" s="195">
        <v>16048</v>
      </c>
      <c r="F18" s="193">
        <v>3205</v>
      </c>
      <c r="G18" s="193">
        <v>3249</v>
      </c>
      <c r="H18" s="194">
        <v>5044</v>
      </c>
      <c r="I18" s="195">
        <v>-5016</v>
      </c>
      <c r="J18" s="193">
        <v>3684</v>
      </c>
      <c r="K18" s="193">
        <v>2295</v>
      </c>
      <c r="L18" s="194">
        <v>716</v>
      </c>
      <c r="M18" s="195">
        <v>12581</v>
      </c>
      <c r="N18" s="193">
        <v>9677</v>
      </c>
      <c r="O18" s="193">
        <v>639</v>
      </c>
      <c r="P18" s="194">
        <v>-399</v>
      </c>
      <c r="Q18" s="195">
        <v>-2033</v>
      </c>
      <c r="R18" s="193">
        <v>8723</v>
      </c>
      <c r="S18" s="193">
        <v>5801</v>
      </c>
      <c r="T18" s="194">
        <v>-482</v>
      </c>
      <c r="U18" s="195">
        <v>16509</v>
      </c>
      <c r="V18" s="193">
        <v>13852</v>
      </c>
      <c r="W18" s="193">
        <v>8480</v>
      </c>
      <c r="X18" s="194">
        <v>5550</v>
      </c>
      <c r="Y18" s="195">
        <v>-2400</v>
      </c>
      <c r="Z18" s="193">
        <v>1894</v>
      </c>
      <c r="AA18" s="193">
        <v>-202</v>
      </c>
      <c r="AB18" s="193">
        <v>-1001</v>
      </c>
      <c r="AC18" s="195">
        <v>-4561</v>
      </c>
      <c r="AD18" s="193">
        <v>-6609</v>
      </c>
      <c r="AE18" s="193">
        <v>-1056</v>
      </c>
      <c r="AF18" s="193">
        <v>-271</v>
      </c>
      <c r="AG18" s="195">
        <v>-13612</v>
      </c>
      <c r="AH18" s="193">
        <v>-19678</v>
      </c>
      <c r="AI18" s="193">
        <v>2680</v>
      </c>
      <c r="AJ18" s="193">
        <v>2513</v>
      </c>
      <c r="AK18" s="195">
        <v>6444</v>
      </c>
      <c r="AL18" s="193">
        <v>-3324</v>
      </c>
      <c r="AM18" s="193">
        <v>267</v>
      </c>
      <c r="AN18" s="193">
        <v>-221</v>
      </c>
      <c r="AO18" s="195">
        <v>43716</v>
      </c>
      <c r="AP18" s="193">
        <v>12044</v>
      </c>
      <c r="AQ18" s="193">
        <v>10034</v>
      </c>
      <c r="AR18" s="193">
        <v>7179</v>
      </c>
      <c r="AS18" s="195">
        <v>11254</v>
      </c>
      <c r="AT18" s="195">
        <v>23657</v>
      </c>
      <c r="AU18" s="195">
        <v>-12470</v>
      </c>
    </row>
    <row r="19" spans="1:47">
      <c r="B19" s="201" t="s">
        <v>280</v>
      </c>
      <c r="C19" s="193">
        <v>317055</v>
      </c>
      <c r="D19" s="194">
        <v>164404</v>
      </c>
      <c r="E19" s="195">
        <v>514080</v>
      </c>
      <c r="F19" s="193">
        <v>379169</v>
      </c>
      <c r="G19" s="193">
        <v>236317</v>
      </c>
      <c r="H19" s="194">
        <v>116975</v>
      </c>
      <c r="I19" s="195">
        <v>329901</v>
      </c>
      <c r="J19" s="193">
        <v>257002</v>
      </c>
      <c r="K19" s="193">
        <v>159732</v>
      </c>
      <c r="L19" s="194">
        <v>76286</v>
      </c>
      <c r="M19" s="195">
        <v>258253</v>
      </c>
      <c r="N19" s="193">
        <v>185637</v>
      </c>
      <c r="O19" s="193">
        <v>128431</v>
      </c>
      <c r="P19" s="194">
        <v>65128</v>
      </c>
      <c r="Q19" s="195">
        <v>204281</v>
      </c>
      <c r="R19" s="193">
        <v>136025</v>
      </c>
      <c r="S19" s="193">
        <v>113349</v>
      </c>
      <c r="T19" s="194">
        <v>92048</v>
      </c>
      <c r="U19" s="195">
        <v>7665</v>
      </c>
      <c r="V19" s="193">
        <v>41859</v>
      </c>
      <c r="W19" s="193">
        <v>34621</v>
      </c>
      <c r="X19" s="194">
        <v>-6654</v>
      </c>
      <c r="Y19" s="195">
        <v>-21206</v>
      </c>
      <c r="Z19" s="193">
        <v>-46698</v>
      </c>
      <c r="AA19" s="193">
        <v>-49802</v>
      </c>
      <c r="AB19" s="193">
        <v>-44588</v>
      </c>
      <c r="AC19" s="195">
        <v>8850</v>
      </c>
      <c r="AD19" s="193">
        <v>-5149</v>
      </c>
      <c r="AE19" s="193">
        <v>-6661</v>
      </c>
      <c r="AF19" s="193">
        <v>18995</v>
      </c>
      <c r="AG19" s="195">
        <v>85628</v>
      </c>
      <c r="AH19" s="193">
        <v>66368</v>
      </c>
      <c r="AI19" s="193">
        <v>42794</v>
      </c>
      <c r="AJ19" s="193">
        <v>16612</v>
      </c>
      <c r="AK19" s="195">
        <v>51565</v>
      </c>
      <c r="AL19" s="193">
        <v>37615</v>
      </c>
      <c r="AM19" s="193">
        <v>22480</v>
      </c>
      <c r="AN19" s="193">
        <v>12927</v>
      </c>
      <c r="AO19" s="195">
        <v>74572</v>
      </c>
      <c r="AP19" s="193">
        <v>59337</v>
      </c>
      <c r="AQ19" s="193">
        <v>38566</v>
      </c>
      <c r="AR19" s="193">
        <v>19549</v>
      </c>
      <c r="AS19" s="195">
        <v>98312</v>
      </c>
      <c r="AT19" s="195">
        <v>89832</v>
      </c>
      <c r="AU19" s="195">
        <v>56709</v>
      </c>
    </row>
    <row r="20" spans="1:47">
      <c r="B20" s="201" t="s">
        <v>239</v>
      </c>
      <c r="C20" s="193">
        <v>-601</v>
      </c>
      <c r="D20" s="194">
        <v>-228</v>
      </c>
      <c r="E20" s="195">
        <v>234</v>
      </c>
      <c r="F20" s="193">
        <v>295</v>
      </c>
      <c r="G20" s="193">
        <v>356</v>
      </c>
      <c r="H20" s="194">
        <v>418</v>
      </c>
      <c r="I20" s="195">
        <v>-380</v>
      </c>
      <c r="J20" s="193">
        <v>-1183</v>
      </c>
      <c r="K20" s="193">
        <v>-2466</v>
      </c>
      <c r="L20" s="194">
        <v>-61</v>
      </c>
      <c r="M20" s="195">
        <v>233</v>
      </c>
      <c r="N20" s="193">
        <v>294</v>
      </c>
      <c r="O20" s="193">
        <v>-82</v>
      </c>
      <c r="P20" s="194">
        <v>0</v>
      </c>
      <c r="Q20" s="195">
        <v>-57</v>
      </c>
      <c r="R20" s="193">
        <v>-57</v>
      </c>
      <c r="S20" s="193">
        <v>-57</v>
      </c>
      <c r="T20" s="194">
        <v>-10</v>
      </c>
      <c r="U20" s="195">
        <v>-453</v>
      </c>
      <c r="V20" s="193">
        <v>-453</v>
      </c>
      <c r="W20" s="193">
        <v>-332</v>
      </c>
      <c r="X20" s="194">
        <v>-136</v>
      </c>
      <c r="Y20" s="195">
        <v>-3771</v>
      </c>
      <c r="Z20" s="193">
        <v>-5019</v>
      </c>
      <c r="AA20" s="193">
        <v>-5461</v>
      </c>
      <c r="AB20" s="193">
        <v>-2139</v>
      </c>
      <c r="AC20" s="195">
        <v>-2127</v>
      </c>
      <c r="AD20" s="193">
        <v>-2113</v>
      </c>
      <c r="AE20" s="193">
        <v>-2134</v>
      </c>
      <c r="AF20" s="193">
        <v>-2039</v>
      </c>
      <c r="AG20" s="195">
        <v>-31</v>
      </c>
      <c r="AH20" s="193">
        <v>62</v>
      </c>
      <c r="AI20" s="193">
        <v>-140</v>
      </c>
      <c r="AJ20" s="193">
        <v>-64</v>
      </c>
      <c r="AK20" s="195">
        <v>-91</v>
      </c>
      <c r="AL20" s="193">
        <v>-102</v>
      </c>
      <c r="AM20" s="193">
        <v>-57</v>
      </c>
      <c r="AN20" s="193">
        <v>11</v>
      </c>
      <c r="AO20" s="195">
        <v>55</v>
      </c>
      <c r="AP20" s="193">
        <v>68</v>
      </c>
      <c r="AQ20" s="193">
        <v>153</v>
      </c>
      <c r="AR20" s="193">
        <v>409</v>
      </c>
      <c r="AS20" s="195">
        <v>-1037</v>
      </c>
      <c r="AT20" s="195">
        <v>6701</v>
      </c>
      <c r="AU20" s="195">
        <v>1108</v>
      </c>
    </row>
    <row r="21" spans="1:47">
      <c r="B21" s="201" t="s">
        <v>191</v>
      </c>
      <c r="C21" s="193">
        <v>-115364</v>
      </c>
      <c r="D21" s="194">
        <v>-48881</v>
      </c>
      <c r="E21" s="195">
        <v>-208757</v>
      </c>
      <c r="F21" s="193">
        <v>-209968</v>
      </c>
      <c r="G21" s="193">
        <v>-129563</v>
      </c>
      <c r="H21" s="194">
        <v>-91264</v>
      </c>
      <c r="I21" s="195">
        <v>-247624</v>
      </c>
      <c r="J21" s="193">
        <v>-126423</v>
      </c>
      <c r="K21" s="193">
        <v>-41742</v>
      </c>
      <c r="L21" s="194">
        <v>13746</v>
      </c>
      <c r="M21" s="195">
        <v>-412017</v>
      </c>
      <c r="N21" s="193">
        <v>-285265</v>
      </c>
      <c r="O21" s="193">
        <v>-177303</v>
      </c>
      <c r="P21" s="194">
        <v>-98677</v>
      </c>
      <c r="Q21" s="195">
        <v>-673715</v>
      </c>
      <c r="R21" s="193">
        <v>-648240</v>
      </c>
      <c r="S21" s="193">
        <v>-630653</v>
      </c>
      <c r="T21" s="194">
        <v>-297700</v>
      </c>
      <c r="U21" s="195">
        <v>-1264909</v>
      </c>
      <c r="V21" s="193">
        <v>-970512</v>
      </c>
      <c r="W21" s="193">
        <v>-340258</v>
      </c>
      <c r="X21" s="194">
        <v>-213333</v>
      </c>
      <c r="Y21" s="195">
        <v>-193647</v>
      </c>
      <c r="Z21" s="193">
        <v>66073</v>
      </c>
      <c r="AA21" s="193">
        <v>162619</v>
      </c>
      <c r="AB21" s="193">
        <v>126967</v>
      </c>
      <c r="AC21" s="195">
        <v>32619</v>
      </c>
      <c r="AD21" s="193">
        <v>115467</v>
      </c>
      <c r="AE21" s="193">
        <v>54216</v>
      </c>
      <c r="AF21" s="193">
        <v>-9319</v>
      </c>
      <c r="AG21" s="195">
        <v>-183520</v>
      </c>
      <c r="AH21" s="193">
        <v>-97921</v>
      </c>
      <c r="AI21" s="193">
        <v>-50054</v>
      </c>
      <c r="AJ21" s="193">
        <v>-47915</v>
      </c>
      <c r="AK21" s="195">
        <v>-45111</v>
      </c>
      <c r="AL21" s="193">
        <v>-26277</v>
      </c>
      <c r="AM21" s="193">
        <v>37751</v>
      </c>
      <c r="AN21" s="193">
        <v>17613</v>
      </c>
      <c r="AO21" s="195">
        <v>75431</v>
      </c>
      <c r="AP21" s="193">
        <v>7560</v>
      </c>
      <c r="AQ21" s="193">
        <v>826</v>
      </c>
      <c r="AR21" s="193">
        <v>-7024</v>
      </c>
      <c r="AS21" s="195">
        <v>18201</v>
      </c>
      <c r="AT21" s="195">
        <v>3205</v>
      </c>
      <c r="AU21" s="195">
        <v>-35839</v>
      </c>
    </row>
    <row r="22" spans="1:47">
      <c r="B22" s="201" t="s">
        <v>240</v>
      </c>
      <c r="C22" s="193">
        <v>0</v>
      </c>
      <c r="D22" s="194"/>
      <c r="E22" s="195">
        <v>0</v>
      </c>
      <c r="F22" s="193">
        <v>0</v>
      </c>
      <c r="G22" s="193">
        <v>0</v>
      </c>
      <c r="H22" s="194">
        <v>0</v>
      </c>
      <c r="I22" s="195">
        <v>0</v>
      </c>
      <c r="J22" s="193">
        <v>0</v>
      </c>
      <c r="K22" s="193">
        <v>0</v>
      </c>
      <c r="L22" s="194">
        <v>0</v>
      </c>
      <c r="M22" s="195">
        <v>0</v>
      </c>
      <c r="N22" s="193">
        <v>0</v>
      </c>
      <c r="O22" s="193">
        <v>0</v>
      </c>
      <c r="P22" s="194">
        <v>0</v>
      </c>
      <c r="Q22" s="195">
        <v>0</v>
      </c>
      <c r="R22" s="193">
        <v>0</v>
      </c>
      <c r="S22" s="193">
        <v>0</v>
      </c>
      <c r="T22" s="194">
        <v>0</v>
      </c>
      <c r="U22" s="195">
        <v>0</v>
      </c>
      <c r="V22" s="193">
        <v>0</v>
      </c>
      <c r="W22" s="193">
        <v>0</v>
      </c>
      <c r="X22" s="194">
        <v>0</v>
      </c>
      <c r="Y22" s="195">
        <v>0</v>
      </c>
      <c r="Z22" s="193">
        <v>21733</v>
      </c>
      <c r="AA22" s="193">
        <v>19058</v>
      </c>
      <c r="AB22" s="193">
        <v>832</v>
      </c>
      <c r="AC22" s="195">
        <v>-2689</v>
      </c>
      <c r="AD22" s="193">
        <v>7021</v>
      </c>
      <c r="AE22" s="193">
        <v>4615</v>
      </c>
      <c r="AF22" s="193">
        <v>-1046</v>
      </c>
      <c r="AG22" s="195">
        <v>39303</v>
      </c>
      <c r="AH22" s="193">
        <v>53067</v>
      </c>
      <c r="AI22" s="193">
        <v>44841</v>
      </c>
      <c r="AJ22" s="193">
        <v>29656</v>
      </c>
      <c r="AK22" s="195">
        <v>-8749</v>
      </c>
      <c r="AL22" s="193">
        <v>32361</v>
      </c>
      <c r="AM22" s="193">
        <v>24245</v>
      </c>
      <c r="AN22" s="193">
        <v>13032</v>
      </c>
      <c r="AO22" s="195">
        <v>140744</v>
      </c>
      <c r="AP22" s="193">
        <v>4357</v>
      </c>
      <c r="AQ22" s="193">
        <v>2111</v>
      </c>
      <c r="AR22" s="193">
        <v>164</v>
      </c>
      <c r="AS22" s="195">
        <v>-26748</v>
      </c>
      <c r="AT22" s="195">
        <v>-4103</v>
      </c>
      <c r="AU22" s="195">
        <v>-2987</v>
      </c>
    </row>
    <row r="23" spans="1:47">
      <c r="B23" s="201" t="s">
        <v>241</v>
      </c>
      <c r="C23" s="193">
        <v>0</v>
      </c>
      <c r="D23" s="194"/>
      <c r="E23" s="195">
        <v>0</v>
      </c>
      <c r="F23" s="193">
        <v>0</v>
      </c>
      <c r="G23" s="193">
        <v>0</v>
      </c>
      <c r="H23" s="194">
        <v>0</v>
      </c>
      <c r="I23" s="195">
        <v>-79668</v>
      </c>
      <c r="J23" s="193">
        <v>0</v>
      </c>
      <c r="K23" s="193">
        <v>0</v>
      </c>
      <c r="L23" s="194">
        <v>0</v>
      </c>
      <c r="M23" s="195">
        <v>0</v>
      </c>
      <c r="N23" s="193">
        <v>0</v>
      </c>
      <c r="O23" s="193">
        <v>0</v>
      </c>
      <c r="P23" s="194">
        <v>0</v>
      </c>
      <c r="Q23" s="195">
        <v>0</v>
      </c>
      <c r="R23" s="193">
        <v>0</v>
      </c>
      <c r="S23" s="193">
        <v>0</v>
      </c>
      <c r="T23" s="194">
        <v>0</v>
      </c>
      <c r="U23" s="195">
        <v>0</v>
      </c>
      <c r="V23" s="193">
        <v>0</v>
      </c>
      <c r="W23" s="193">
        <v>0</v>
      </c>
      <c r="X23" s="194">
        <v>1433</v>
      </c>
      <c r="Y23" s="195">
        <v>1433</v>
      </c>
      <c r="Z23" s="193">
        <v>1433</v>
      </c>
      <c r="AA23" s="193">
        <v>1230</v>
      </c>
      <c r="AB23" s="193">
        <v>617</v>
      </c>
      <c r="AC23" s="195">
        <v>-7305</v>
      </c>
      <c r="AD23" s="193">
        <v>-7922</v>
      </c>
      <c r="AE23" s="193">
        <v>1720</v>
      </c>
      <c r="AF23" s="193">
        <v>883</v>
      </c>
      <c r="AG23" s="195">
        <v>3883</v>
      </c>
      <c r="AH23" s="193">
        <v>2976</v>
      </c>
      <c r="AI23" s="193">
        <v>2010</v>
      </c>
      <c r="AJ23" s="193">
        <v>1462</v>
      </c>
      <c r="AK23" s="195">
        <v>25473</v>
      </c>
      <c r="AL23" s="193">
        <v>22690</v>
      </c>
      <c r="AM23" s="193">
        <v>15136</v>
      </c>
      <c r="AN23" s="193">
        <v>7123</v>
      </c>
      <c r="AO23" s="195">
        <v>41932</v>
      </c>
      <c r="AP23" s="193">
        <v>33864</v>
      </c>
      <c r="AQ23" s="193">
        <v>24616</v>
      </c>
      <c r="AR23" s="193">
        <v>12134</v>
      </c>
      <c r="AS23" s="195">
        <v>20829</v>
      </c>
      <c r="AT23" s="195">
        <v>0</v>
      </c>
      <c r="AU23" s="195">
        <v>0</v>
      </c>
    </row>
    <row r="24" spans="1:47">
      <c r="A24" s="184"/>
      <c r="B24" s="201" t="s">
        <v>242</v>
      </c>
      <c r="C24" s="193">
        <v>0</v>
      </c>
      <c r="D24" s="194"/>
      <c r="E24" s="195">
        <v>0</v>
      </c>
      <c r="F24" s="193">
        <v>0</v>
      </c>
      <c r="G24" s="193">
        <v>0</v>
      </c>
      <c r="H24" s="194">
        <v>0</v>
      </c>
      <c r="I24" s="195">
        <v>0</v>
      </c>
      <c r="J24" s="193">
        <v>0</v>
      </c>
      <c r="K24" s="193">
        <v>0</v>
      </c>
      <c r="L24" s="194">
        <v>0</v>
      </c>
      <c r="M24" s="195">
        <v>0</v>
      </c>
      <c r="N24" s="193">
        <v>0</v>
      </c>
      <c r="O24" s="193">
        <v>0</v>
      </c>
      <c r="P24" s="194">
        <v>0</v>
      </c>
      <c r="Q24" s="195">
        <v>0</v>
      </c>
      <c r="R24" s="193">
        <v>0</v>
      </c>
      <c r="S24" s="193">
        <v>0</v>
      </c>
      <c r="T24" s="194">
        <v>0</v>
      </c>
      <c r="U24" s="195">
        <v>0</v>
      </c>
      <c r="V24" s="193">
        <v>0</v>
      </c>
      <c r="W24" s="193">
        <v>0</v>
      </c>
      <c r="X24" s="194">
        <v>0</v>
      </c>
      <c r="Y24" s="195">
        <v>0</v>
      </c>
      <c r="Z24" s="193">
        <v>0</v>
      </c>
      <c r="AA24" s="193">
        <v>0</v>
      </c>
      <c r="AB24" s="193">
        <v>0</v>
      </c>
      <c r="AC24" s="195">
        <v>0</v>
      </c>
      <c r="AD24" s="193">
        <v>0</v>
      </c>
      <c r="AE24" s="193">
        <v>0</v>
      </c>
      <c r="AF24" s="193">
        <v>0</v>
      </c>
      <c r="AG24" s="195">
        <v>0</v>
      </c>
      <c r="AH24" s="193">
        <v>0</v>
      </c>
      <c r="AI24" s="193">
        <v>0</v>
      </c>
      <c r="AJ24" s="193">
        <v>0</v>
      </c>
      <c r="AK24" s="195">
        <v>-19765</v>
      </c>
      <c r="AL24" s="193">
        <v>-19765</v>
      </c>
      <c r="AM24" s="193">
        <v>-19765</v>
      </c>
      <c r="AN24" s="193">
        <v>-19765</v>
      </c>
      <c r="AO24" s="195">
        <v>0</v>
      </c>
      <c r="AP24" s="193">
        <v>0</v>
      </c>
      <c r="AQ24" s="193">
        <v>0</v>
      </c>
      <c r="AR24" s="193">
        <v>0</v>
      </c>
      <c r="AS24" s="195">
        <v>0</v>
      </c>
      <c r="AT24" s="195">
        <v>0</v>
      </c>
      <c r="AU24" s="195">
        <v>-344226</v>
      </c>
    </row>
    <row r="25" spans="1:47">
      <c r="A25" s="184"/>
      <c r="B25" s="201" t="s">
        <v>342</v>
      </c>
      <c r="C25" s="193">
        <v>0</v>
      </c>
      <c r="D25" s="194"/>
      <c r="E25" s="195">
        <v>0</v>
      </c>
      <c r="F25" s="193">
        <v>0</v>
      </c>
      <c r="G25" s="193">
        <v>0</v>
      </c>
      <c r="H25" s="194">
        <v>0</v>
      </c>
      <c r="I25" s="195">
        <v>0</v>
      </c>
      <c r="J25" s="193">
        <v>0</v>
      </c>
      <c r="K25" s="193">
        <v>0</v>
      </c>
      <c r="L25" s="194">
        <v>0</v>
      </c>
      <c r="M25" s="195">
        <v>0</v>
      </c>
      <c r="N25" s="193">
        <v>0</v>
      </c>
      <c r="O25" s="193">
        <v>0</v>
      </c>
      <c r="P25" s="194">
        <v>0</v>
      </c>
      <c r="Q25" s="195">
        <v>25203</v>
      </c>
      <c r="R25" s="193">
        <v>-12705</v>
      </c>
      <c r="S25" s="193">
        <v>0</v>
      </c>
      <c r="T25" s="194">
        <v>0</v>
      </c>
      <c r="U25" s="195">
        <v>-7452</v>
      </c>
      <c r="V25" s="193">
        <v>-9316</v>
      </c>
      <c r="W25" s="193">
        <v>-5968</v>
      </c>
      <c r="X25" s="194">
        <v>-5151</v>
      </c>
      <c r="Y25" s="195">
        <v>0</v>
      </c>
      <c r="Z25" s="193">
        <v>0</v>
      </c>
      <c r="AA25" s="193">
        <v>0</v>
      </c>
      <c r="AB25" s="193">
        <v>0</v>
      </c>
      <c r="AC25" s="195">
        <v>0</v>
      </c>
      <c r="AD25" s="193">
        <v>0</v>
      </c>
      <c r="AE25" s="193">
        <v>0</v>
      </c>
      <c r="AF25" s="193">
        <v>0</v>
      </c>
      <c r="AG25" s="195">
        <v>0</v>
      </c>
      <c r="AH25" s="193">
        <v>0</v>
      </c>
      <c r="AI25" s="193">
        <v>0</v>
      </c>
      <c r="AJ25" s="193">
        <v>0</v>
      </c>
      <c r="AK25" s="195">
        <v>0</v>
      </c>
      <c r="AL25" s="193">
        <v>0</v>
      </c>
      <c r="AM25" s="193">
        <v>0</v>
      </c>
      <c r="AN25" s="193">
        <v>0</v>
      </c>
      <c r="AO25" s="195">
        <v>0</v>
      </c>
      <c r="AP25" s="193">
        <v>0</v>
      </c>
      <c r="AQ25" s="193">
        <v>0</v>
      </c>
      <c r="AR25" s="193">
        <v>0</v>
      </c>
      <c r="AS25" s="195">
        <v>0</v>
      </c>
      <c r="AT25" s="195">
        <v>0</v>
      </c>
      <c r="AU25" s="195">
        <v>0</v>
      </c>
    </row>
    <row r="26" spans="1:47">
      <c r="A26" s="184"/>
      <c r="B26" s="201" t="s">
        <v>326</v>
      </c>
      <c r="C26" s="193">
        <v>900</v>
      </c>
      <c r="D26" s="194">
        <v>450</v>
      </c>
      <c r="E26" s="195">
        <v>3240</v>
      </c>
      <c r="F26" s="193">
        <v>2791</v>
      </c>
      <c r="G26" s="193">
        <v>2135</v>
      </c>
      <c r="H26" s="194">
        <v>1068</v>
      </c>
      <c r="I26" s="195">
        <v>6450</v>
      </c>
      <c r="J26" s="193">
        <v>5383</v>
      </c>
      <c r="K26" s="193">
        <v>3945</v>
      </c>
      <c r="L26" s="194">
        <v>1766</v>
      </c>
      <c r="M26" s="195">
        <v>10867</v>
      </c>
      <c r="N26" s="193">
        <v>9101</v>
      </c>
      <c r="O26" s="193">
        <v>6792</v>
      </c>
      <c r="P26" s="194">
        <v>3396</v>
      </c>
      <c r="Q26" s="195">
        <v>0</v>
      </c>
      <c r="R26" s="193">
        <v>17264</v>
      </c>
      <c r="S26" s="193">
        <v>0</v>
      </c>
      <c r="T26" s="194">
        <v>0</v>
      </c>
      <c r="U26" s="195">
        <v>0</v>
      </c>
      <c r="V26" s="193">
        <v>0</v>
      </c>
      <c r="W26" s="193">
        <v>0</v>
      </c>
      <c r="X26" s="194">
        <v>0</v>
      </c>
      <c r="Y26" s="195">
        <v>24770</v>
      </c>
      <c r="Z26" s="193">
        <v>24770</v>
      </c>
      <c r="AA26" s="193">
        <v>24770</v>
      </c>
      <c r="AB26" s="193">
        <v>24770</v>
      </c>
      <c r="AC26" s="195">
        <v>0</v>
      </c>
      <c r="AD26" s="193">
        <v>0</v>
      </c>
      <c r="AE26" s="193">
        <v>0</v>
      </c>
      <c r="AF26" s="193">
        <v>0</v>
      </c>
      <c r="AG26" s="195">
        <v>0</v>
      </c>
      <c r="AH26" s="193">
        <v>0</v>
      </c>
      <c r="AI26" s="193">
        <v>0</v>
      </c>
      <c r="AJ26" s="193">
        <v>0</v>
      </c>
      <c r="AK26" s="195">
        <v>0</v>
      </c>
      <c r="AL26" s="193">
        <v>0</v>
      </c>
      <c r="AM26" s="193">
        <v>0</v>
      </c>
      <c r="AN26" s="193">
        <v>0</v>
      </c>
      <c r="AO26" s="195">
        <v>0</v>
      </c>
      <c r="AP26" s="193">
        <v>0</v>
      </c>
      <c r="AQ26" s="193">
        <v>0</v>
      </c>
      <c r="AR26" s="193">
        <v>0</v>
      </c>
      <c r="AS26" s="195">
        <v>0</v>
      </c>
      <c r="AT26" s="195">
        <v>0</v>
      </c>
      <c r="AU26" s="195">
        <v>0</v>
      </c>
    </row>
    <row r="27" spans="1:47">
      <c r="A27" s="184"/>
      <c r="B27" s="239" t="s">
        <v>339</v>
      </c>
      <c r="C27" s="193">
        <v>0</v>
      </c>
      <c r="D27" s="194"/>
      <c r="E27" s="195">
        <v>0</v>
      </c>
      <c r="F27" s="193">
        <v>0</v>
      </c>
      <c r="G27" s="193">
        <v>0</v>
      </c>
      <c r="H27" s="194">
        <v>0</v>
      </c>
      <c r="I27" s="195">
        <v>0</v>
      </c>
      <c r="J27" s="193">
        <v>0</v>
      </c>
      <c r="K27" s="193">
        <v>0</v>
      </c>
      <c r="L27" s="194">
        <v>0</v>
      </c>
      <c r="M27" s="195">
        <v>0</v>
      </c>
      <c r="N27" s="193">
        <v>0</v>
      </c>
      <c r="O27" s="193">
        <v>0</v>
      </c>
      <c r="P27" s="194">
        <v>0</v>
      </c>
      <c r="Q27" s="195">
        <v>20660</v>
      </c>
      <c r="R27" s="193">
        <v>0</v>
      </c>
      <c r="S27" s="193">
        <v>0</v>
      </c>
      <c r="T27" s="194">
        <v>0</v>
      </c>
      <c r="U27" s="195">
        <v>0</v>
      </c>
      <c r="V27" s="193">
        <v>0</v>
      </c>
      <c r="W27" s="193">
        <v>0</v>
      </c>
      <c r="X27" s="194">
        <v>0</v>
      </c>
      <c r="Y27" s="195">
        <v>-1600</v>
      </c>
      <c r="Z27" s="193">
        <v>0</v>
      </c>
      <c r="AA27" s="193">
        <v>0</v>
      </c>
      <c r="AB27" s="193">
        <v>0</v>
      </c>
      <c r="AC27" s="195">
        <v>0</v>
      </c>
      <c r="AD27" s="193">
        <v>0</v>
      </c>
      <c r="AE27" s="193">
        <v>0</v>
      </c>
      <c r="AF27" s="193">
        <v>0</v>
      </c>
      <c r="AG27" s="195">
        <v>0</v>
      </c>
      <c r="AH27" s="193">
        <v>0</v>
      </c>
      <c r="AI27" s="193">
        <v>0</v>
      </c>
      <c r="AJ27" s="193">
        <v>0</v>
      </c>
      <c r="AK27" s="195">
        <v>0</v>
      </c>
      <c r="AL27" s="193">
        <v>0</v>
      </c>
      <c r="AM27" s="193">
        <v>0</v>
      </c>
      <c r="AN27" s="193">
        <v>0</v>
      </c>
      <c r="AO27" s="195">
        <v>0</v>
      </c>
      <c r="AP27" s="193">
        <v>0</v>
      </c>
      <c r="AQ27" s="193">
        <v>0</v>
      </c>
      <c r="AR27" s="193">
        <v>0</v>
      </c>
      <c r="AS27" s="195">
        <v>0</v>
      </c>
      <c r="AT27" s="195">
        <v>0</v>
      </c>
      <c r="AU27" s="195">
        <v>0</v>
      </c>
    </row>
    <row r="28" spans="1:47">
      <c r="A28" s="184"/>
      <c r="B28" s="201" t="s">
        <v>243</v>
      </c>
      <c r="C28" s="193">
        <v>0</v>
      </c>
      <c r="D28" s="194"/>
      <c r="E28" s="195">
        <v>0</v>
      </c>
      <c r="F28" s="193">
        <v>0</v>
      </c>
      <c r="G28" s="193">
        <v>0</v>
      </c>
      <c r="H28" s="194">
        <v>0</v>
      </c>
      <c r="I28" s="195">
        <v>0</v>
      </c>
      <c r="J28" s="193">
        <v>0</v>
      </c>
      <c r="K28" s="193">
        <v>0</v>
      </c>
      <c r="L28" s="194">
        <v>0</v>
      </c>
      <c r="M28" s="195">
        <v>0</v>
      </c>
      <c r="N28" s="193">
        <v>0</v>
      </c>
      <c r="O28" s="193">
        <v>0</v>
      </c>
      <c r="P28" s="194">
        <v>0</v>
      </c>
      <c r="Q28" s="195">
        <v>0</v>
      </c>
      <c r="R28" s="193">
        <v>0</v>
      </c>
      <c r="S28" s="193">
        <v>0</v>
      </c>
      <c r="T28" s="194">
        <v>0</v>
      </c>
      <c r="U28" s="195">
        <v>0</v>
      </c>
      <c r="V28" s="193">
        <v>0</v>
      </c>
      <c r="W28" s="193">
        <v>0</v>
      </c>
      <c r="X28" s="194">
        <v>0</v>
      </c>
      <c r="Y28" s="195">
        <v>0</v>
      </c>
      <c r="Z28" s="193">
        <v>0</v>
      </c>
      <c r="AA28" s="193">
        <v>0</v>
      </c>
      <c r="AB28" s="193">
        <v>0</v>
      </c>
      <c r="AC28" s="195">
        <v>0</v>
      </c>
      <c r="AD28" s="193">
        <v>0</v>
      </c>
      <c r="AE28" s="193">
        <v>0</v>
      </c>
      <c r="AF28" s="193">
        <v>0</v>
      </c>
      <c r="AG28" s="195">
        <v>0</v>
      </c>
      <c r="AH28" s="193">
        <v>0</v>
      </c>
      <c r="AI28" s="193">
        <v>0</v>
      </c>
      <c r="AJ28" s="193">
        <v>0</v>
      </c>
      <c r="AK28" s="195">
        <v>0</v>
      </c>
      <c r="AL28" s="193">
        <v>0</v>
      </c>
      <c r="AM28" s="193">
        <v>0</v>
      </c>
      <c r="AN28" s="193">
        <v>0</v>
      </c>
      <c r="AO28" s="195">
        <v>37990</v>
      </c>
      <c r="AP28" s="193">
        <v>0</v>
      </c>
      <c r="AQ28" s="193">
        <v>0</v>
      </c>
      <c r="AR28" s="193">
        <v>0</v>
      </c>
      <c r="AS28" s="195">
        <v>0</v>
      </c>
      <c r="AT28" s="195">
        <v>0</v>
      </c>
      <c r="AU28" s="195">
        <v>-1058</v>
      </c>
    </row>
    <row r="29" spans="1:47">
      <c r="A29" s="184"/>
      <c r="B29" s="201" t="s">
        <v>244</v>
      </c>
      <c r="C29" s="193">
        <v>0</v>
      </c>
      <c r="D29" s="194"/>
      <c r="E29" s="195">
        <v>0</v>
      </c>
      <c r="F29" s="193">
        <v>0</v>
      </c>
      <c r="G29" s="193">
        <v>0</v>
      </c>
      <c r="H29" s="194">
        <v>0</v>
      </c>
      <c r="I29" s="195">
        <v>0</v>
      </c>
      <c r="J29" s="193">
        <v>0</v>
      </c>
      <c r="K29" s="193">
        <v>0</v>
      </c>
      <c r="L29" s="194">
        <v>0</v>
      </c>
      <c r="M29" s="195">
        <v>0</v>
      </c>
      <c r="N29" s="193">
        <v>0</v>
      </c>
      <c r="O29" s="193">
        <v>0</v>
      </c>
      <c r="P29" s="194">
        <v>0</v>
      </c>
      <c r="Q29" s="195">
        <v>0</v>
      </c>
      <c r="R29" s="193">
        <v>0</v>
      </c>
      <c r="S29" s="193">
        <v>0</v>
      </c>
      <c r="T29" s="194">
        <v>0</v>
      </c>
      <c r="U29" s="195">
        <v>0</v>
      </c>
      <c r="V29" s="193">
        <v>0</v>
      </c>
      <c r="W29" s="193">
        <v>0</v>
      </c>
      <c r="X29" s="194">
        <v>0</v>
      </c>
      <c r="Y29" s="195">
        <v>0</v>
      </c>
      <c r="Z29" s="193">
        <v>0</v>
      </c>
      <c r="AA29" s="193">
        <v>0</v>
      </c>
      <c r="AB29" s="193">
        <v>0</v>
      </c>
      <c r="AC29" s="195">
        <v>0</v>
      </c>
      <c r="AD29" s="193">
        <v>0</v>
      </c>
      <c r="AE29" s="193">
        <v>0</v>
      </c>
      <c r="AF29" s="193">
        <v>0</v>
      </c>
      <c r="AG29" s="195">
        <v>0</v>
      </c>
      <c r="AH29" s="193">
        <v>0</v>
      </c>
      <c r="AI29" s="193">
        <v>0</v>
      </c>
      <c r="AJ29" s="193">
        <v>0</v>
      </c>
      <c r="AK29" s="195">
        <v>55000</v>
      </c>
      <c r="AL29" s="193">
        <v>0</v>
      </c>
      <c r="AM29" s="193">
        <v>0</v>
      </c>
      <c r="AN29" s="193">
        <v>0</v>
      </c>
      <c r="AO29" s="195">
        <v>0</v>
      </c>
      <c r="AP29" s="193">
        <v>0</v>
      </c>
      <c r="AQ29" s="193">
        <v>0</v>
      </c>
      <c r="AR29" s="193">
        <v>0</v>
      </c>
      <c r="AS29" s="195">
        <v>0</v>
      </c>
      <c r="AT29" s="195">
        <v>0</v>
      </c>
      <c r="AU29" s="195">
        <v>0</v>
      </c>
    </row>
    <row r="30" spans="1:47">
      <c r="A30" s="184"/>
      <c r="B30" s="201" t="s">
        <v>245</v>
      </c>
      <c r="C30" s="193">
        <v>0</v>
      </c>
      <c r="D30" s="194"/>
      <c r="E30" s="195">
        <v>0</v>
      </c>
      <c r="F30" s="193">
        <v>0</v>
      </c>
      <c r="G30" s="193">
        <v>0</v>
      </c>
      <c r="H30" s="194">
        <v>0</v>
      </c>
      <c r="I30" s="195">
        <v>0</v>
      </c>
      <c r="J30" s="193">
        <v>0</v>
      </c>
      <c r="K30" s="193">
        <v>0</v>
      </c>
      <c r="L30" s="194">
        <v>0</v>
      </c>
      <c r="M30" s="195">
        <v>0</v>
      </c>
      <c r="N30" s="193">
        <v>0</v>
      </c>
      <c r="O30" s="193">
        <v>0</v>
      </c>
      <c r="P30" s="194">
        <v>0</v>
      </c>
      <c r="Q30" s="195">
        <v>0</v>
      </c>
      <c r="R30" s="193">
        <v>0</v>
      </c>
      <c r="S30" s="193">
        <v>0</v>
      </c>
      <c r="T30" s="194">
        <v>0</v>
      </c>
      <c r="U30" s="195">
        <v>0</v>
      </c>
      <c r="V30" s="193">
        <v>0</v>
      </c>
      <c r="W30" s="193">
        <v>0</v>
      </c>
      <c r="X30" s="194">
        <v>0</v>
      </c>
      <c r="Y30" s="195">
        <v>0</v>
      </c>
      <c r="Z30" s="193">
        <v>0</v>
      </c>
      <c r="AA30" s="193">
        <v>0</v>
      </c>
      <c r="AB30" s="193">
        <v>0</v>
      </c>
      <c r="AC30" s="195">
        <v>0</v>
      </c>
      <c r="AD30" s="193">
        <v>0</v>
      </c>
      <c r="AE30" s="193">
        <v>0</v>
      </c>
      <c r="AF30" s="193">
        <v>0</v>
      </c>
      <c r="AG30" s="195">
        <v>0</v>
      </c>
      <c r="AH30" s="193">
        <v>0</v>
      </c>
      <c r="AI30" s="193">
        <v>0</v>
      </c>
      <c r="AJ30" s="193">
        <v>0</v>
      </c>
      <c r="AK30" s="195">
        <v>-110203</v>
      </c>
      <c r="AL30" s="193">
        <v>0</v>
      </c>
      <c r="AM30" s="193">
        <v>0</v>
      </c>
      <c r="AN30" s="193">
        <v>0</v>
      </c>
      <c r="AO30" s="195">
        <v>0</v>
      </c>
      <c r="AP30" s="193">
        <v>0</v>
      </c>
      <c r="AQ30" s="193">
        <v>0</v>
      </c>
      <c r="AR30" s="193">
        <v>0</v>
      </c>
      <c r="AS30" s="195">
        <v>0</v>
      </c>
      <c r="AT30" s="195">
        <v>0</v>
      </c>
      <c r="AU30" s="195">
        <v>0</v>
      </c>
    </row>
    <row r="31" spans="1:47">
      <c r="A31" s="184"/>
      <c r="B31" s="201" t="s">
        <v>246</v>
      </c>
      <c r="C31" s="193">
        <v>0</v>
      </c>
      <c r="D31" s="194"/>
      <c r="E31" s="195">
        <v>0</v>
      </c>
      <c r="F31" s="193">
        <v>0</v>
      </c>
      <c r="G31" s="193">
        <v>0</v>
      </c>
      <c r="H31" s="194">
        <v>0</v>
      </c>
      <c r="I31" s="195">
        <v>0</v>
      </c>
      <c r="J31" s="193">
        <v>0</v>
      </c>
      <c r="K31" s="193">
        <v>0</v>
      </c>
      <c r="L31" s="194">
        <v>0</v>
      </c>
      <c r="M31" s="195">
        <v>0</v>
      </c>
      <c r="N31" s="193">
        <v>0</v>
      </c>
      <c r="O31" s="193">
        <v>0</v>
      </c>
      <c r="P31" s="194">
        <v>0</v>
      </c>
      <c r="Q31" s="195">
        <v>0</v>
      </c>
      <c r="R31" s="193">
        <v>0</v>
      </c>
      <c r="S31" s="193">
        <v>0</v>
      </c>
      <c r="T31" s="194">
        <v>0</v>
      </c>
      <c r="U31" s="195">
        <v>0</v>
      </c>
      <c r="V31" s="193">
        <v>0</v>
      </c>
      <c r="W31" s="193">
        <v>0</v>
      </c>
      <c r="X31" s="194">
        <v>0</v>
      </c>
      <c r="Y31" s="195">
        <v>0</v>
      </c>
      <c r="Z31" s="193">
        <v>0</v>
      </c>
      <c r="AA31" s="193">
        <v>0</v>
      </c>
      <c r="AB31" s="193">
        <v>0</v>
      </c>
      <c r="AC31" s="195">
        <v>0</v>
      </c>
      <c r="AD31" s="193">
        <v>0</v>
      </c>
      <c r="AE31" s="193">
        <v>0</v>
      </c>
      <c r="AF31" s="193">
        <v>0</v>
      </c>
      <c r="AG31" s="195">
        <v>0</v>
      </c>
      <c r="AH31" s="193">
        <v>0</v>
      </c>
      <c r="AI31" s="193">
        <v>0</v>
      </c>
      <c r="AJ31" s="193">
        <v>0</v>
      </c>
      <c r="AK31" s="195">
        <v>16432</v>
      </c>
      <c r="AL31" s="193">
        <v>0</v>
      </c>
      <c r="AM31" s="193">
        <v>0</v>
      </c>
      <c r="AN31" s="193">
        <v>0</v>
      </c>
      <c r="AO31" s="195">
        <v>0</v>
      </c>
      <c r="AP31" s="193">
        <v>0</v>
      </c>
      <c r="AQ31" s="193">
        <v>0</v>
      </c>
      <c r="AR31" s="193">
        <v>0</v>
      </c>
      <c r="AS31" s="195">
        <v>0</v>
      </c>
      <c r="AT31" s="195">
        <v>0</v>
      </c>
      <c r="AU31" s="195">
        <v>0</v>
      </c>
    </row>
    <row r="32" spans="1:47">
      <c r="A32" s="184"/>
      <c r="B32" s="201" t="s">
        <v>247</v>
      </c>
      <c r="C32" s="193">
        <v>0</v>
      </c>
      <c r="D32" s="194"/>
      <c r="E32" s="195">
        <v>0</v>
      </c>
      <c r="F32" s="193">
        <v>0</v>
      </c>
      <c r="G32" s="193">
        <v>0</v>
      </c>
      <c r="H32" s="194">
        <v>0</v>
      </c>
      <c r="I32" s="195">
        <v>0</v>
      </c>
      <c r="J32" s="193">
        <v>0</v>
      </c>
      <c r="K32" s="193">
        <v>0</v>
      </c>
      <c r="L32" s="194">
        <v>0</v>
      </c>
      <c r="M32" s="195">
        <v>0</v>
      </c>
      <c r="N32" s="193">
        <v>0</v>
      </c>
      <c r="O32" s="193">
        <v>0</v>
      </c>
      <c r="P32" s="194">
        <v>0</v>
      </c>
      <c r="Q32" s="195">
        <v>0</v>
      </c>
      <c r="R32" s="193">
        <v>0</v>
      </c>
      <c r="S32" s="193">
        <v>0</v>
      </c>
      <c r="T32" s="194">
        <v>0</v>
      </c>
      <c r="U32" s="195">
        <v>0</v>
      </c>
      <c r="V32" s="193">
        <v>0</v>
      </c>
      <c r="W32" s="193">
        <v>0</v>
      </c>
      <c r="X32" s="194">
        <v>0</v>
      </c>
      <c r="Y32" s="195">
        <v>0</v>
      </c>
      <c r="Z32" s="193">
        <v>0</v>
      </c>
      <c r="AA32" s="193">
        <v>0</v>
      </c>
      <c r="AB32" s="193">
        <v>0</v>
      </c>
      <c r="AC32" s="195">
        <v>0</v>
      </c>
      <c r="AD32" s="193">
        <v>0</v>
      </c>
      <c r="AE32" s="193">
        <v>0</v>
      </c>
      <c r="AF32" s="193">
        <v>0</v>
      </c>
      <c r="AG32" s="195">
        <v>0</v>
      </c>
      <c r="AH32" s="193">
        <v>0</v>
      </c>
      <c r="AI32" s="193">
        <v>0</v>
      </c>
      <c r="AJ32" s="193">
        <v>0</v>
      </c>
      <c r="AK32" s="195">
        <v>10804</v>
      </c>
      <c r="AL32" s="193">
        <v>0</v>
      </c>
      <c r="AM32" s="193">
        <v>0</v>
      </c>
      <c r="AN32" s="193">
        <v>0</v>
      </c>
      <c r="AO32" s="195">
        <v>0</v>
      </c>
      <c r="AP32" s="193">
        <v>0</v>
      </c>
      <c r="AQ32" s="193">
        <v>0</v>
      </c>
      <c r="AR32" s="193">
        <v>0</v>
      </c>
      <c r="AS32" s="195">
        <v>0</v>
      </c>
      <c r="AT32" s="195">
        <v>0</v>
      </c>
      <c r="AU32" s="195">
        <v>0</v>
      </c>
    </row>
    <row r="33" spans="1:47">
      <c r="A33" s="184"/>
      <c r="B33" s="201" t="s">
        <v>248</v>
      </c>
      <c r="C33" s="193">
        <v>0</v>
      </c>
      <c r="D33" s="194"/>
      <c r="E33" s="195">
        <v>0</v>
      </c>
      <c r="F33" s="193">
        <v>0</v>
      </c>
      <c r="G33" s="193">
        <v>0</v>
      </c>
      <c r="H33" s="194">
        <v>0</v>
      </c>
      <c r="I33" s="195">
        <v>0</v>
      </c>
      <c r="J33" s="193">
        <v>0</v>
      </c>
      <c r="K33" s="193">
        <v>0</v>
      </c>
      <c r="L33" s="194">
        <v>0</v>
      </c>
      <c r="M33" s="195">
        <v>0</v>
      </c>
      <c r="N33" s="193">
        <v>0</v>
      </c>
      <c r="O33" s="193">
        <v>0</v>
      </c>
      <c r="P33" s="194">
        <v>0</v>
      </c>
      <c r="Q33" s="195">
        <v>0</v>
      </c>
      <c r="R33" s="193">
        <v>0</v>
      </c>
      <c r="S33" s="193">
        <v>0</v>
      </c>
      <c r="T33" s="194">
        <v>0</v>
      </c>
      <c r="U33" s="195">
        <v>0</v>
      </c>
      <c r="V33" s="193">
        <v>0</v>
      </c>
      <c r="W33" s="193">
        <v>0</v>
      </c>
      <c r="X33" s="194">
        <v>0</v>
      </c>
      <c r="Y33" s="195">
        <v>0</v>
      </c>
      <c r="Z33" s="193">
        <v>0</v>
      </c>
      <c r="AA33" s="193">
        <v>0</v>
      </c>
      <c r="AB33" s="193">
        <v>0</v>
      </c>
      <c r="AC33" s="195">
        <v>0</v>
      </c>
      <c r="AD33" s="193">
        <v>0</v>
      </c>
      <c r="AE33" s="193">
        <v>0</v>
      </c>
      <c r="AF33" s="193">
        <v>0</v>
      </c>
      <c r="AG33" s="195">
        <v>0</v>
      </c>
      <c r="AH33" s="193">
        <v>0</v>
      </c>
      <c r="AI33" s="193">
        <v>0</v>
      </c>
      <c r="AJ33" s="193">
        <v>0</v>
      </c>
      <c r="AK33" s="195">
        <v>55000</v>
      </c>
      <c r="AL33" s="193">
        <v>0</v>
      </c>
      <c r="AM33" s="193">
        <v>0</v>
      </c>
      <c r="AN33" s="193">
        <v>0</v>
      </c>
      <c r="AO33" s="195">
        <v>0</v>
      </c>
      <c r="AP33" s="193">
        <v>0</v>
      </c>
      <c r="AQ33" s="193">
        <v>0</v>
      </c>
      <c r="AR33" s="193">
        <v>0</v>
      </c>
      <c r="AS33" s="195">
        <v>0</v>
      </c>
      <c r="AT33" s="195">
        <v>0</v>
      </c>
      <c r="AU33" s="195">
        <v>0</v>
      </c>
    </row>
    <row r="34" spans="1:47">
      <c r="A34" s="184"/>
      <c r="B34" s="201" t="s">
        <v>249</v>
      </c>
      <c r="C34" s="193">
        <v>0</v>
      </c>
      <c r="D34" s="194"/>
      <c r="E34" s="195">
        <v>0</v>
      </c>
      <c r="F34" s="193">
        <v>0</v>
      </c>
      <c r="G34" s="193">
        <v>0</v>
      </c>
      <c r="H34" s="194">
        <v>0</v>
      </c>
      <c r="I34" s="195">
        <v>0</v>
      </c>
      <c r="J34" s="193">
        <v>0</v>
      </c>
      <c r="K34" s="193">
        <v>0</v>
      </c>
      <c r="L34" s="194">
        <v>0</v>
      </c>
      <c r="M34" s="195">
        <v>0</v>
      </c>
      <c r="N34" s="193">
        <v>0</v>
      </c>
      <c r="O34" s="193">
        <v>0</v>
      </c>
      <c r="P34" s="194">
        <v>0</v>
      </c>
      <c r="Q34" s="195">
        <v>0</v>
      </c>
      <c r="R34" s="193">
        <v>0</v>
      </c>
      <c r="S34" s="193">
        <v>0</v>
      </c>
      <c r="T34" s="194">
        <v>0</v>
      </c>
      <c r="U34" s="195">
        <v>0</v>
      </c>
      <c r="V34" s="193">
        <v>0</v>
      </c>
      <c r="W34" s="193">
        <v>0</v>
      </c>
      <c r="X34" s="194">
        <v>0</v>
      </c>
      <c r="Y34" s="195">
        <v>0</v>
      </c>
      <c r="Z34" s="193">
        <v>0</v>
      </c>
      <c r="AA34" s="193">
        <v>0</v>
      </c>
      <c r="AB34" s="193">
        <v>0</v>
      </c>
      <c r="AC34" s="195">
        <v>0</v>
      </c>
      <c r="AD34" s="193">
        <v>0</v>
      </c>
      <c r="AE34" s="193">
        <v>0</v>
      </c>
      <c r="AF34" s="193">
        <v>0</v>
      </c>
      <c r="AG34" s="195">
        <v>0</v>
      </c>
      <c r="AH34" s="193">
        <v>0</v>
      </c>
      <c r="AI34" s="193">
        <v>0</v>
      </c>
      <c r="AJ34" s="193">
        <v>0</v>
      </c>
      <c r="AK34" s="195">
        <v>0</v>
      </c>
      <c r="AL34" s="193">
        <v>0</v>
      </c>
      <c r="AM34" s="193">
        <v>0</v>
      </c>
      <c r="AN34" s="193">
        <v>0</v>
      </c>
      <c r="AO34" s="195">
        <v>-4999</v>
      </c>
      <c r="AP34" s="193">
        <v>-4145</v>
      </c>
      <c r="AQ34" s="193">
        <v>-2999</v>
      </c>
      <c r="AR34" s="193">
        <v>-1684</v>
      </c>
      <c r="AS34" s="195">
        <v>-3155</v>
      </c>
      <c r="AT34" s="195">
        <v>0</v>
      </c>
      <c r="AU34" s="195">
        <v>0</v>
      </c>
    </row>
    <row r="35" spans="1:47">
      <c r="A35" s="184"/>
      <c r="B35" s="201" t="s">
        <v>250</v>
      </c>
      <c r="C35" s="193">
        <v>0</v>
      </c>
      <c r="D35" s="194"/>
      <c r="E35" s="195">
        <v>0</v>
      </c>
      <c r="F35" s="193">
        <v>0</v>
      </c>
      <c r="G35" s="193">
        <v>0</v>
      </c>
      <c r="H35" s="194">
        <v>0</v>
      </c>
      <c r="I35" s="195">
        <v>0</v>
      </c>
      <c r="J35" s="193">
        <v>0</v>
      </c>
      <c r="K35" s="193">
        <v>0</v>
      </c>
      <c r="L35" s="194">
        <v>0</v>
      </c>
      <c r="M35" s="195">
        <v>0</v>
      </c>
      <c r="N35" s="193">
        <v>0</v>
      </c>
      <c r="O35" s="193">
        <v>0</v>
      </c>
      <c r="P35" s="194">
        <v>0</v>
      </c>
      <c r="Q35" s="195">
        <v>0</v>
      </c>
      <c r="R35" s="193">
        <v>0</v>
      </c>
      <c r="S35" s="193">
        <v>0</v>
      </c>
      <c r="T35" s="194">
        <v>0</v>
      </c>
      <c r="U35" s="195">
        <v>0</v>
      </c>
      <c r="V35" s="193">
        <v>0</v>
      </c>
      <c r="W35" s="193">
        <v>0</v>
      </c>
      <c r="X35" s="194">
        <v>0</v>
      </c>
      <c r="Y35" s="195">
        <v>0</v>
      </c>
      <c r="Z35" s="193">
        <v>0</v>
      </c>
      <c r="AA35" s="193">
        <v>0</v>
      </c>
      <c r="AB35" s="193">
        <v>0</v>
      </c>
      <c r="AC35" s="195">
        <v>0</v>
      </c>
      <c r="AD35" s="193">
        <v>0</v>
      </c>
      <c r="AE35" s="193">
        <v>0</v>
      </c>
      <c r="AF35" s="193">
        <v>0</v>
      </c>
      <c r="AG35" s="195">
        <v>0</v>
      </c>
      <c r="AH35" s="193">
        <v>0</v>
      </c>
      <c r="AI35" s="193">
        <v>0</v>
      </c>
      <c r="AJ35" s="193">
        <v>0</v>
      </c>
      <c r="AK35" s="195">
        <v>0</v>
      </c>
      <c r="AL35" s="193">
        <v>0</v>
      </c>
      <c r="AM35" s="193">
        <v>0</v>
      </c>
      <c r="AN35" s="193">
        <v>0</v>
      </c>
      <c r="AO35" s="195">
        <v>0</v>
      </c>
      <c r="AP35" s="193">
        <v>10341</v>
      </c>
      <c r="AQ35" s="193">
        <v>11798</v>
      </c>
      <c r="AR35" s="193">
        <v>0</v>
      </c>
      <c r="AS35" s="195">
        <v>0</v>
      </c>
      <c r="AT35" s="195">
        <v>0</v>
      </c>
      <c r="AU35" s="195">
        <v>0</v>
      </c>
    </row>
    <row r="36" spans="1:47">
      <c r="B36" s="201" t="s">
        <v>188</v>
      </c>
      <c r="C36" s="193">
        <v>0</v>
      </c>
      <c r="D36" s="194"/>
      <c r="E36" s="195">
        <v>0</v>
      </c>
      <c r="F36" s="193">
        <v>0</v>
      </c>
      <c r="G36" s="193">
        <v>0</v>
      </c>
      <c r="H36" s="194">
        <v>0</v>
      </c>
      <c r="I36" s="195">
        <v>0</v>
      </c>
      <c r="J36" s="193">
        <v>0</v>
      </c>
      <c r="K36" s="193">
        <v>0</v>
      </c>
      <c r="L36" s="194">
        <v>0</v>
      </c>
      <c r="M36" s="195">
        <v>0</v>
      </c>
      <c r="N36" s="193">
        <v>0</v>
      </c>
      <c r="O36" s="193">
        <v>0</v>
      </c>
      <c r="P36" s="194">
        <v>0</v>
      </c>
      <c r="Q36" s="195">
        <v>0</v>
      </c>
      <c r="R36" s="193">
        <v>0</v>
      </c>
      <c r="S36" s="193">
        <v>0</v>
      </c>
      <c r="T36" s="194">
        <v>0</v>
      </c>
      <c r="U36" s="195">
        <v>0</v>
      </c>
      <c r="V36" s="193">
        <v>0</v>
      </c>
      <c r="W36" s="193">
        <v>0</v>
      </c>
      <c r="X36" s="194">
        <v>0</v>
      </c>
      <c r="Y36" s="195">
        <v>0</v>
      </c>
      <c r="Z36" s="193">
        <v>0</v>
      </c>
      <c r="AA36" s="193">
        <v>0</v>
      </c>
      <c r="AB36" s="193">
        <v>0</v>
      </c>
      <c r="AC36" s="195">
        <v>0</v>
      </c>
      <c r="AD36" s="193">
        <v>0</v>
      </c>
      <c r="AE36" s="193">
        <v>0</v>
      </c>
      <c r="AF36" s="193">
        <v>0</v>
      </c>
      <c r="AG36" s="195">
        <v>0</v>
      </c>
      <c r="AH36" s="193">
        <v>0</v>
      </c>
      <c r="AI36" s="193">
        <v>0</v>
      </c>
      <c r="AJ36" s="193">
        <v>0</v>
      </c>
      <c r="AK36" s="195">
        <v>0</v>
      </c>
      <c r="AL36" s="193">
        <v>0</v>
      </c>
      <c r="AM36" s="193">
        <v>0</v>
      </c>
      <c r="AN36" s="193">
        <v>0</v>
      </c>
      <c r="AO36" s="195">
        <v>-490627</v>
      </c>
      <c r="AP36" s="193">
        <v>0</v>
      </c>
      <c r="AQ36" s="193">
        <v>0</v>
      </c>
      <c r="AR36" s="193">
        <v>0</v>
      </c>
      <c r="AS36" s="195">
        <v>0</v>
      </c>
      <c r="AT36" s="195">
        <v>0</v>
      </c>
      <c r="AU36" s="195">
        <v>0</v>
      </c>
    </row>
    <row r="37" spans="1:47">
      <c r="B37" s="201" t="s">
        <v>251</v>
      </c>
      <c r="C37" s="193">
        <v>0</v>
      </c>
      <c r="D37" s="194"/>
      <c r="E37" s="195">
        <v>-6385</v>
      </c>
      <c r="F37" s="193">
        <v>-6385</v>
      </c>
      <c r="G37" s="193">
        <v>-1785</v>
      </c>
      <c r="H37" s="194">
        <v>0</v>
      </c>
      <c r="I37" s="195">
        <v>1264</v>
      </c>
      <c r="J37" s="193">
        <v>-1457</v>
      </c>
      <c r="K37" s="193">
        <v>230</v>
      </c>
      <c r="L37" s="194">
        <v>-958</v>
      </c>
      <c r="M37" s="195">
        <v>-836</v>
      </c>
      <c r="N37" s="193">
        <v>-2477</v>
      </c>
      <c r="O37" s="193">
        <v>-1585</v>
      </c>
      <c r="P37" s="194">
        <v>-3344</v>
      </c>
      <c r="Q37" s="195">
        <v>5957</v>
      </c>
      <c r="R37" s="193">
        <v>0</v>
      </c>
      <c r="S37" s="193">
        <v>0</v>
      </c>
      <c r="T37" s="194">
        <v>0</v>
      </c>
      <c r="U37" s="195">
        <v>0</v>
      </c>
      <c r="V37" s="193">
        <v>0</v>
      </c>
      <c r="W37" s="193">
        <v>0</v>
      </c>
      <c r="X37" s="194">
        <v>0</v>
      </c>
      <c r="Y37" s="195">
        <v>0</v>
      </c>
      <c r="Z37" s="193">
        <v>0</v>
      </c>
      <c r="AA37" s="193">
        <v>0</v>
      </c>
      <c r="AB37" s="193">
        <v>0</v>
      </c>
      <c r="AC37" s="195">
        <v>0</v>
      </c>
      <c r="AD37" s="193">
        <v>0</v>
      </c>
      <c r="AE37" s="193">
        <v>0</v>
      </c>
      <c r="AF37" s="193">
        <v>0</v>
      </c>
      <c r="AG37" s="195">
        <v>0</v>
      </c>
      <c r="AH37" s="193">
        <v>0</v>
      </c>
      <c r="AI37" s="193">
        <v>0</v>
      </c>
      <c r="AJ37" s="193">
        <v>0</v>
      </c>
      <c r="AK37" s="195">
        <v>0</v>
      </c>
      <c r="AL37" s="193">
        <v>0</v>
      </c>
      <c r="AM37" s="193">
        <v>0</v>
      </c>
      <c r="AN37" s="193">
        <v>0</v>
      </c>
      <c r="AO37" s="195">
        <v>0</v>
      </c>
      <c r="AP37" s="193">
        <v>-1699</v>
      </c>
      <c r="AQ37" s="193">
        <v>-49</v>
      </c>
      <c r="AR37" s="193">
        <v>-53</v>
      </c>
      <c r="AS37" s="195">
        <v>2257</v>
      </c>
      <c r="AT37" s="195">
        <v>-706</v>
      </c>
      <c r="AU37" s="195">
        <v>46</v>
      </c>
    </row>
    <row r="38" spans="1:47">
      <c r="B38" s="201" t="s">
        <v>352</v>
      </c>
      <c r="C38" s="193">
        <v>384</v>
      </c>
      <c r="D38" s="194">
        <v>224</v>
      </c>
      <c r="E38" s="195">
        <v>-25</v>
      </c>
      <c r="F38" s="193">
        <v>1233</v>
      </c>
      <c r="G38" s="193">
        <v>1011</v>
      </c>
      <c r="H38" s="194">
        <v>222</v>
      </c>
      <c r="I38" s="195">
        <v>1447</v>
      </c>
      <c r="J38" s="193">
        <v>860</v>
      </c>
      <c r="K38" s="193">
        <v>609</v>
      </c>
      <c r="L38" s="194">
        <v>1280</v>
      </c>
      <c r="M38" s="195">
        <v>1402</v>
      </c>
      <c r="N38" s="193">
        <v>1047</v>
      </c>
      <c r="O38" s="193">
        <v>965</v>
      </c>
      <c r="P38" s="194">
        <v>267</v>
      </c>
      <c r="Q38" s="195">
        <v>3387</v>
      </c>
      <c r="R38" s="193">
        <v>2429</v>
      </c>
      <c r="S38" s="193">
        <v>1078</v>
      </c>
      <c r="T38" s="194">
        <v>539</v>
      </c>
      <c r="U38" s="195">
        <v>2765</v>
      </c>
      <c r="V38" s="193">
        <v>2492</v>
      </c>
      <c r="W38" s="193">
        <v>0</v>
      </c>
      <c r="X38" s="194">
        <v>0</v>
      </c>
      <c r="Y38" s="195">
        <v>0</v>
      </c>
      <c r="Z38" s="193">
        <v>0</v>
      </c>
      <c r="AA38" s="193">
        <v>0</v>
      </c>
      <c r="AB38" s="193">
        <v>0</v>
      </c>
      <c r="AC38" s="195">
        <v>0</v>
      </c>
      <c r="AD38" s="193">
        <v>0</v>
      </c>
      <c r="AE38" s="193">
        <v>0</v>
      </c>
      <c r="AF38" s="193">
        <v>0</v>
      </c>
      <c r="AG38" s="195">
        <v>0</v>
      </c>
      <c r="AH38" s="193">
        <v>0</v>
      </c>
      <c r="AI38" s="193">
        <v>0</v>
      </c>
      <c r="AJ38" s="193">
        <v>0</v>
      </c>
      <c r="AK38" s="195">
        <v>0</v>
      </c>
      <c r="AL38" s="193">
        <v>0</v>
      </c>
      <c r="AM38" s="193">
        <v>0</v>
      </c>
      <c r="AN38" s="193">
        <v>0</v>
      </c>
      <c r="AO38" s="195">
        <v>0</v>
      </c>
      <c r="AP38" s="193">
        <v>0</v>
      </c>
      <c r="AQ38" s="193">
        <v>0</v>
      </c>
      <c r="AR38" s="193">
        <v>0</v>
      </c>
      <c r="AS38" s="195">
        <v>0</v>
      </c>
      <c r="AT38" s="195">
        <v>0</v>
      </c>
      <c r="AU38" s="195">
        <v>0</v>
      </c>
    </row>
    <row r="39" spans="1:47">
      <c r="B39" s="201" t="s">
        <v>350</v>
      </c>
      <c r="C39" s="193">
        <v>0</v>
      </c>
      <c r="D39" s="194"/>
      <c r="E39" s="195">
        <v>0</v>
      </c>
      <c r="F39" s="193">
        <v>0</v>
      </c>
      <c r="G39" s="193">
        <v>0</v>
      </c>
      <c r="H39" s="194">
        <v>0</v>
      </c>
      <c r="I39" s="195">
        <v>0</v>
      </c>
      <c r="J39" s="193">
        <v>0</v>
      </c>
      <c r="K39" s="193">
        <v>0</v>
      </c>
      <c r="L39" s="194">
        <v>0</v>
      </c>
      <c r="M39" s="195">
        <v>0</v>
      </c>
      <c r="N39" s="193">
        <v>0</v>
      </c>
      <c r="O39" s="193">
        <v>0</v>
      </c>
      <c r="P39" s="194">
        <v>0</v>
      </c>
      <c r="Q39" s="195">
        <v>0</v>
      </c>
      <c r="R39" s="193">
        <v>0</v>
      </c>
      <c r="S39" s="193">
        <v>0</v>
      </c>
      <c r="T39" s="194">
        <v>0</v>
      </c>
      <c r="U39" s="195">
        <v>-122794</v>
      </c>
      <c r="V39" s="193">
        <v>-163318</v>
      </c>
      <c r="W39" s="193">
        <v>0</v>
      </c>
      <c r="X39" s="194">
        <v>0</v>
      </c>
      <c r="Y39" s="195">
        <v>0</v>
      </c>
      <c r="Z39" s="193">
        <v>0</v>
      </c>
      <c r="AA39" s="193">
        <v>0</v>
      </c>
      <c r="AB39" s="193">
        <v>0</v>
      </c>
      <c r="AC39" s="195">
        <v>0</v>
      </c>
      <c r="AD39" s="193">
        <v>0</v>
      </c>
      <c r="AE39" s="193">
        <v>0</v>
      </c>
      <c r="AF39" s="193">
        <v>0</v>
      </c>
      <c r="AG39" s="195">
        <v>0</v>
      </c>
      <c r="AH39" s="193">
        <v>0</v>
      </c>
      <c r="AI39" s="193">
        <v>0</v>
      </c>
      <c r="AJ39" s="193">
        <v>0</v>
      </c>
      <c r="AK39" s="195">
        <v>0</v>
      </c>
      <c r="AL39" s="193">
        <v>0</v>
      </c>
      <c r="AM39" s="193">
        <v>0</v>
      </c>
      <c r="AN39" s="193">
        <v>0</v>
      </c>
      <c r="AO39" s="195">
        <v>0</v>
      </c>
      <c r="AP39" s="193">
        <v>0</v>
      </c>
      <c r="AQ39" s="193">
        <v>0</v>
      </c>
      <c r="AR39" s="193">
        <v>0</v>
      </c>
      <c r="AS39" s="195">
        <v>0</v>
      </c>
      <c r="AT39" s="195">
        <v>0</v>
      </c>
      <c r="AU39" s="195">
        <v>0</v>
      </c>
    </row>
    <row r="40" spans="1:47">
      <c r="B40" s="201" t="s">
        <v>409</v>
      </c>
      <c r="C40" s="193">
        <v>1049</v>
      </c>
      <c r="D40" s="194">
        <v>511</v>
      </c>
      <c r="E40" s="195">
        <v>0</v>
      </c>
      <c r="F40" s="193">
        <v>1484</v>
      </c>
      <c r="G40" s="193">
        <v>988</v>
      </c>
      <c r="H40" s="194">
        <v>492</v>
      </c>
      <c r="I40" s="195">
        <v>1354</v>
      </c>
      <c r="J40" s="193">
        <v>920</v>
      </c>
      <c r="K40" s="193">
        <v>581</v>
      </c>
      <c r="L40" s="194">
        <v>267</v>
      </c>
      <c r="M40" s="195">
        <v>244</v>
      </c>
      <c r="N40" s="193">
        <v>0</v>
      </c>
      <c r="O40" s="193">
        <v>0</v>
      </c>
      <c r="P40" s="194">
        <v>0</v>
      </c>
      <c r="Q40" s="195">
        <v>0</v>
      </c>
      <c r="R40" s="193">
        <v>0</v>
      </c>
      <c r="S40" s="193">
        <v>0</v>
      </c>
      <c r="T40" s="194">
        <v>0</v>
      </c>
      <c r="U40" s="195">
        <v>0</v>
      </c>
      <c r="V40" s="193">
        <v>0</v>
      </c>
      <c r="W40" s="193">
        <v>0</v>
      </c>
      <c r="X40" s="194">
        <v>0</v>
      </c>
      <c r="Y40" s="195">
        <v>0</v>
      </c>
      <c r="Z40" s="193">
        <v>0</v>
      </c>
      <c r="AA40" s="193">
        <v>0</v>
      </c>
      <c r="AB40" s="193">
        <v>0</v>
      </c>
      <c r="AC40" s="195">
        <v>0</v>
      </c>
      <c r="AD40" s="193">
        <v>0</v>
      </c>
      <c r="AE40" s="193">
        <v>0</v>
      </c>
      <c r="AF40" s="193">
        <v>0</v>
      </c>
      <c r="AG40" s="195">
        <v>0</v>
      </c>
      <c r="AH40" s="193">
        <v>0</v>
      </c>
      <c r="AI40" s="193">
        <v>0</v>
      </c>
      <c r="AJ40" s="193">
        <v>0</v>
      </c>
      <c r="AK40" s="195">
        <v>0</v>
      </c>
      <c r="AL40" s="193">
        <v>0</v>
      </c>
      <c r="AM40" s="193">
        <v>0</v>
      </c>
      <c r="AN40" s="193">
        <v>0</v>
      </c>
      <c r="AO40" s="195">
        <v>0</v>
      </c>
      <c r="AP40" s="184"/>
      <c r="AQ40" s="184"/>
      <c r="AR40" s="184"/>
      <c r="AS40" s="184"/>
      <c r="AT40" s="184"/>
      <c r="AU40" s="184"/>
    </row>
    <row r="41" spans="1:47">
      <c r="B41" s="201" t="s">
        <v>410</v>
      </c>
      <c r="C41" s="193">
        <v>698</v>
      </c>
      <c r="D41" s="194">
        <v>351</v>
      </c>
      <c r="E41" s="195">
        <v>1511</v>
      </c>
      <c r="F41" s="193">
        <v>1150</v>
      </c>
      <c r="G41" s="193">
        <v>759</v>
      </c>
      <c r="H41" s="194">
        <v>385</v>
      </c>
      <c r="I41" s="195">
        <v>1509</v>
      </c>
      <c r="J41" s="193">
        <v>1202</v>
      </c>
      <c r="K41" s="193">
        <v>0</v>
      </c>
      <c r="L41" s="194">
        <v>0</v>
      </c>
      <c r="M41" s="195">
        <v>174</v>
      </c>
      <c r="N41" s="193">
        <v>0</v>
      </c>
      <c r="O41" s="193">
        <v>0</v>
      </c>
      <c r="P41" s="194">
        <v>0</v>
      </c>
      <c r="Q41" s="195">
        <v>0</v>
      </c>
      <c r="R41" s="193">
        <v>0</v>
      </c>
      <c r="S41" s="193">
        <v>0</v>
      </c>
      <c r="T41" s="194">
        <v>0</v>
      </c>
      <c r="U41" s="195">
        <v>0</v>
      </c>
      <c r="V41" s="193">
        <v>0</v>
      </c>
      <c r="W41" s="193">
        <v>0</v>
      </c>
      <c r="X41" s="194">
        <v>0</v>
      </c>
      <c r="Y41" s="195">
        <v>0</v>
      </c>
      <c r="Z41" s="193">
        <v>0</v>
      </c>
      <c r="AA41" s="193">
        <v>0</v>
      </c>
      <c r="AB41" s="193">
        <v>0</v>
      </c>
      <c r="AC41" s="195">
        <v>0</v>
      </c>
      <c r="AD41" s="193">
        <v>0</v>
      </c>
      <c r="AE41" s="193">
        <v>0</v>
      </c>
      <c r="AF41" s="193">
        <v>0</v>
      </c>
      <c r="AG41" s="195">
        <v>0</v>
      </c>
      <c r="AH41" s="193">
        <v>0</v>
      </c>
      <c r="AI41" s="193">
        <v>0</v>
      </c>
      <c r="AJ41" s="193">
        <v>0</v>
      </c>
      <c r="AK41" s="195">
        <v>0</v>
      </c>
      <c r="AL41" s="193">
        <v>0</v>
      </c>
      <c r="AM41" s="193">
        <v>0</v>
      </c>
      <c r="AN41" s="193">
        <v>0</v>
      </c>
      <c r="AO41" s="195">
        <v>0</v>
      </c>
      <c r="AP41" s="184"/>
      <c r="AQ41" s="184"/>
      <c r="AR41" s="184"/>
      <c r="AS41" s="184"/>
      <c r="AT41" s="184"/>
      <c r="AU41" s="184"/>
    </row>
    <row r="42" spans="1:47">
      <c r="B42" s="201" t="s">
        <v>404</v>
      </c>
      <c r="C42" s="193">
        <v>0</v>
      </c>
      <c r="D42" s="194"/>
      <c r="E42" s="195">
        <f>-14026-29592+7218</f>
        <v>-36400</v>
      </c>
      <c r="F42" s="193">
        <v>0</v>
      </c>
      <c r="G42" s="193">
        <v>0</v>
      </c>
      <c r="H42" s="194">
        <v>0</v>
      </c>
      <c r="I42" s="195">
        <v>0</v>
      </c>
      <c r="J42" s="193">
        <v>0</v>
      </c>
      <c r="K42" s="193">
        <v>0</v>
      </c>
      <c r="L42" s="194">
        <v>0</v>
      </c>
      <c r="M42" s="195">
        <v>7</v>
      </c>
      <c r="N42" s="193">
        <v>7</v>
      </c>
      <c r="O42" s="193">
        <v>7</v>
      </c>
      <c r="P42" s="194">
        <v>7</v>
      </c>
      <c r="Q42" s="195">
        <v>0</v>
      </c>
      <c r="R42" s="193">
        <v>0</v>
      </c>
      <c r="S42" s="193">
        <v>0</v>
      </c>
      <c r="T42" s="194">
        <v>0</v>
      </c>
      <c r="U42" s="195">
        <v>0</v>
      </c>
      <c r="V42" s="193">
        <v>0</v>
      </c>
      <c r="W42" s="193">
        <v>0</v>
      </c>
      <c r="X42" s="194">
        <v>0</v>
      </c>
      <c r="Y42" s="195">
        <v>0</v>
      </c>
      <c r="Z42" s="193">
        <v>0</v>
      </c>
      <c r="AA42" s="193"/>
      <c r="AB42" s="193"/>
      <c r="AC42" s="195"/>
      <c r="AD42" s="193"/>
      <c r="AE42" s="193"/>
      <c r="AF42" s="193"/>
      <c r="AG42" s="195"/>
      <c r="AH42" s="193"/>
      <c r="AI42" s="193"/>
      <c r="AJ42" s="193"/>
      <c r="AK42" s="195"/>
      <c r="AL42" s="193"/>
      <c r="AM42" s="193"/>
      <c r="AN42" s="193"/>
      <c r="AO42" s="195"/>
      <c r="AP42" s="193"/>
      <c r="AQ42" s="193"/>
      <c r="AR42" s="193"/>
      <c r="AS42" s="195"/>
      <c r="AT42" s="195"/>
      <c r="AU42" s="195"/>
    </row>
    <row r="43" spans="1:47">
      <c r="B43" s="201" t="s">
        <v>418</v>
      </c>
      <c r="C43" s="193">
        <v>0</v>
      </c>
      <c r="D43" s="194"/>
      <c r="E43" s="195">
        <v>0</v>
      </c>
      <c r="F43" s="193">
        <v>0</v>
      </c>
      <c r="G43" s="193">
        <v>0</v>
      </c>
      <c r="H43" s="194">
        <v>0</v>
      </c>
      <c r="I43" s="195">
        <v>0</v>
      </c>
      <c r="J43" s="193">
        <v>0</v>
      </c>
      <c r="K43" s="193">
        <v>828</v>
      </c>
      <c r="L43" s="194">
        <v>404</v>
      </c>
      <c r="M43" s="195">
        <v>0</v>
      </c>
      <c r="N43" s="193">
        <v>0</v>
      </c>
      <c r="O43" s="193">
        <v>0</v>
      </c>
      <c r="P43" s="194">
        <v>0</v>
      </c>
      <c r="Q43" s="195">
        <v>0</v>
      </c>
      <c r="R43" s="193">
        <v>0</v>
      </c>
      <c r="S43" s="193">
        <v>0</v>
      </c>
      <c r="T43" s="194">
        <v>0</v>
      </c>
      <c r="U43" s="195">
        <v>0</v>
      </c>
      <c r="V43" s="193">
        <v>0</v>
      </c>
      <c r="W43" s="193">
        <v>0</v>
      </c>
      <c r="X43" s="194">
        <v>0</v>
      </c>
      <c r="Y43" s="195">
        <v>0</v>
      </c>
      <c r="Z43" s="193">
        <v>0</v>
      </c>
      <c r="AA43" s="193">
        <v>0</v>
      </c>
      <c r="AB43" s="193">
        <v>0</v>
      </c>
      <c r="AC43" s="195">
        <v>0</v>
      </c>
      <c r="AD43" s="193">
        <v>0</v>
      </c>
      <c r="AE43" s="193">
        <v>0</v>
      </c>
      <c r="AF43" s="193">
        <v>0</v>
      </c>
      <c r="AG43" s="195">
        <v>0</v>
      </c>
      <c r="AH43" s="193">
        <v>0</v>
      </c>
      <c r="AI43" s="193">
        <v>0</v>
      </c>
      <c r="AJ43" s="193">
        <v>0</v>
      </c>
      <c r="AK43" s="195">
        <v>0</v>
      </c>
      <c r="AL43" s="193">
        <v>0</v>
      </c>
      <c r="AM43" s="193">
        <v>0</v>
      </c>
      <c r="AN43" s="193">
        <v>0</v>
      </c>
      <c r="AO43" s="195">
        <v>0</v>
      </c>
      <c r="AP43" s="184"/>
      <c r="AQ43" s="184"/>
      <c r="AR43" s="184"/>
      <c r="AS43" s="184"/>
      <c r="AT43" s="184"/>
      <c r="AU43" s="184"/>
    </row>
    <row r="44" spans="1:47">
      <c r="B44" s="201" t="s">
        <v>438</v>
      </c>
      <c r="C44" s="193">
        <v>0</v>
      </c>
      <c r="D44" s="194"/>
      <c r="E44" s="195">
        <v>-11222</v>
      </c>
      <c r="F44" s="193">
        <v>-11222</v>
      </c>
      <c r="G44" s="193">
        <v>-9709</v>
      </c>
      <c r="H44" s="194"/>
      <c r="I44" s="195"/>
      <c r="J44" s="193"/>
      <c r="K44" s="193"/>
      <c r="L44" s="194"/>
      <c r="M44" s="195"/>
      <c r="N44" s="193"/>
      <c r="O44" s="193"/>
      <c r="P44" s="194"/>
      <c r="Q44" s="195"/>
      <c r="R44" s="193"/>
      <c r="S44" s="193"/>
      <c r="T44" s="194"/>
      <c r="U44" s="195"/>
      <c r="V44" s="193"/>
      <c r="W44" s="193"/>
      <c r="X44" s="194"/>
      <c r="Y44" s="195"/>
      <c r="Z44" s="193"/>
      <c r="AA44" s="193"/>
      <c r="AB44" s="193"/>
      <c r="AC44" s="195"/>
      <c r="AD44" s="193"/>
      <c r="AE44" s="193"/>
      <c r="AF44" s="193"/>
      <c r="AG44" s="195"/>
      <c r="AH44" s="193"/>
      <c r="AI44" s="193"/>
      <c r="AJ44" s="193"/>
      <c r="AK44" s="195"/>
      <c r="AL44" s="193"/>
      <c r="AM44" s="193"/>
      <c r="AN44" s="193"/>
      <c r="AO44" s="195"/>
      <c r="AP44" s="184"/>
      <c r="AQ44" s="184"/>
      <c r="AR44" s="184"/>
      <c r="AS44" s="184"/>
      <c r="AT44" s="184"/>
      <c r="AU44" s="184"/>
    </row>
    <row r="45" spans="1:47">
      <c r="B45" s="201" t="s">
        <v>437</v>
      </c>
      <c r="C45" s="193">
        <v>343</v>
      </c>
      <c r="D45" s="194">
        <v>172</v>
      </c>
      <c r="E45" s="195">
        <v>162</v>
      </c>
      <c r="F45" s="193">
        <v>500</v>
      </c>
      <c r="G45" s="193">
        <v>333</v>
      </c>
      <c r="H45" s="194">
        <v>167</v>
      </c>
      <c r="I45" s="195">
        <v>248</v>
      </c>
      <c r="J45" s="193">
        <v>0</v>
      </c>
      <c r="K45" s="193">
        <v>0</v>
      </c>
      <c r="L45" s="194">
        <v>0</v>
      </c>
      <c r="M45" s="195">
        <v>0</v>
      </c>
      <c r="N45" s="193">
        <v>0</v>
      </c>
      <c r="O45" s="193">
        <v>0</v>
      </c>
      <c r="P45" s="194">
        <v>0</v>
      </c>
      <c r="Q45" s="195">
        <v>0</v>
      </c>
      <c r="R45" s="193">
        <v>0</v>
      </c>
      <c r="S45" s="193">
        <v>0</v>
      </c>
      <c r="T45" s="194">
        <v>0</v>
      </c>
      <c r="U45" s="195">
        <v>0</v>
      </c>
      <c r="V45" s="193">
        <v>0</v>
      </c>
      <c r="W45" s="193">
        <v>0</v>
      </c>
      <c r="X45" s="194">
        <v>0</v>
      </c>
      <c r="Y45" s="195">
        <v>0</v>
      </c>
      <c r="Z45" s="193">
        <v>0</v>
      </c>
      <c r="AA45" s="193"/>
      <c r="AB45" s="193"/>
      <c r="AC45" s="195"/>
      <c r="AD45" s="193"/>
      <c r="AE45" s="193"/>
      <c r="AF45" s="193"/>
      <c r="AG45" s="195"/>
      <c r="AH45" s="193"/>
      <c r="AI45" s="193"/>
      <c r="AJ45" s="193"/>
      <c r="AK45" s="195"/>
      <c r="AL45" s="193"/>
      <c r="AM45" s="193"/>
      <c r="AN45" s="193"/>
      <c r="AO45" s="195"/>
      <c r="AP45" s="184"/>
      <c r="AQ45" s="184"/>
      <c r="AR45" s="184"/>
      <c r="AS45" s="184"/>
      <c r="AT45" s="184"/>
      <c r="AU45" s="184"/>
    </row>
    <row r="46" spans="1:47">
      <c r="B46" s="201" t="s">
        <v>458</v>
      </c>
      <c r="C46" s="193">
        <v>-20398</v>
      </c>
      <c r="D46" s="194">
        <v>-11303</v>
      </c>
      <c r="E46" s="195"/>
      <c r="F46" s="193"/>
      <c r="G46" s="193">
        <v>-13282</v>
      </c>
      <c r="H46" s="194">
        <v>-7345</v>
      </c>
      <c r="I46" s="195"/>
      <c r="J46" s="193"/>
      <c r="K46" s="193"/>
      <c r="L46" s="194"/>
      <c r="M46" s="195"/>
      <c r="N46" s="193"/>
      <c r="O46" s="193"/>
      <c r="P46" s="194"/>
      <c r="Q46" s="195"/>
      <c r="R46" s="193"/>
      <c r="S46" s="193"/>
      <c r="T46" s="194"/>
      <c r="U46" s="195"/>
      <c r="V46" s="193"/>
      <c r="W46" s="193"/>
      <c r="X46" s="194"/>
      <c r="Y46" s="195"/>
      <c r="Z46" s="193"/>
      <c r="AA46" s="193"/>
      <c r="AB46" s="193"/>
      <c r="AC46" s="195"/>
      <c r="AD46" s="193"/>
      <c r="AE46" s="193"/>
      <c r="AF46" s="193"/>
      <c r="AG46" s="195"/>
      <c r="AH46" s="193"/>
      <c r="AI46" s="193"/>
      <c r="AJ46" s="193"/>
      <c r="AK46" s="195"/>
      <c r="AL46" s="193"/>
      <c r="AM46" s="193"/>
      <c r="AN46" s="193"/>
      <c r="AO46" s="195"/>
      <c r="AP46" s="184"/>
      <c r="AQ46" s="184"/>
      <c r="AR46" s="184"/>
      <c r="AS46" s="184"/>
      <c r="AT46" s="184"/>
      <c r="AU46" s="184"/>
    </row>
    <row r="47" spans="1:47">
      <c r="B47" s="201" t="s">
        <v>305</v>
      </c>
      <c r="C47" s="193">
        <v>-420</v>
      </c>
      <c r="D47" s="194">
        <v>-210</v>
      </c>
      <c r="E47" s="195">
        <v>0</v>
      </c>
      <c r="F47" s="193">
        <v>-14026</v>
      </c>
      <c r="G47" s="193">
        <v>0</v>
      </c>
      <c r="H47" s="194">
        <v>0</v>
      </c>
      <c r="I47" s="195"/>
      <c r="J47" s="193"/>
      <c r="K47" s="193"/>
      <c r="L47" s="194"/>
      <c r="M47" s="195"/>
      <c r="N47" s="193"/>
      <c r="O47" s="193"/>
      <c r="P47" s="194"/>
      <c r="Q47" s="195"/>
      <c r="R47" s="193"/>
      <c r="S47" s="193"/>
      <c r="T47" s="194"/>
      <c r="U47" s="195"/>
      <c r="V47" s="193"/>
      <c r="W47" s="193"/>
      <c r="X47" s="194"/>
      <c r="Y47" s="195"/>
      <c r="Z47" s="193"/>
      <c r="AA47" s="193"/>
      <c r="AB47" s="193"/>
      <c r="AC47" s="195"/>
      <c r="AD47" s="193"/>
      <c r="AE47" s="193"/>
      <c r="AF47" s="193"/>
      <c r="AG47" s="195"/>
      <c r="AH47" s="193"/>
      <c r="AI47" s="193"/>
      <c r="AJ47" s="193"/>
      <c r="AK47" s="195"/>
      <c r="AL47" s="193"/>
      <c r="AM47" s="193"/>
      <c r="AN47" s="193"/>
      <c r="AO47" s="195"/>
      <c r="AP47" s="184"/>
      <c r="AQ47" s="184"/>
      <c r="AR47" s="184"/>
      <c r="AS47" s="184"/>
      <c r="AT47" s="184"/>
      <c r="AU47" s="184"/>
    </row>
    <row r="48" spans="1:47">
      <c r="B48" s="201"/>
      <c r="C48" s="240">
        <f t="shared" ref="C48" si="0">SUM(C13:C47)</f>
        <v>433275</v>
      </c>
      <c r="D48" s="241">
        <f t="shared" ref="D48" si="1">SUM(D13:D47)</f>
        <v>162811</v>
      </c>
      <c r="E48" s="242">
        <f>SUM(E13:E47)</f>
        <v>997884</v>
      </c>
      <c r="F48" s="240">
        <f>SUM(F13:F47)</f>
        <v>858069</v>
      </c>
      <c r="G48" s="240">
        <f t="shared" ref="G48" si="2">SUM(G13:G47)</f>
        <v>638640</v>
      </c>
      <c r="H48" s="241">
        <f t="shared" ref="H48" si="3">SUM(H13:H47)</f>
        <v>238215</v>
      </c>
      <c r="I48" s="242">
        <f>SUM(I13:I45)</f>
        <v>848539</v>
      </c>
      <c r="J48" s="240">
        <f t="shared" ref="J48" si="4">SUM(J13:J43)</f>
        <v>568201</v>
      </c>
      <c r="K48" s="240">
        <f t="shared" ref="K48" si="5">SUM(K13:K43)</f>
        <v>377514</v>
      </c>
      <c r="L48" s="241">
        <f>SUM(L13:L43)</f>
        <v>206277</v>
      </c>
      <c r="M48" s="242">
        <f>SUM(M13:M42)</f>
        <v>930987</v>
      </c>
      <c r="N48" s="240">
        <f>SUM(N13:N42)</f>
        <v>760513</v>
      </c>
      <c r="O48" s="240">
        <f>SUM(O13:O42)</f>
        <v>575289</v>
      </c>
      <c r="P48" s="241">
        <f>SUM(P13:P42)</f>
        <v>320005</v>
      </c>
      <c r="Q48" s="242">
        <f>SUM(Q13:Q42)</f>
        <v>1329464</v>
      </c>
      <c r="R48" s="240">
        <f>SUM(R13:R39)</f>
        <v>1023257</v>
      </c>
      <c r="S48" s="240">
        <f>SUM(S13:S39)</f>
        <v>693720</v>
      </c>
      <c r="T48" s="241">
        <v>335532</v>
      </c>
      <c r="U48" s="373">
        <v>1073159</v>
      </c>
      <c r="V48" s="240">
        <f>SUM(V13:V39)</f>
        <v>446154</v>
      </c>
      <c r="W48" s="240">
        <f>SUM(W13:W39)</f>
        <v>355086</v>
      </c>
      <c r="X48" s="241">
        <f t="shared" ref="X48:AI48" si="6">SUM(X13:X37)</f>
        <v>112730</v>
      </c>
      <c r="Y48" s="373">
        <f t="shared" si="6"/>
        <v>355856</v>
      </c>
      <c r="Z48" s="240">
        <f t="shared" si="6"/>
        <v>212343</v>
      </c>
      <c r="AA48" s="240">
        <f t="shared" si="6"/>
        <v>123597</v>
      </c>
      <c r="AB48" s="240">
        <f t="shared" si="6"/>
        <v>35133</v>
      </c>
      <c r="AC48" s="373">
        <f t="shared" si="6"/>
        <v>290939</v>
      </c>
      <c r="AD48" s="240">
        <f t="shared" si="6"/>
        <v>222035</v>
      </c>
      <c r="AE48" s="240">
        <f t="shared" si="6"/>
        <v>162866</v>
      </c>
      <c r="AF48" s="240">
        <f t="shared" si="6"/>
        <v>86615</v>
      </c>
      <c r="AG48" s="373">
        <f t="shared" si="6"/>
        <v>556269</v>
      </c>
      <c r="AH48" s="244">
        <f t="shared" si="6"/>
        <v>450143</v>
      </c>
      <c r="AI48" s="244">
        <f t="shared" si="6"/>
        <v>306940</v>
      </c>
      <c r="AJ48" s="244">
        <v>178316</v>
      </c>
      <c r="AK48" s="373">
        <v>408621</v>
      </c>
      <c r="AL48" s="244">
        <v>287740</v>
      </c>
      <c r="AM48" s="244">
        <v>174427</v>
      </c>
      <c r="AN48" s="244">
        <v>82418</v>
      </c>
      <c r="AO48" s="373">
        <v>309344</v>
      </c>
      <c r="AP48" s="244">
        <v>225366</v>
      </c>
      <c r="AQ48" s="244">
        <v>156695</v>
      </c>
      <c r="AR48" s="244">
        <v>79336</v>
      </c>
      <c r="AS48" s="373">
        <v>286799</v>
      </c>
      <c r="AT48" s="373">
        <v>219506</v>
      </c>
      <c r="AU48" s="373">
        <v>40538</v>
      </c>
    </row>
    <row r="49" spans="1:47" ht="15.75" thickBot="1">
      <c r="A49" s="196"/>
      <c r="B49" s="207" t="s">
        <v>252</v>
      </c>
      <c r="C49" s="198"/>
      <c r="D49" s="199"/>
      <c r="E49" s="200"/>
      <c r="F49" s="198"/>
      <c r="G49" s="198"/>
      <c r="H49" s="199"/>
      <c r="I49" s="200"/>
      <c r="J49" s="198"/>
      <c r="K49" s="198"/>
      <c r="L49" s="199"/>
      <c r="M49" s="200"/>
      <c r="N49" s="198"/>
      <c r="O49" s="198"/>
      <c r="P49" s="199"/>
      <c r="Q49" s="200"/>
      <c r="R49" s="198"/>
      <c r="S49" s="198"/>
      <c r="T49" s="199"/>
      <c r="U49" s="200"/>
      <c r="V49" s="198"/>
      <c r="W49" s="198"/>
      <c r="X49" s="199"/>
      <c r="Y49" s="200"/>
      <c r="Z49" s="198"/>
      <c r="AA49" s="198"/>
      <c r="AB49" s="198"/>
      <c r="AC49" s="200"/>
      <c r="AD49" s="198"/>
      <c r="AE49" s="198"/>
      <c r="AF49" s="198"/>
      <c r="AG49" s="200"/>
      <c r="AH49" s="198"/>
      <c r="AI49" s="198"/>
      <c r="AJ49" s="198"/>
      <c r="AK49" s="200"/>
      <c r="AL49" s="198"/>
      <c r="AM49" s="198"/>
      <c r="AN49" s="198"/>
      <c r="AO49" s="200"/>
      <c r="AP49" s="198"/>
      <c r="AQ49" s="198"/>
      <c r="AR49" s="198"/>
      <c r="AS49" s="200"/>
      <c r="AT49" s="200"/>
      <c r="AU49" s="200"/>
    </row>
    <row r="50" spans="1:47" ht="15" thickTop="1">
      <c r="B50" s="202" t="s">
        <v>200</v>
      </c>
      <c r="C50" s="193">
        <v>-1786</v>
      </c>
      <c r="D50" s="194">
        <v>71950</v>
      </c>
      <c r="E50" s="195">
        <v>21562</v>
      </c>
      <c r="F50" s="193">
        <v>33995</v>
      </c>
      <c r="G50" s="193">
        <v>7268</v>
      </c>
      <c r="H50" s="194">
        <v>-1537</v>
      </c>
      <c r="I50" s="195">
        <v>4772</v>
      </c>
      <c r="J50" s="193">
        <v>32310</v>
      </c>
      <c r="K50" s="193">
        <v>23773</v>
      </c>
      <c r="L50" s="194">
        <v>48748</v>
      </c>
      <c r="M50" s="195">
        <v>38109</v>
      </c>
      <c r="N50" s="193">
        <v>46230</v>
      </c>
      <c r="O50" s="193">
        <v>22338</v>
      </c>
      <c r="P50" s="194">
        <v>2613</v>
      </c>
      <c r="Q50" s="195">
        <v>-46591</v>
      </c>
      <c r="R50" s="193">
        <v>-62002</v>
      </c>
      <c r="S50" s="193">
        <v>-16349</v>
      </c>
      <c r="T50" s="194">
        <v>-24231</v>
      </c>
      <c r="U50" s="195">
        <v>-78126</v>
      </c>
      <c r="V50" s="193">
        <v>-56950</v>
      </c>
      <c r="W50" s="193">
        <v>-32026</v>
      </c>
      <c r="X50" s="194">
        <v>-8711</v>
      </c>
      <c r="Y50" s="195">
        <v>692</v>
      </c>
      <c r="Z50" s="193">
        <v>-14656</v>
      </c>
      <c r="AA50" s="193">
        <v>-5410</v>
      </c>
      <c r="AB50" s="193">
        <v>-6697</v>
      </c>
      <c r="AC50" s="195">
        <v>-23300</v>
      </c>
      <c r="AD50" s="193">
        <v>-8771</v>
      </c>
      <c r="AE50" s="193">
        <v>-25834</v>
      </c>
      <c r="AF50" s="193">
        <v>-21686</v>
      </c>
      <c r="AG50" s="195">
        <v>-2278</v>
      </c>
      <c r="AH50" s="193">
        <v>-19765</v>
      </c>
      <c r="AI50" s="193">
        <v>-34537</v>
      </c>
      <c r="AJ50" s="193">
        <v>-24470</v>
      </c>
      <c r="AK50" s="195">
        <v>-14181</v>
      </c>
      <c r="AL50" s="193">
        <v>-22113</v>
      </c>
      <c r="AM50" s="193">
        <v>-14146</v>
      </c>
      <c r="AN50" s="193">
        <v>-20934</v>
      </c>
      <c r="AO50" s="195">
        <v>3466</v>
      </c>
      <c r="AP50" s="193">
        <v>-2007</v>
      </c>
      <c r="AQ50" s="193">
        <v>-2590</v>
      </c>
      <c r="AR50" s="193">
        <v>-4798</v>
      </c>
      <c r="AS50" s="195">
        <v>-11859</v>
      </c>
      <c r="AT50" s="195">
        <v>-3975</v>
      </c>
      <c r="AU50" s="195">
        <v>14276</v>
      </c>
    </row>
    <row r="51" spans="1:47">
      <c r="B51" s="202" t="s">
        <v>253</v>
      </c>
      <c r="C51" s="193">
        <v>14660</v>
      </c>
      <c r="D51" s="194">
        <v>-3650</v>
      </c>
      <c r="E51" s="195">
        <v>-59726</v>
      </c>
      <c r="F51" s="193">
        <v>-54809</v>
      </c>
      <c r="G51" s="193">
        <v>-76385</v>
      </c>
      <c r="H51" s="194">
        <v>-85504</v>
      </c>
      <c r="I51" s="195">
        <v>-27484</v>
      </c>
      <c r="J51" s="193">
        <v>-8856</v>
      </c>
      <c r="K51" s="193">
        <v>-4318</v>
      </c>
      <c r="L51" s="194">
        <v>-27985</v>
      </c>
      <c r="M51" s="195">
        <v>42846</v>
      </c>
      <c r="N51" s="193">
        <v>29618</v>
      </c>
      <c r="O51" s="193">
        <v>31730</v>
      </c>
      <c r="P51" s="194">
        <v>22695</v>
      </c>
      <c r="Q51" s="195">
        <v>120554</v>
      </c>
      <c r="R51" s="193">
        <v>73664</v>
      </c>
      <c r="S51" s="193">
        <v>59206</v>
      </c>
      <c r="T51" s="194">
        <v>48453</v>
      </c>
      <c r="U51" s="195">
        <v>43470</v>
      </c>
      <c r="V51" s="193">
        <v>-3306</v>
      </c>
      <c r="W51" s="193">
        <v>-89983</v>
      </c>
      <c r="X51" s="194">
        <v>1759</v>
      </c>
      <c r="Y51" s="195">
        <v>5611</v>
      </c>
      <c r="Z51" s="193">
        <v>6025</v>
      </c>
      <c r="AA51" s="193">
        <v>5937</v>
      </c>
      <c r="AB51" s="193">
        <v>7520</v>
      </c>
      <c r="AC51" s="195">
        <v>-5118</v>
      </c>
      <c r="AD51" s="193">
        <v>-1956</v>
      </c>
      <c r="AE51" s="193">
        <v>-845</v>
      </c>
      <c r="AF51" s="193">
        <v>2192</v>
      </c>
      <c r="AG51" s="195">
        <v>9856</v>
      </c>
      <c r="AH51" s="193">
        <v>550</v>
      </c>
      <c r="AI51" s="193">
        <v>-2244</v>
      </c>
      <c r="AJ51" s="193">
        <v>-162</v>
      </c>
      <c r="AK51" s="195">
        <v>-7537</v>
      </c>
      <c r="AL51" s="193">
        <v>3046</v>
      </c>
      <c r="AM51" s="193">
        <v>3884</v>
      </c>
      <c r="AN51" s="193">
        <v>5737</v>
      </c>
      <c r="AO51" s="195">
        <v>2474</v>
      </c>
      <c r="AP51" s="193">
        <v>3090</v>
      </c>
      <c r="AQ51" s="193">
        <v>4017</v>
      </c>
      <c r="AR51" s="193">
        <v>6454</v>
      </c>
      <c r="AS51" s="195">
        <v>-5171</v>
      </c>
      <c r="AT51" s="195">
        <v>24075</v>
      </c>
      <c r="AU51" s="195">
        <v>667</v>
      </c>
    </row>
    <row r="52" spans="1:47">
      <c r="B52" s="202" t="s">
        <v>202</v>
      </c>
      <c r="C52" s="193">
        <v>8296</v>
      </c>
      <c r="D52" s="194">
        <v>9227</v>
      </c>
      <c r="E52" s="195">
        <v>-24732</v>
      </c>
      <c r="F52" s="193">
        <v>257</v>
      </c>
      <c r="G52" s="193">
        <v>-3579</v>
      </c>
      <c r="H52" s="194">
        <v>-9119</v>
      </c>
      <c r="I52" s="195">
        <v>-3735</v>
      </c>
      <c r="J52" s="193">
        <v>-13286</v>
      </c>
      <c r="K52" s="193">
        <v>-3167</v>
      </c>
      <c r="L52" s="194">
        <v>-5305</v>
      </c>
      <c r="M52" s="195">
        <v>-3250</v>
      </c>
      <c r="N52" s="193">
        <v>-12399</v>
      </c>
      <c r="O52" s="193">
        <v>208</v>
      </c>
      <c r="P52" s="194">
        <v>-9062</v>
      </c>
      <c r="Q52" s="195">
        <v>12365</v>
      </c>
      <c r="R52" s="193">
        <v>15956</v>
      </c>
      <c r="S52" s="193">
        <v>1498</v>
      </c>
      <c r="T52" s="194">
        <v>9068</v>
      </c>
      <c r="U52" s="195">
        <v>-43821</v>
      </c>
      <c r="V52" s="193">
        <v>-2755</v>
      </c>
      <c r="W52" s="193">
        <v>-18637</v>
      </c>
      <c r="X52" s="194">
        <v>-15843</v>
      </c>
      <c r="Y52" s="195">
        <v>-3149</v>
      </c>
      <c r="Z52" s="193">
        <v>-11369</v>
      </c>
      <c r="AA52" s="193">
        <v>-23116</v>
      </c>
      <c r="AB52" s="193">
        <v>7471</v>
      </c>
      <c r="AC52" s="195">
        <v>-1388</v>
      </c>
      <c r="AD52" s="193">
        <v>-13820</v>
      </c>
      <c r="AE52" s="193">
        <v>-9558</v>
      </c>
      <c r="AF52" s="193">
        <v>-1115</v>
      </c>
      <c r="AG52" s="195">
        <v>-8215</v>
      </c>
      <c r="AH52" s="193">
        <v>-9021</v>
      </c>
      <c r="AI52" s="193">
        <v>-6558</v>
      </c>
      <c r="AJ52" s="193">
        <v>7693</v>
      </c>
      <c r="AK52" s="195">
        <v>360</v>
      </c>
      <c r="AL52" s="193">
        <v>-3289</v>
      </c>
      <c r="AM52" s="193">
        <v>-2552</v>
      </c>
      <c r="AN52" s="193">
        <v>143</v>
      </c>
      <c r="AO52" s="195">
        <v>-6508</v>
      </c>
      <c r="AP52" s="193">
        <v>-9645</v>
      </c>
      <c r="AQ52" s="193">
        <v>-2731</v>
      </c>
      <c r="AR52" s="193">
        <v>-3452</v>
      </c>
      <c r="AS52" s="195">
        <v>-3522</v>
      </c>
      <c r="AT52" s="195">
        <v>-4996</v>
      </c>
      <c r="AU52" s="195">
        <v>-4325</v>
      </c>
    </row>
    <row r="53" spans="1:47">
      <c r="B53" s="201" t="s">
        <v>254</v>
      </c>
      <c r="C53" s="193">
        <v>15025</v>
      </c>
      <c r="D53" s="194">
        <v>-17793</v>
      </c>
      <c r="E53" s="195">
        <v>52102</v>
      </c>
      <c r="F53" s="193">
        <v>6601</v>
      </c>
      <c r="G53" s="193">
        <v>4184</v>
      </c>
      <c r="H53" s="194">
        <v>-22432</v>
      </c>
      <c r="I53" s="195">
        <v>-14151</v>
      </c>
      <c r="J53" s="193">
        <v>-42047</v>
      </c>
      <c r="K53" s="193">
        <v>-42299</v>
      </c>
      <c r="L53" s="194">
        <v>-20051</v>
      </c>
      <c r="M53" s="195">
        <v>-1304</v>
      </c>
      <c r="N53" s="193">
        <v>-9942</v>
      </c>
      <c r="O53" s="193">
        <v>-12282</v>
      </c>
      <c r="P53" s="194">
        <v>-6923</v>
      </c>
      <c r="Q53" s="195">
        <v>10527</v>
      </c>
      <c r="R53" s="193">
        <v>10360</v>
      </c>
      <c r="S53" s="193">
        <v>-5492</v>
      </c>
      <c r="T53" s="194">
        <v>-9124</v>
      </c>
      <c r="U53" s="195">
        <v>-45526</v>
      </c>
      <c r="V53" s="193">
        <v>20614</v>
      </c>
      <c r="W53" s="193">
        <v>-9349</v>
      </c>
      <c r="X53" s="194">
        <v>-8683</v>
      </c>
      <c r="Y53" s="195">
        <v>-8163</v>
      </c>
      <c r="Z53" s="193">
        <v>-33793</v>
      </c>
      <c r="AA53" s="193">
        <v>-22794</v>
      </c>
      <c r="AB53" s="193">
        <v>-21416</v>
      </c>
      <c r="AC53" s="195">
        <v>14797</v>
      </c>
      <c r="AD53" s="193">
        <v>981</v>
      </c>
      <c r="AE53" s="193">
        <v>-6549</v>
      </c>
      <c r="AF53" s="193">
        <v>-7439</v>
      </c>
      <c r="AG53" s="195">
        <v>-17682</v>
      </c>
      <c r="AH53" s="193">
        <v>-15697</v>
      </c>
      <c r="AI53" s="193">
        <v>-13230</v>
      </c>
      <c r="AJ53" s="193">
        <v>-8427</v>
      </c>
      <c r="AK53" s="195">
        <v>2440</v>
      </c>
      <c r="AL53" s="193">
        <v>205</v>
      </c>
      <c r="AM53" s="193">
        <v>-1873</v>
      </c>
      <c r="AN53" s="193">
        <v>-6670</v>
      </c>
      <c r="AO53" s="195">
        <v>-8626</v>
      </c>
      <c r="AP53" s="193">
        <v>-502</v>
      </c>
      <c r="AQ53" s="193">
        <v>-1982</v>
      </c>
      <c r="AR53" s="193">
        <v>5642</v>
      </c>
      <c r="AS53" s="195">
        <v>-15597</v>
      </c>
      <c r="AT53" s="195">
        <v>-2480</v>
      </c>
      <c r="AU53" s="195">
        <v>2348</v>
      </c>
    </row>
    <row r="54" spans="1:47">
      <c r="B54" s="201" t="s">
        <v>213</v>
      </c>
      <c r="C54" s="193">
        <v>2132</v>
      </c>
      <c r="D54" s="194">
        <v>7449</v>
      </c>
      <c r="E54" s="195">
        <v>-2506</v>
      </c>
      <c r="F54" s="193">
        <v>3240</v>
      </c>
      <c r="G54" s="193">
        <v>-19734</v>
      </c>
      <c r="H54" s="194">
        <v>-6470</v>
      </c>
      <c r="I54" s="195">
        <v>14652</v>
      </c>
      <c r="J54" s="193">
        <v>11818</v>
      </c>
      <c r="K54" s="193">
        <v>9710</v>
      </c>
      <c r="L54" s="194">
        <v>25338</v>
      </c>
      <c r="M54" s="195">
        <v>2554</v>
      </c>
      <c r="N54" s="193">
        <v>12854</v>
      </c>
      <c r="O54" s="193">
        <v>3948</v>
      </c>
      <c r="P54" s="194">
        <v>21462</v>
      </c>
      <c r="Q54" s="195">
        <v>-20905</v>
      </c>
      <c r="R54" s="193">
        <v>-1609</v>
      </c>
      <c r="S54" s="193">
        <v>-23935</v>
      </c>
      <c r="T54" s="194">
        <v>-15894</v>
      </c>
      <c r="U54" s="195">
        <v>25644</v>
      </c>
      <c r="V54" s="193">
        <v>1428</v>
      </c>
      <c r="W54" s="193">
        <v>7298</v>
      </c>
      <c r="X54" s="194">
        <v>-11308</v>
      </c>
      <c r="Y54" s="195">
        <v>-2560</v>
      </c>
      <c r="Z54" s="193">
        <v>-4944</v>
      </c>
      <c r="AA54" s="193">
        <v>19358</v>
      </c>
      <c r="AB54" s="193">
        <v>-2302</v>
      </c>
      <c r="AC54" s="195">
        <v>-930</v>
      </c>
      <c r="AD54" s="193">
        <v>-7379</v>
      </c>
      <c r="AE54" s="193">
        <v>-210</v>
      </c>
      <c r="AF54" s="193">
        <v>3692</v>
      </c>
      <c r="AG54" s="195">
        <v>-1007</v>
      </c>
      <c r="AH54" s="193">
        <v>-23565</v>
      </c>
      <c r="AI54" s="193">
        <v>-8056</v>
      </c>
      <c r="AJ54" s="193">
        <v>-11243</v>
      </c>
      <c r="AK54" s="195">
        <v>-1142</v>
      </c>
      <c r="AL54" s="193">
        <v>-4727</v>
      </c>
      <c r="AM54" s="193">
        <v>-9221</v>
      </c>
      <c r="AN54" s="193">
        <v>-10772</v>
      </c>
      <c r="AO54" s="195">
        <v>11753</v>
      </c>
      <c r="AP54" s="193">
        <v>-897</v>
      </c>
      <c r="AQ54" s="193">
        <v>-598</v>
      </c>
      <c r="AR54" s="193">
        <v>-928</v>
      </c>
      <c r="AS54" s="195">
        <v>5392</v>
      </c>
      <c r="AT54" s="195">
        <v>496</v>
      </c>
      <c r="AU54" s="195">
        <v>1928</v>
      </c>
    </row>
    <row r="55" spans="1:47">
      <c r="B55" s="201" t="s">
        <v>215</v>
      </c>
      <c r="C55" s="193">
        <v>-26453</v>
      </c>
      <c r="D55" s="194">
        <v>2594</v>
      </c>
      <c r="E55" s="195">
        <v>3993</v>
      </c>
      <c r="F55" s="193">
        <v>-11066</v>
      </c>
      <c r="G55" s="193">
        <v>-22346</v>
      </c>
      <c r="H55" s="194">
        <v>-26871</v>
      </c>
      <c r="I55" s="195">
        <v>5458</v>
      </c>
      <c r="J55" s="193">
        <v>-9477</v>
      </c>
      <c r="K55" s="193">
        <v>-18008</v>
      </c>
      <c r="L55" s="194">
        <v>-23059</v>
      </c>
      <c r="M55" s="195">
        <v>-2939</v>
      </c>
      <c r="N55" s="193">
        <v>-11715</v>
      </c>
      <c r="O55" s="193">
        <v>-17420</v>
      </c>
      <c r="P55" s="194">
        <v>-21958</v>
      </c>
      <c r="Q55" s="195">
        <v>4806</v>
      </c>
      <c r="R55" s="193">
        <v>153</v>
      </c>
      <c r="S55" s="193">
        <v>-11176</v>
      </c>
      <c r="T55" s="194">
        <v>-20811</v>
      </c>
      <c r="U55" s="195">
        <v>19007</v>
      </c>
      <c r="V55" s="193">
        <v>3857</v>
      </c>
      <c r="W55" s="193">
        <v>-7075</v>
      </c>
      <c r="X55" s="194">
        <v>-13333</v>
      </c>
      <c r="Y55" s="195">
        <v>18192</v>
      </c>
      <c r="Z55" s="193">
        <v>15643</v>
      </c>
      <c r="AA55" s="193">
        <v>11072</v>
      </c>
      <c r="AB55" s="193">
        <v>2720</v>
      </c>
      <c r="AC55" s="195">
        <v>-17221</v>
      </c>
      <c r="AD55" s="193">
        <v>-15646</v>
      </c>
      <c r="AE55" s="193">
        <v>-18063</v>
      </c>
      <c r="AF55" s="193">
        <v>-1816</v>
      </c>
      <c r="AG55" s="195">
        <v>10057</v>
      </c>
      <c r="AH55" s="193">
        <v>-1104</v>
      </c>
      <c r="AI55" s="193">
        <v>-6402</v>
      </c>
      <c r="AJ55" s="193">
        <v>4216</v>
      </c>
      <c r="AK55" s="195">
        <v>847</v>
      </c>
      <c r="AL55" s="193">
        <v>-2264</v>
      </c>
      <c r="AM55" s="193">
        <v>-6976</v>
      </c>
      <c r="AN55" s="193">
        <v>3092</v>
      </c>
      <c r="AO55" s="195">
        <v>1996</v>
      </c>
      <c r="AP55" s="193">
        <v>1859</v>
      </c>
      <c r="AQ55" s="193">
        <v>-3606</v>
      </c>
      <c r="AR55" s="193">
        <v>8071</v>
      </c>
      <c r="AS55" s="195">
        <v>2170</v>
      </c>
      <c r="AT55" s="195">
        <v>7210</v>
      </c>
      <c r="AU55" s="195">
        <v>1081</v>
      </c>
    </row>
    <row r="56" spans="1:47">
      <c r="B56" s="201" t="s">
        <v>255</v>
      </c>
      <c r="C56" s="193">
        <f>12663</f>
        <v>12663</v>
      </c>
      <c r="D56" s="194">
        <v>-4214</v>
      </c>
      <c r="E56" s="195">
        <v>-21065</v>
      </c>
      <c r="F56" s="193">
        <v>-20696</v>
      </c>
      <c r="G56" s="193">
        <v>-9970</v>
      </c>
      <c r="H56" s="194">
        <v>1962</v>
      </c>
      <c r="I56" s="195">
        <v>-3354</v>
      </c>
      <c r="J56" s="193">
        <v>-4581</v>
      </c>
      <c r="K56" s="193">
        <v>-2117</v>
      </c>
      <c r="L56" s="194">
        <v>-1571</v>
      </c>
      <c r="M56" s="195">
        <v>-28742</v>
      </c>
      <c r="N56" s="193">
        <v>-28572</v>
      </c>
      <c r="O56" s="193">
        <v>-22902</v>
      </c>
      <c r="P56" s="194">
        <v>-7438</v>
      </c>
      <c r="Q56" s="195">
        <v>-973</v>
      </c>
      <c r="R56" s="193">
        <v>3592</v>
      </c>
      <c r="S56" s="193">
        <v>197</v>
      </c>
      <c r="T56" s="194">
        <v>11922</v>
      </c>
      <c r="U56" s="195">
        <v>6364</v>
      </c>
      <c r="V56" s="193">
        <v>4241</v>
      </c>
      <c r="W56" s="193">
        <v>2607</v>
      </c>
      <c r="X56" s="194">
        <v>7124</v>
      </c>
      <c r="Y56" s="195">
        <v>38853</v>
      </c>
      <c r="Z56" s="193">
        <v>56847</v>
      </c>
      <c r="AA56" s="193">
        <v>49016</v>
      </c>
      <c r="AB56" s="193">
        <v>1254</v>
      </c>
      <c r="AC56" s="195">
        <v>845</v>
      </c>
      <c r="AD56" s="193">
        <v>-1012</v>
      </c>
      <c r="AE56" s="193">
        <v>1638</v>
      </c>
      <c r="AF56" s="193">
        <v>7155</v>
      </c>
      <c r="AG56" s="195">
        <v>-1521</v>
      </c>
      <c r="AH56" s="193">
        <v>1892</v>
      </c>
      <c r="AI56" s="193">
        <v>7526</v>
      </c>
      <c r="AJ56" s="193">
        <v>5777</v>
      </c>
      <c r="AK56" s="195">
        <v>2152</v>
      </c>
      <c r="AL56" s="193">
        <v>5340</v>
      </c>
      <c r="AM56" s="193">
        <v>845</v>
      </c>
      <c r="AN56" s="193">
        <v>4860</v>
      </c>
      <c r="AO56" s="195">
        <v>-1888</v>
      </c>
      <c r="AP56" s="193">
        <v>-3961</v>
      </c>
      <c r="AQ56" s="193">
        <v>-467</v>
      </c>
      <c r="AR56" s="193">
        <v>403</v>
      </c>
      <c r="AS56" s="195">
        <v>5276</v>
      </c>
      <c r="AT56" s="195">
        <v>1713</v>
      </c>
      <c r="AU56" s="195">
        <v>-4279</v>
      </c>
    </row>
    <row r="57" spans="1:47">
      <c r="B57" s="201" t="s">
        <v>216</v>
      </c>
      <c r="C57" s="193">
        <v>55</v>
      </c>
      <c r="D57" s="194">
        <v>-64</v>
      </c>
      <c r="E57" s="195">
        <v>-26992</v>
      </c>
      <c r="F57" s="193">
        <v>-25429</v>
      </c>
      <c r="G57" s="193">
        <v>0</v>
      </c>
      <c r="H57" s="194">
        <v>0</v>
      </c>
      <c r="I57" s="195">
        <v>0</v>
      </c>
      <c r="J57" s="193">
        <v>0</v>
      </c>
      <c r="K57" s="193">
        <v>0</v>
      </c>
      <c r="L57" s="194">
        <v>0</v>
      </c>
      <c r="M57" s="195">
        <v>-12470</v>
      </c>
      <c r="N57" s="193">
        <v>2072</v>
      </c>
      <c r="O57" s="193">
        <v>1920</v>
      </c>
      <c r="P57" s="194">
        <v>0</v>
      </c>
      <c r="Q57" s="195">
        <v>-61206</v>
      </c>
      <c r="R57" s="193">
        <v>-41456</v>
      </c>
      <c r="S57" s="193">
        <v>-41456</v>
      </c>
      <c r="T57" s="194">
        <v>-41456</v>
      </c>
      <c r="U57" s="195">
        <v>-9882</v>
      </c>
      <c r="V57" s="193">
        <v>-1917</v>
      </c>
      <c r="W57" s="193">
        <v>-2562</v>
      </c>
      <c r="X57" s="194">
        <v>22008</v>
      </c>
      <c r="Y57" s="195">
        <v>-8332</v>
      </c>
      <c r="Z57" s="193">
        <v>52019</v>
      </c>
      <c r="AA57" s="193">
        <v>22538</v>
      </c>
      <c r="AB57" s="193">
        <v>9159</v>
      </c>
      <c r="AC57" s="195">
        <v>94191</v>
      </c>
      <c r="AD57" s="193">
        <v>74560</v>
      </c>
      <c r="AE57" s="193">
        <v>57019</v>
      </c>
      <c r="AF57" s="193">
        <v>18032</v>
      </c>
      <c r="AG57" s="195">
        <v>102804</v>
      </c>
      <c r="AH57" s="193">
        <v>80930</v>
      </c>
      <c r="AI57" s="193">
        <v>53478</v>
      </c>
      <c r="AJ57" s="193">
        <v>30118</v>
      </c>
      <c r="AK57" s="195">
        <v>29394</v>
      </c>
      <c r="AL57" s="193">
        <v>23873</v>
      </c>
      <c r="AM57" s="193">
        <v>24779</v>
      </c>
      <c r="AN57" s="193">
        <v>10776</v>
      </c>
      <c r="AO57" s="195">
        <v>37219</v>
      </c>
      <c r="AP57" s="193">
        <v>26829</v>
      </c>
      <c r="AQ57" s="193">
        <v>15854</v>
      </c>
      <c r="AR57" s="193">
        <v>-6028</v>
      </c>
      <c r="AS57" s="195">
        <v>36412</v>
      </c>
      <c r="AT57" s="195">
        <v>0</v>
      </c>
      <c r="AU57" s="195">
        <v>0</v>
      </c>
    </row>
    <row r="58" spans="1:47">
      <c r="B58" s="201" t="s">
        <v>256</v>
      </c>
      <c r="C58" s="193">
        <v>-180</v>
      </c>
      <c r="D58" s="194">
        <v>-90</v>
      </c>
      <c r="E58" s="195">
        <v>145</v>
      </c>
      <c r="F58" s="193">
        <v>-269</v>
      </c>
      <c r="G58" s="193">
        <v>-179</v>
      </c>
      <c r="H58" s="194">
        <v>-90</v>
      </c>
      <c r="I58" s="195">
        <v>-131</v>
      </c>
      <c r="J58" s="193">
        <v>-528</v>
      </c>
      <c r="K58" s="193">
        <v>-377</v>
      </c>
      <c r="L58" s="194">
        <v>-148</v>
      </c>
      <c r="M58" s="195">
        <v>-583</v>
      </c>
      <c r="N58" s="193">
        <v>148</v>
      </c>
      <c r="O58" s="193">
        <v>87</v>
      </c>
      <c r="P58" s="194">
        <v>68</v>
      </c>
      <c r="Q58" s="195">
        <v>193</v>
      </c>
      <c r="R58" s="193">
        <v>252</v>
      </c>
      <c r="S58" s="193">
        <v>177</v>
      </c>
      <c r="T58" s="194">
        <v>90</v>
      </c>
      <c r="U58" s="195">
        <v>-105</v>
      </c>
      <c r="V58" s="193">
        <v>40</v>
      </c>
      <c r="W58" s="193">
        <v>6</v>
      </c>
      <c r="X58" s="194">
        <v>168</v>
      </c>
      <c r="Y58" s="195">
        <v>54</v>
      </c>
      <c r="Z58" s="193">
        <v>-7</v>
      </c>
      <c r="AA58" s="193">
        <v>-38</v>
      </c>
      <c r="AB58" s="193">
        <v>-50</v>
      </c>
      <c r="AC58" s="195">
        <v>-364</v>
      </c>
      <c r="AD58" s="193">
        <v>-260</v>
      </c>
      <c r="AE58" s="193">
        <v>-166</v>
      </c>
      <c r="AF58" s="193">
        <v>-69</v>
      </c>
      <c r="AG58" s="195">
        <v>-649</v>
      </c>
      <c r="AH58" s="193">
        <v>-582</v>
      </c>
      <c r="AI58" s="193">
        <v>-483</v>
      </c>
      <c r="AJ58" s="193">
        <v>-143</v>
      </c>
      <c r="AK58" s="195">
        <v>-1126</v>
      </c>
      <c r="AL58" s="193">
        <v>-886</v>
      </c>
      <c r="AM58" s="193">
        <v>-669</v>
      </c>
      <c r="AN58" s="193">
        <v>-392</v>
      </c>
      <c r="AO58" s="195">
        <v>1894</v>
      </c>
      <c r="AP58" s="193">
        <v>-8</v>
      </c>
      <c r="AQ58" s="193">
        <v>-74</v>
      </c>
      <c r="AR58" s="193">
        <v>-67</v>
      </c>
      <c r="AS58" s="195">
        <v>-3139</v>
      </c>
      <c r="AT58" s="195">
        <v>2308</v>
      </c>
      <c r="AU58" s="195">
        <v>-10096</v>
      </c>
    </row>
    <row r="59" spans="1:47">
      <c r="B59" s="201" t="s">
        <v>257</v>
      </c>
      <c r="C59" s="179">
        <v>-19973</v>
      </c>
      <c r="D59" s="194">
        <v>-10744</v>
      </c>
      <c r="E59" s="195">
        <v>27870</v>
      </c>
      <c r="F59" s="179">
        <v>8462</v>
      </c>
      <c r="G59" s="179">
        <v>6716</v>
      </c>
      <c r="H59" s="194">
        <v>159</v>
      </c>
      <c r="I59" s="195">
        <v>15464</v>
      </c>
      <c r="J59" s="193">
        <v>27397</v>
      </c>
      <c r="K59" s="179">
        <v>28260</v>
      </c>
      <c r="L59" s="194">
        <v>4257</v>
      </c>
      <c r="M59" s="195">
        <v>-17181</v>
      </c>
      <c r="N59" s="179">
        <v>1013</v>
      </c>
      <c r="O59" s="179">
        <v>10941</v>
      </c>
      <c r="P59" s="194">
        <v>4198</v>
      </c>
      <c r="Q59" s="195">
        <v>-26500</v>
      </c>
      <c r="R59" s="193">
        <v>-32634</v>
      </c>
      <c r="S59" s="193">
        <v>-25332</v>
      </c>
      <c r="T59" s="194">
        <v>-10053</v>
      </c>
      <c r="U59" s="195">
        <v>42293</v>
      </c>
      <c r="V59" s="193">
        <v>6177</v>
      </c>
      <c r="W59" s="193">
        <v>9813</v>
      </c>
      <c r="X59" s="194">
        <v>8958</v>
      </c>
      <c r="Y59" s="195">
        <v>1566</v>
      </c>
      <c r="Z59" s="193">
        <v>4158</v>
      </c>
      <c r="AA59" s="193">
        <v>2014</v>
      </c>
      <c r="AB59" s="193">
        <v>1162</v>
      </c>
      <c r="AC59" s="195">
        <v>10521</v>
      </c>
      <c r="AD59" s="193">
        <v>6939</v>
      </c>
      <c r="AE59" s="193">
        <v>17262</v>
      </c>
      <c r="AF59" s="193">
        <v>15276</v>
      </c>
      <c r="AG59" s="195">
        <v>-56452</v>
      </c>
      <c r="AH59" s="193">
        <v>-41247</v>
      </c>
      <c r="AI59" s="193">
        <v>-10870</v>
      </c>
      <c r="AJ59" s="193">
        <v>-9326</v>
      </c>
      <c r="AK59" s="195">
        <v>-15389</v>
      </c>
      <c r="AL59" s="193">
        <v>-6731</v>
      </c>
      <c r="AM59" s="193">
        <v>-22952</v>
      </c>
      <c r="AN59" s="193">
        <v>3001</v>
      </c>
      <c r="AO59" s="195">
        <v>-149</v>
      </c>
      <c r="AP59" s="193">
        <v>5230</v>
      </c>
      <c r="AQ59" s="193">
        <v>2856</v>
      </c>
      <c r="AR59" s="193">
        <v>4086</v>
      </c>
      <c r="AS59" s="195">
        <v>6798</v>
      </c>
      <c r="AT59" s="195">
        <v>-20148</v>
      </c>
      <c r="AU59" s="195">
        <v>427</v>
      </c>
    </row>
    <row r="60" spans="1:47">
      <c r="B60" s="201" t="s">
        <v>258</v>
      </c>
      <c r="C60" s="193">
        <v>0</v>
      </c>
      <c r="D60" s="194">
        <v>0</v>
      </c>
      <c r="E60" s="195">
        <v>0</v>
      </c>
      <c r="F60" s="193">
        <v>0</v>
      </c>
      <c r="G60" s="193">
        <v>0</v>
      </c>
      <c r="H60" s="194">
        <v>0</v>
      </c>
      <c r="I60" s="195">
        <v>0</v>
      </c>
      <c r="J60" s="193">
        <v>0</v>
      </c>
      <c r="K60" s="193">
        <v>0</v>
      </c>
      <c r="L60" s="194">
        <v>0</v>
      </c>
      <c r="M60" s="195">
        <v>0</v>
      </c>
      <c r="N60" s="193">
        <v>0</v>
      </c>
      <c r="O60" s="193">
        <v>0</v>
      </c>
      <c r="P60" s="194">
        <v>0</v>
      </c>
      <c r="Q60" s="195">
        <v>0</v>
      </c>
      <c r="R60" s="193">
        <v>0</v>
      </c>
      <c r="S60" s="193">
        <v>0</v>
      </c>
      <c r="T60" s="194">
        <v>0</v>
      </c>
      <c r="U60" s="195">
        <v>0</v>
      </c>
      <c r="V60" s="193">
        <v>0</v>
      </c>
      <c r="W60" s="193">
        <v>0</v>
      </c>
      <c r="X60" s="194">
        <v>0</v>
      </c>
      <c r="Y60" s="195">
        <v>0</v>
      </c>
      <c r="Z60" s="193">
        <v>0</v>
      </c>
      <c r="AA60" s="193">
        <v>0</v>
      </c>
      <c r="AB60" s="193">
        <v>0</v>
      </c>
      <c r="AC60" s="195">
        <v>0</v>
      </c>
      <c r="AD60" s="193">
        <v>0</v>
      </c>
      <c r="AE60" s="193">
        <v>0</v>
      </c>
      <c r="AF60" s="193">
        <v>0</v>
      </c>
      <c r="AG60" s="195">
        <v>0</v>
      </c>
      <c r="AH60" s="193">
        <v>0</v>
      </c>
      <c r="AI60" s="193">
        <v>0</v>
      </c>
      <c r="AJ60" s="193">
        <v>0</v>
      </c>
      <c r="AK60" s="195">
        <v>0</v>
      </c>
      <c r="AL60" s="193">
        <v>0</v>
      </c>
      <c r="AM60" s="193">
        <v>0</v>
      </c>
      <c r="AN60" s="193">
        <v>0</v>
      </c>
      <c r="AO60" s="195">
        <v>0</v>
      </c>
      <c r="AP60" s="193">
        <v>0</v>
      </c>
      <c r="AQ60" s="193">
        <v>0</v>
      </c>
      <c r="AR60" s="193">
        <v>0</v>
      </c>
      <c r="AS60" s="195">
        <v>0</v>
      </c>
      <c r="AT60" s="195">
        <v>0</v>
      </c>
      <c r="AU60" s="195">
        <v>12486</v>
      </c>
    </row>
    <row r="61" spans="1:47" ht="15">
      <c r="A61" s="196"/>
      <c r="B61" s="202" t="s">
        <v>263</v>
      </c>
      <c r="C61" s="374">
        <v>0</v>
      </c>
      <c r="D61" s="420">
        <v>0</v>
      </c>
      <c r="E61" s="195">
        <v>0</v>
      </c>
      <c r="F61" s="374">
        <v>0</v>
      </c>
      <c r="G61" s="374">
        <v>0</v>
      </c>
      <c r="H61" s="420">
        <v>0</v>
      </c>
      <c r="I61" s="195">
        <v>0</v>
      </c>
      <c r="J61" s="374">
        <v>0</v>
      </c>
      <c r="K61" s="374">
        <v>0</v>
      </c>
      <c r="L61" s="420">
        <v>0</v>
      </c>
      <c r="M61" s="195">
        <v>0</v>
      </c>
      <c r="N61" s="374">
        <v>0</v>
      </c>
      <c r="O61" s="374">
        <v>0</v>
      </c>
      <c r="P61" s="420">
        <v>0</v>
      </c>
      <c r="Q61" s="195">
        <v>0</v>
      </c>
      <c r="R61" s="374">
        <v>0</v>
      </c>
      <c r="S61" s="374">
        <v>0</v>
      </c>
      <c r="T61" s="194">
        <v>0</v>
      </c>
      <c r="U61" s="195">
        <v>0</v>
      </c>
      <c r="V61" s="193">
        <v>0</v>
      </c>
      <c r="W61" s="374">
        <v>0</v>
      </c>
      <c r="X61" s="194">
        <v>0</v>
      </c>
      <c r="Y61" s="195">
        <v>0</v>
      </c>
      <c r="Z61" s="193">
        <v>0</v>
      </c>
      <c r="AA61" s="193">
        <v>0</v>
      </c>
      <c r="AB61" s="193">
        <v>0</v>
      </c>
      <c r="AC61" s="195">
        <v>0</v>
      </c>
      <c r="AD61" s="193">
        <v>0</v>
      </c>
      <c r="AE61" s="193">
        <v>0</v>
      </c>
      <c r="AF61" s="193">
        <v>0</v>
      </c>
      <c r="AG61" s="195">
        <v>0</v>
      </c>
      <c r="AH61" s="193">
        <v>0</v>
      </c>
      <c r="AI61" s="193">
        <v>0</v>
      </c>
      <c r="AJ61" s="193">
        <v>0</v>
      </c>
      <c r="AK61" s="195">
        <v>0</v>
      </c>
      <c r="AL61" s="193">
        <v>0</v>
      </c>
      <c r="AM61" s="193">
        <v>0</v>
      </c>
      <c r="AN61" s="193">
        <v>0</v>
      </c>
      <c r="AO61" s="195">
        <v>0</v>
      </c>
      <c r="AP61" s="193">
        <v>0</v>
      </c>
      <c r="AQ61" s="193">
        <v>0</v>
      </c>
      <c r="AR61" s="193">
        <v>0</v>
      </c>
      <c r="AS61" s="195">
        <v>8876</v>
      </c>
      <c r="AT61" s="195">
        <v>-3776</v>
      </c>
      <c r="AU61" s="195">
        <v>98686</v>
      </c>
    </row>
    <row r="62" spans="1:47">
      <c r="B62" s="201"/>
      <c r="C62" s="240">
        <f t="shared" ref="C62" si="7">SUM(C50:C61)</f>
        <v>4439</v>
      </c>
      <c r="D62" s="241">
        <f t="shared" ref="D62" si="8">SUM(D50:D61)</f>
        <v>54665</v>
      </c>
      <c r="E62" s="242">
        <f t="shared" ref="E62" si="9">SUM(E50:E61)</f>
        <v>-29349</v>
      </c>
      <c r="F62" s="240">
        <f t="shared" ref="F62:G62" si="10">SUM(F50:F61)</f>
        <v>-59714</v>
      </c>
      <c r="G62" s="240">
        <f t="shared" si="10"/>
        <v>-114025</v>
      </c>
      <c r="H62" s="241">
        <f t="shared" ref="H62" si="11">SUM(H50:H61)</f>
        <v>-149902</v>
      </c>
      <c r="I62" s="242">
        <f t="shared" ref="I62" si="12">SUM(I50:I61)</f>
        <v>-8509</v>
      </c>
      <c r="J62" s="240">
        <f t="shared" ref="J62" si="13">SUM(J50:J61)</f>
        <v>-7250</v>
      </c>
      <c r="K62" s="240">
        <f t="shared" ref="K62" si="14">SUM(K50:K61)</f>
        <v>-8543</v>
      </c>
      <c r="L62" s="241">
        <f t="shared" ref="L62" si="15">SUM(L50:L61)</f>
        <v>224</v>
      </c>
      <c r="M62" s="242">
        <f t="shared" ref="M62" si="16">SUM(M50:M61)</f>
        <v>17040</v>
      </c>
      <c r="N62" s="240">
        <f t="shared" ref="N62" si="17">SUM(N50:N61)</f>
        <v>29307</v>
      </c>
      <c r="O62" s="240">
        <f t="shared" ref="O62" si="18">SUM(O50:O61)</f>
        <v>18568</v>
      </c>
      <c r="P62" s="241">
        <f t="shared" ref="P62:Q62" si="19">SUM(P50:P61)</f>
        <v>5655</v>
      </c>
      <c r="Q62" s="242">
        <f t="shared" si="19"/>
        <v>-7730</v>
      </c>
      <c r="R62" s="240">
        <f t="shared" ref="R62" si="20">SUM(R50:R61)</f>
        <v>-33724</v>
      </c>
      <c r="S62" s="240">
        <f t="shared" ref="S62" si="21">SUM(S50:S61)</f>
        <v>-62662</v>
      </c>
      <c r="T62" s="241">
        <v>-52036</v>
      </c>
      <c r="U62" s="373">
        <v>-40682</v>
      </c>
      <c r="V62" s="240">
        <f t="shared" ref="V62:W62" si="22">SUM(V50:V61)</f>
        <v>-28571</v>
      </c>
      <c r="W62" s="240">
        <f t="shared" si="22"/>
        <v>-139908</v>
      </c>
      <c r="X62" s="241">
        <f t="shared" ref="X62:AC62" si="23">SUM(X50:X61)</f>
        <v>-17861</v>
      </c>
      <c r="Y62" s="373">
        <f t="shared" si="23"/>
        <v>42764</v>
      </c>
      <c r="Z62" s="240">
        <f t="shared" si="23"/>
        <v>69923</v>
      </c>
      <c r="AA62" s="240">
        <f t="shared" si="23"/>
        <v>58577</v>
      </c>
      <c r="AB62" s="240">
        <f t="shared" si="23"/>
        <v>-1179</v>
      </c>
      <c r="AC62" s="373">
        <f t="shared" si="23"/>
        <v>72033</v>
      </c>
      <c r="AD62" s="240">
        <f t="shared" ref="AD62" si="24">SUM(AD50:AD61)</f>
        <v>33636</v>
      </c>
      <c r="AE62" s="240">
        <f t="shared" ref="AE62:AI62" si="25">SUM(AE50:AE61)</f>
        <v>14694</v>
      </c>
      <c r="AF62" s="240">
        <f t="shared" si="25"/>
        <v>14222</v>
      </c>
      <c r="AG62" s="373">
        <f t="shared" si="25"/>
        <v>34913</v>
      </c>
      <c r="AH62" s="244">
        <f t="shared" si="25"/>
        <v>-27609</v>
      </c>
      <c r="AI62" s="244">
        <f t="shared" si="25"/>
        <v>-21376</v>
      </c>
      <c r="AJ62" s="244">
        <v>-5967</v>
      </c>
      <c r="AK62" s="373">
        <v>-4182</v>
      </c>
      <c r="AL62" s="244">
        <v>-7546</v>
      </c>
      <c r="AM62" s="244">
        <v>-28881</v>
      </c>
      <c r="AN62" s="244">
        <v>-11159</v>
      </c>
      <c r="AO62" s="373">
        <v>41631</v>
      </c>
      <c r="AP62" s="244">
        <v>19988</v>
      </c>
      <c r="AQ62" s="244">
        <v>10679</v>
      </c>
      <c r="AR62" s="244">
        <v>9383</v>
      </c>
      <c r="AS62" s="373">
        <v>25636</v>
      </c>
      <c r="AT62" s="373">
        <v>427</v>
      </c>
      <c r="AU62" s="373">
        <v>113199</v>
      </c>
    </row>
    <row r="63" spans="1:47">
      <c r="B63" s="201"/>
      <c r="C63" s="240"/>
      <c r="D63" s="241"/>
      <c r="E63" s="242"/>
      <c r="F63" s="240"/>
      <c r="G63" s="240"/>
      <c r="H63" s="241"/>
      <c r="I63" s="242"/>
      <c r="J63" s="240"/>
      <c r="K63" s="240"/>
      <c r="L63" s="241"/>
      <c r="M63" s="242"/>
      <c r="N63" s="240"/>
      <c r="O63" s="240"/>
      <c r="P63" s="241"/>
      <c r="Q63" s="242"/>
      <c r="R63" s="240"/>
      <c r="S63" s="240"/>
      <c r="T63" s="241"/>
      <c r="U63" s="373"/>
      <c r="V63" s="240"/>
      <c r="W63" s="240"/>
      <c r="X63" s="241"/>
      <c r="Y63" s="373"/>
      <c r="Z63" s="240"/>
      <c r="AA63" s="240"/>
      <c r="AB63" s="240"/>
      <c r="AC63" s="373"/>
      <c r="AD63" s="240"/>
      <c r="AE63" s="240"/>
      <c r="AF63" s="240"/>
      <c r="AG63" s="373"/>
      <c r="AH63" s="244"/>
      <c r="AI63" s="244"/>
      <c r="AJ63" s="244"/>
      <c r="AK63" s="373"/>
      <c r="AL63" s="244"/>
      <c r="AM63" s="244"/>
      <c r="AN63" s="244"/>
      <c r="AO63" s="373"/>
      <c r="AP63" s="244"/>
      <c r="AQ63" s="244"/>
      <c r="AR63" s="244"/>
      <c r="AS63" s="373"/>
      <c r="AT63" s="373"/>
      <c r="AU63" s="373"/>
    </row>
    <row r="64" spans="1:47" ht="15.75" thickBot="1">
      <c r="A64" s="196"/>
      <c r="B64" s="197" t="s">
        <v>259</v>
      </c>
      <c r="C64" s="198">
        <f t="shared" ref="C64" si="26">C48+C62</f>
        <v>437714</v>
      </c>
      <c r="D64" s="199">
        <f t="shared" ref="D64" si="27">D48+D62</f>
        <v>217476</v>
      </c>
      <c r="E64" s="200">
        <f t="shared" ref="E64" si="28">E48+E62</f>
        <v>968535</v>
      </c>
      <c r="F64" s="198">
        <f t="shared" ref="F64:G64" si="29">F48+F62</f>
        <v>798355</v>
      </c>
      <c r="G64" s="198">
        <f t="shared" si="29"/>
        <v>524615</v>
      </c>
      <c r="H64" s="199">
        <f t="shared" ref="H64" si="30">H48+H62</f>
        <v>88313</v>
      </c>
      <c r="I64" s="200">
        <f t="shared" ref="I64" si="31">I48+I62</f>
        <v>840030</v>
      </c>
      <c r="J64" s="198">
        <f t="shared" ref="J64" si="32">J48+J62</f>
        <v>560951</v>
      </c>
      <c r="K64" s="198">
        <f t="shared" ref="K64" si="33">K48+K62</f>
        <v>368971</v>
      </c>
      <c r="L64" s="199">
        <f t="shared" ref="L64" si="34">L48+L62</f>
        <v>206501</v>
      </c>
      <c r="M64" s="200">
        <f t="shared" ref="M64" si="35">M48+M62</f>
        <v>948027</v>
      </c>
      <c r="N64" s="198">
        <f t="shared" ref="N64" si="36">N48+N62</f>
        <v>789820</v>
      </c>
      <c r="O64" s="198">
        <f t="shared" ref="O64" si="37">O48+O62</f>
        <v>593857</v>
      </c>
      <c r="P64" s="199">
        <f t="shared" ref="P64:Q64" si="38">P48+P62</f>
        <v>325660</v>
      </c>
      <c r="Q64" s="200">
        <f t="shared" si="38"/>
        <v>1321734</v>
      </c>
      <c r="R64" s="198">
        <f t="shared" ref="R64" si="39">R48+R62</f>
        <v>989533</v>
      </c>
      <c r="S64" s="198">
        <f t="shared" ref="S64" si="40">S48+S62</f>
        <v>631058</v>
      </c>
      <c r="T64" s="199">
        <v>283496</v>
      </c>
      <c r="U64" s="200">
        <v>1032477</v>
      </c>
      <c r="V64" s="198">
        <f t="shared" ref="V64:W64" si="41">V48+V62</f>
        <v>417583</v>
      </c>
      <c r="W64" s="198">
        <f t="shared" si="41"/>
        <v>215178</v>
      </c>
      <c r="X64" s="199">
        <f>X48+X62</f>
        <v>94869</v>
      </c>
      <c r="Y64" s="200">
        <f>Y48+Y62</f>
        <v>398620</v>
      </c>
      <c r="Z64" s="198">
        <f t="shared" ref="Z64:AD64" si="42">Z48+Z62</f>
        <v>282266</v>
      </c>
      <c r="AA64" s="198">
        <f t="shared" si="42"/>
        <v>182174</v>
      </c>
      <c r="AB64" s="198">
        <f t="shared" si="42"/>
        <v>33954</v>
      </c>
      <c r="AC64" s="200">
        <f t="shared" ref="AC64" si="43">AC48+AC62</f>
        <v>362972</v>
      </c>
      <c r="AD64" s="198">
        <f t="shared" si="42"/>
        <v>255671</v>
      </c>
      <c r="AE64" s="198">
        <f t="shared" ref="AE64:AI64" si="44">AE48+AE62</f>
        <v>177560</v>
      </c>
      <c r="AF64" s="198">
        <f t="shared" si="44"/>
        <v>100837</v>
      </c>
      <c r="AG64" s="200">
        <f t="shared" si="44"/>
        <v>591182</v>
      </c>
      <c r="AH64" s="198">
        <f t="shared" si="44"/>
        <v>422534</v>
      </c>
      <c r="AI64" s="198">
        <f t="shared" si="44"/>
        <v>285564</v>
      </c>
      <c r="AJ64" s="198">
        <v>172349</v>
      </c>
      <c r="AK64" s="200">
        <v>404439</v>
      </c>
      <c r="AL64" s="198">
        <v>280194</v>
      </c>
      <c r="AM64" s="198">
        <v>145546</v>
      </c>
      <c r="AN64" s="198">
        <v>71259</v>
      </c>
      <c r="AO64" s="200">
        <v>350975</v>
      </c>
      <c r="AP64" s="198">
        <v>245354</v>
      </c>
      <c r="AQ64" s="198">
        <f>AQ48+AQ62</f>
        <v>167374</v>
      </c>
      <c r="AR64" s="198">
        <v>88719</v>
      </c>
      <c r="AS64" s="200">
        <v>312435</v>
      </c>
      <c r="AT64" s="200">
        <v>219933</v>
      </c>
      <c r="AU64" s="200">
        <v>153737</v>
      </c>
    </row>
    <row r="65" spans="1:47" ht="15" thickTop="1">
      <c r="B65" s="192" t="s">
        <v>260</v>
      </c>
      <c r="C65" s="247">
        <v>-1595</v>
      </c>
      <c r="D65" s="248">
        <v>-673</v>
      </c>
      <c r="E65" s="249">
        <v>-49074</v>
      </c>
      <c r="F65" s="247">
        <v>-48155</v>
      </c>
      <c r="G65" s="247">
        <v>-25146</v>
      </c>
      <c r="H65" s="248">
        <v>-429</v>
      </c>
      <c r="I65" s="249">
        <v>-126206</v>
      </c>
      <c r="J65" s="247">
        <v>-102310</v>
      </c>
      <c r="K65" s="247">
        <v>-84214</v>
      </c>
      <c r="L65" s="248">
        <v>-69223</v>
      </c>
      <c r="M65" s="249">
        <v>-392748</v>
      </c>
      <c r="N65" s="247">
        <v>-348010</v>
      </c>
      <c r="O65" s="247">
        <v>-309556</v>
      </c>
      <c r="P65" s="248">
        <v>-275771</v>
      </c>
      <c r="Q65" s="249">
        <v>-152382</v>
      </c>
      <c r="R65" s="247">
        <v>-124911</v>
      </c>
      <c r="S65" s="247">
        <v>-96187</v>
      </c>
      <c r="T65" s="248">
        <v>-68533</v>
      </c>
      <c r="U65" s="375">
        <v>-103962</v>
      </c>
      <c r="V65" s="247">
        <v>-83708</v>
      </c>
      <c r="W65" s="247">
        <v>-67163</v>
      </c>
      <c r="X65" s="248">
        <v>-51552</v>
      </c>
      <c r="Y65" s="375">
        <v>-62964</v>
      </c>
      <c r="Z65" s="247">
        <v>-46994</v>
      </c>
      <c r="AA65" s="247">
        <v>-34046</v>
      </c>
      <c r="AB65" s="247">
        <v>-25565</v>
      </c>
      <c r="AC65" s="375">
        <v>-113020</v>
      </c>
      <c r="AD65" s="247">
        <v>-98659</v>
      </c>
      <c r="AE65" s="247">
        <v>-82420</v>
      </c>
      <c r="AF65" s="247">
        <v>-53372</v>
      </c>
      <c r="AG65" s="375">
        <v>-47230</v>
      </c>
      <c r="AH65" s="247">
        <v>-34291</v>
      </c>
      <c r="AI65" s="247">
        <v>-20014</v>
      </c>
      <c r="AJ65" s="247">
        <v>-8312</v>
      </c>
      <c r="AK65" s="375">
        <v>-37444</v>
      </c>
      <c r="AL65" s="247">
        <v>-26380</v>
      </c>
      <c r="AM65" s="247">
        <v>-19427</v>
      </c>
      <c r="AN65" s="247">
        <v>-8461</v>
      </c>
      <c r="AO65" s="375">
        <v>-42098</v>
      </c>
      <c r="AP65" s="247">
        <v>-30526</v>
      </c>
      <c r="AQ65" s="247">
        <v>-23904</v>
      </c>
      <c r="AR65" s="247">
        <v>-13394</v>
      </c>
      <c r="AS65" s="375">
        <v>-21738</v>
      </c>
      <c r="AT65" s="375">
        <v>-1094</v>
      </c>
      <c r="AU65" s="375">
        <v>-2257</v>
      </c>
    </row>
    <row r="66" spans="1:47" ht="15.75" thickBot="1">
      <c r="A66" s="196"/>
      <c r="B66" s="197" t="s">
        <v>261</v>
      </c>
      <c r="C66" s="198">
        <f t="shared" ref="C66" si="45">C64+C65</f>
        <v>436119</v>
      </c>
      <c r="D66" s="199">
        <f t="shared" ref="D66" si="46">D64+D65</f>
        <v>216803</v>
      </c>
      <c r="E66" s="200">
        <f t="shared" ref="E66" si="47">E64+E65</f>
        <v>919461</v>
      </c>
      <c r="F66" s="198">
        <f t="shared" ref="F66:G66" si="48">F64+F65</f>
        <v>750200</v>
      </c>
      <c r="G66" s="198">
        <f t="shared" si="48"/>
        <v>499469</v>
      </c>
      <c r="H66" s="199">
        <f t="shared" ref="H66" si="49">H64+H65</f>
        <v>87884</v>
      </c>
      <c r="I66" s="200">
        <f t="shared" ref="I66" si="50">I64+I65</f>
        <v>713824</v>
      </c>
      <c r="J66" s="198">
        <f t="shared" ref="J66" si="51">J64+J65</f>
        <v>458641</v>
      </c>
      <c r="K66" s="198">
        <f t="shared" ref="K66" si="52">K64+K65</f>
        <v>284757</v>
      </c>
      <c r="L66" s="199">
        <f t="shared" ref="L66" si="53">L64+L65</f>
        <v>137278</v>
      </c>
      <c r="M66" s="200">
        <f t="shared" ref="M66" si="54">M64+M65</f>
        <v>555279</v>
      </c>
      <c r="N66" s="198">
        <f t="shared" ref="N66" si="55">N64+N65</f>
        <v>441810</v>
      </c>
      <c r="O66" s="198">
        <f t="shared" ref="O66" si="56">O64+O65</f>
        <v>284301</v>
      </c>
      <c r="P66" s="199">
        <f t="shared" ref="P66:Q66" si="57">P64+P65</f>
        <v>49889</v>
      </c>
      <c r="Q66" s="200">
        <f t="shared" si="57"/>
        <v>1169352</v>
      </c>
      <c r="R66" s="198">
        <f t="shared" ref="R66" si="58">R64+R65</f>
        <v>864622</v>
      </c>
      <c r="S66" s="198">
        <f t="shared" ref="S66" si="59">S64+S65</f>
        <v>534871</v>
      </c>
      <c r="T66" s="199">
        <v>214963</v>
      </c>
      <c r="U66" s="200">
        <v>928515</v>
      </c>
      <c r="V66" s="198">
        <f t="shared" ref="V66:W66" si="60">V64+V65</f>
        <v>333875</v>
      </c>
      <c r="W66" s="198">
        <f t="shared" si="60"/>
        <v>148015</v>
      </c>
      <c r="X66" s="199">
        <f>X64+X65</f>
        <v>43317</v>
      </c>
      <c r="Y66" s="200">
        <f>Y64+Y65</f>
        <v>335656</v>
      </c>
      <c r="Z66" s="198">
        <f>Z64+Z65</f>
        <v>235272</v>
      </c>
      <c r="AA66" s="198">
        <f>AA64+AA65</f>
        <v>148128</v>
      </c>
      <c r="AB66" s="198">
        <f>AB64+AB65</f>
        <v>8389</v>
      </c>
      <c r="AC66" s="200">
        <f t="shared" ref="AC66" si="61">AC64+AC65</f>
        <v>249952</v>
      </c>
      <c r="AD66" s="198">
        <f t="shared" ref="AD66" si="62">AD64+AD65</f>
        <v>157012</v>
      </c>
      <c r="AE66" s="198">
        <f t="shared" ref="AE66:AI66" si="63">AE64+AE65</f>
        <v>95140</v>
      </c>
      <c r="AF66" s="198">
        <f t="shared" si="63"/>
        <v>47465</v>
      </c>
      <c r="AG66" s="200">
        <f t="shared" si="63"/>
        <v>543952</v>
      </c>
      <c r="AH66" s="198">
        <f t="shared" si="63"/>
        <v>388243</v>
      </c>
      <c r="AI66" s="198">
        <f t="shared" si="63"/>
        <v>265550</v>
      </c>
      <c r="AJ66" s="198">
        <v>164037</v>
      </c>
      <c r="AK66" s="200">
        <v>366995</v>
      </c>
      <c r="AL66" s="198">
        <v>253814</v>
      </c>
      <c r="AM66" s="198">
        <v>126119</v>
      </c>
      <c r="AN66" s="198">
        <v>62798</v>
      </c>
      <c r="AO66" s="200">
        <v>308877</v>
      </c>
      <c r="AP66" s="198">
        <v>214828</v>
      </c>
      <c r="AQ66" s="198">
        <f>AQ64+AQ65</f>
        <v>143470</v>
      </c>
      <c r="AR66" s="198">
        <v>75325</v>
      </c>
      <c r="AS66" s="200">
        <v>290697</v>
      </c>
      <c r="AT66" s="200">
        <v>218839</v>
      </c>
      <c r="AU66" s="200">
        <v>151480</v>
      </c>
    </row>
    <row r="67" spans="1:47" ht="16.5" thickTop="1" thickBot="1">
      <c r="A67" s="196"/>
      <c r="B67" s="197" t="s">
        <v>262</v>
      </c>
      <c r="C67" s="198"/>
      <c r="D67" s="199"/>
      <c r="E67" s="200"/>
      <c r="F67" s="198"/>
      <c r="G67" s="198"/>
      <c r="H67" s="199"/>
      <c r="I67" s="200"/>
      <c r="J67" s="198"/>
      <c r="K67" s="198"/>
      <c r="L67" s="199"/>
      <c r="M67" s="200"/>
      <c r="N67" s="198"/>
      <c r="O67" s="198"/>
      <c r="P67" s="199"/>
      <c r="Q67" s="200"/>
      <c r="R67" s="198"/>
      <c r="S67" s="198"/>
      <c r="T67" s="199"/>
      <c r="U67" s="200"/>
      <c r="V67" s="198"/>
      <c r="W67" s="198"/>
      <c r="X67" s="199"/>
      <c r="Y67" s="200"/>
      <c r="Z67" s="198"/>
      <c r="AA67" s="198"/>
      <c r="AB67" s="198"/>
      <c r="AC67" s="200"/>
      <c r="AD67" s="198"/>
      <c r="AE67" s="198"/>
      <c r="AF67" s="198"/>
      <c r="AG67" s="200"/>
      <c r="AH67" s="198"/>
      <c r="AI67" s="198"/>
      <c r="AJ67" s="198"/>
      <c r="AK67" s="200"/>
      <c r="AL67" s="198"/>
      <c r="AM67" s="198"/>
      <c r="AN67" s="198"/>
      <c r="AO67" s="200"/>
      <c r="AP67" s="198"/>
      <c r="AQ67" s="198"/>
      <c r="AR67" s="198"/>
      <c r="AS67" s="200"/>
      <c r="AT67" s="200"/>
      <c r="AU67" s="200"/>
    </row>
    <row r="68" spans="1:47" ht="15.75" thickTop="1">
      <c r="A68" s="196"/>
      <c r="B68" s="202" t="s">
        <v>263</v>
      </c>
      <c r="C68" s="372">
        <v>-81308</v>
      </c>
      <c r="D68" s="421">
        <v>82301</v>
      </c>
      <c r="E68" s="195">
        <v>-35001</v>
      </c>
      <c r="F68" s="372">
        <v>95271</v>
      </c>
      <c r="G68" s="372">
        <v>168596</v>
      </c>
      <c r="H68" s="421">
        <v>61139</v>
      </c>
      <c r="I68" s="195">
        <v>-11421</v>
      </c>
      <c r="J68" s="372">
        <v>-478102</v>
      </c>
      <c r="K68" s="372">
        <v>-31771</v>
      </c>
      <c r="L68" s="421">
        <v>28669</v>
      </c>
      <c r="M68" s="195">
        <v>227292</v>
      </c>
      <c r="N68" s="372">
        <v>373234</v>
      </c>
      <c r="O68" s="372">
        <v>425157</v>
      </c>
      <c r="P68" s="421">
        <v>417582</v>
      </c>
      <c r="Q68" s="195">
        <v>-166573</v>
      </c>
      <c r="R68" s="372">
        <v>206180</v>
      </c>
      <c r="S68" s="372">
        <v>-46679</v>
      </c>
      <c r="T68" s="194">
        <v>-100468</v>
      </c>
      <c r="U68" s="195">
        <v>-350086</v>
      </c>
      <c r="V68" s="372">
        <v>-117366</v>
      </c>
      <c r="W68" s="372">
        <v>-39607</v>
      </c>
      <c r="X68" s="194">
        <v>-23938</v>
      </c>
      <c r="Y68" s="195">
        <v>76934</v>
      </c>
      <c r="Z68" s="193">
        <v>92828</v>
      </c>
      <c r="AA68" s="193">
        <v>114793</v>
      </c>
      <c r="AB68" s="193">
        <v>91004</v>
      </c>
      <c r="AC68" s="195">
        <v>356042</v>
      </c>
      <c r="AD68" s="193">
        <v>191195</v>
      </c>
      <c r="AE68" s="193">
        <v>235626</v>
      </c>
      <c r="AF68" s="193">
        <v>77198</v>
      </c>
      <c r="AG68" s="195">
        <v>-304169</v>
      </c>
      <c r="AH68" s="193">
        <v>-308031</v>
      </c>
      <c r="AI68" s="193">
        <v>-418342</v>
      </c>
      <c r="AJ68" s="193">
        <v>-453017</v>
      </c>
      <c r="AK68" s="195">
        <v>-92194</v>
      </c>
      <c r="AL68" s="193">
        <v>-132444</v>
      </c>
      <c r="AM68" s="193">
        <v>-21536</v>
      </c>
      <c r="AN68" s="193">
        <v>-71922</v>
      </c>
      <c r="AO68" s="195">
        <v>12302</v>
      </c>
      <c r="AP68" s="193">
        <v>-105135</v>
      </c>
      <c r="AQ68" s="193">
        <v>-105567</v>
      </c>
      <c r="AR68" s="193">
        <v>-42920</v>
      </c>
      <c r="AS68" s="195">
        <v>7855</v>
      </c>
      <c r="AT68" s="195">
        <v>2870</v>
      </c>
      <c r="AU68" s="195">
        <f>78144-25431</f>
        <v>52713</v>
      </c>
    </row>
    <row r="69" spans="1:47">
      <c r="B69" s="201" t="s">
        <v>264</v>
      </c>
      <c r="C69" s="193">
        <v>0</v>
      </c>
      <c r="D69" s="194"/>
      <c r="E69" s="195">
        <v>0</v>
      </c>
      <c r="F69" s="193">
        <v>0</v>
      </c>
      <c r="G69" s="193">
        <v>0</v>
      </c>
      <c r="H69" s="194">
        <v>0</v>
      </c>
      <c r="I69" s="195">
        <v>0</v>
      </c>
      <c r="J69" s="193">
        <v>0</v>
      </c>
      <c r="K69" s="193">
        <v>0</v>
      </c>
      <c r="L69" s="194">
        <v>0</v>
      </c>
      <c r="M69" s="195">
        <v>0</v>
      </c>
      <c r="N69" s="193">
        <v>0</v>
      </c>
      <c r="O69" s="193">
        <v>0</v>
      </c>
      <c r="P69" s="194">
        <v>0</v>
      </c>
      <c r="Q69" s="195">
        <v>0</v>
      </c>
      <c r="R69" s="193">
        <v>0</v>
      </c>
      <c r="S69" s="193">
        <v>0</v>
      </c>
      <c r="T69" s="194">
        <v>0</v>
      </c>
      <c r="U69" s="195">
        <v>0</v>
      </c>
      <c r="V69" s="193">
        <v>0</v>
      </c>
      <c r="W69" s="193">
        <v>0</v>
      </c>
      <c r="X69" s="194">
        <v>0</v>
      </c>
      <c r="Y69" s="195">
        <v>0</v>
      </c>
      <c r="Z69" s="193">
        <v>0</v>
      </c>
      <c r="AA69" s="193">
        <v>0</v>
      </c>
      <c r="AB69" s="193">
        <v>0</v>
      </c>
      <c r="AC69" s="195">
        <v>0</v>
      </c>
      <c r="AD69" s="193">
        <v>0</v>
      </c>
      <c r="AE69" s="193">
        <v>0</v>
      </c>
      <c r="AF69" s="193">
        <v>0</v>
      </c>
      <c r="AG69" s="195">
        <v>0</v>
      </c>
      <c r="AH69" s="193">
        <v>0</v>
      </c>
      <c r="AI69" s="193">
        <v>0</v>
      </c>
      <c r="AJ69" s="193">
        <v>0</v>
      </c>
      <c r="AK69" s="195">
        <v>11668</v>
      </c>
      <c r="AL69" s="193">
        <v>11668</v>
      </c>
      <c r="AM69" s="193">
        <v>11668</v>
      </c>
      <c r="AN69" s="193">
        <v>11668</v>
      </c>
      <c r="AO69" s="195">
        <v>0</v>
      </c>
      <c r="AP69" s="193">
        <v>0</v>
      </c>
      <c r="AQ69" s="193">
        <v>0</v>
      </c>
      <c r="AR69" s="193">
        <v>0</v>
      </c>
      <c r="AS69" s="195">
        <v>0</v>
      </c>
      <c r="AT69" s="195">
        <v>0</v>
      </c>
      <c r="AU69" s="195">
        <v>49833</v>
      </c>
    </row>
    <row r="70" spans="1:47">
      <c r="B70" s="201" t="s">
        <v>265</v>
      </c>
      <c r="C70" s="193">
        <v>-191553</v>
      </c>
      <c r="D70" s="194">
        <v>-113426</v>
      </c>
      <c r="E70" s="195">
        <v>-842966</v>
      </c>
      <c r="F70" s="193">
        <v>-668826</v>
      </c>
      <c r="G70" s="193">
        <v>-471354</v>
      </c>
      <c r="H70" s="194">
        <v>-276947</v>
      </c>
      <c r="I70" s="195">
        <v>-490858</v>
      </c>
      <c r="J70" s="193">
        <v>-295275</v>
      </c>
      <c r="K70" s="193">
        <v>-151949</v>
      </c>
      <c r="L70" s="194">
        <v>-63465</v>
      </c>
      <c r="M70" s="195">
        <v>-238753</v>
      </c>
      <c r="N70" s="193">
        <v>-178256</v>
      </c>
      <c r="O70" s="193">
        <v>-134680</v>
      </c>
      <c r="P70" s="194">
        <v>-37834</v>
      </c>
      <c r="Q70" s="195">
        <v>-72354</v>
      </c>
      <c r="R70" s="193">
        <v>-44311</v>
      </c>
      <c r="S70" s="193">
        <v>-14357</v>
      </c>
      <c r="T70" s="194">
        <v>-3175</v>
      </c>
      <c r="U70" s="195">
        <v>-59126</v>
      </c>
      <c r="V70" s="193">
        <v>-39624</v>
      </c>
      <c r="W70" s="193">
        <v>-20665</v>
      </c>
      <c r="X70" s="194">
        <v>-6665</v>
      </c>
      <c r="Y70" s="195">
        <v>-45298</v>
      </c>
      <c r="Z70" s="193">
        <v>-34754</v>
      </c>
      <c r="AA70" s="193">
        <v>-21988</v>
      </c>
      <c r="AB70" s="193">
        <v>-9043</v>
      </c>
      <c r="AC70" s="195">
        <v>-38976</v>
      </c>
      <c r="AD70" s="193">
        <v>-26448</v>
      </c>
      <c r="AE70" s="193">
        <v>-12436</v>
      </c>
      <c r="AF70" s="193">
        <v>-9881</v>
      </c>
      <c r="AG70" s="195">
        <v>-47445</v>
      </c>
      <c r="AH70" s="193">
        <v>-19821</v>
      </c>
      <c r="AI70" s="193">
        <v>-10597</v>
      </c>
      <c r="AJ70" s="193">
        <v>-5351</v>
      </c>
      <c r="AK70" s="195">
        <v>-35889</v>
      </c>
      <c r="AL70" s="193">
        <v>-21712</v>
      </c>
      <c r="AM70" s="193">
        <v>-15900</v>
      </c>
      <c r="AN70" s="193">
        <v>-4617</v>
      </c>
      <c r="AO70" s="195">
        <v>-39754</v>
      </c>
      <c r="AP70" s="193">
        <v>-26348</v>
      </c>
      <c r="AQ70" s="193">
        <v>-17168</v>
      </c>
      <c r="AR70" s="193">
        <v>-5493</v>
      </c>
      <c r="AS70" s="195">
        <v>-33431</v>
      </c>
      <c r="AT70" s="195">
        <v>-43302</v>
      </c>
      <c r="AU70" s="195">
        <v>-13481</v>
      </c>
    </row>
    <row r="71" spans="1:47">
      <c r="B71" s="201" t="s">
        <v>266</v>
      </c>
      <c r="C71" s="193">
        <v>0</v>
      </c>
      <c r="D71" s="194"/>
      <c r="E71" s="195">
        <v>0</v>
      </c>
      <c r="F71" s="193">
        <v>0</v>
      </c>
      <c r="G71" s="193">
        <v>0</v>
      </c>
      <c r="H71" s="194">
        <v>0</v>
      </c>
      <c r="I71" s="195">
        <v>0</v>
      </c>
      <c r="J71" s="193">
        <v>0</v>
      </c>
      <c r="K71" s="193">
        <v>0</v>
      </c>
      <c r="L71" s="194">
        <v>0</v>
      </c>
      <c r="M71" s="195">
        <v>0</v>
      </c>
      <c r="N71" s="193">
        <v>0</v>
      </c>
      <c r="O71" s="193">
        <v>0</v>
      </c>
      <c r="P71" s="194">
        <v>0</v>
      </c>
      <c r="Q71" s="195">
        <v>0</v>
      </c>
      <c r="R71" s="193">
        <v>0</v>
      </c>
      <c r="S71" s="193">
        <v>0</v>
      </c>
      <c r="T71" s="194">
        <v>0</v>
      </c>
      <c r="U71" s="195">
        <v>0</v>
      </c>
      <c r="V71" s="193">
        <v>0</v>
      </c>
      <c r="W71" s="193">
        <v>0</v>
      </c>
      <c r="X71" s="194">
        <v>0</v>
      </c>
      <c r="Y71" s="195">
        <v>0</v>
      </c>
      <c r="Z71" s="193">
        <v>0</v>
      </c>
      <c r="AA71" s="193">
        <v>0</v>
      </c>
      <c r="AB71" s="193">
        <v>0</v>
      </c>
      <c r="AC71" s="195">
        <v>0</v>
      </c>
      <c r="AD71" s="193">
        <v>0</v>
      </c>
      <c r="AE71" s="193">
        <v>0</v>
      </c>
      <c r="AF71" s="193">
        <v>0</v>
      </c>
      <c r="AG71" s="195">
        <v>0</v>
      </c>
      <c r="AH71" s="193">
        <v>0</v>
      </c>
      <c r="AI71" s="193">
        <v>0</v>
      </c>
      <c r="AJ71" s="193">
        <v>0</v>
      </c>
      <c r="AK71" s="195">
        <v>0</v>
      </c>
      <c r="AL71" s="193">
        <v>0</v>
      </c>
      <c r="AM71" s="193">
        <v>0</v>
      </c>
      <c r="AN71" s="193">
        <v>0</v>
      </c>
      <c r="AO71" s="195">
        <v>0</v>
      </c>
      <c r="AP71" s="193">
        <v>0</v>
      </c>
      <c r="AQ71" s="193">
        <v>0</v>
      </c>
      <c r="AR71" s="193">
        <v>476</v>
      </c>
      <c r="AS71" s="195">
        <v>6888</v>
      </c>
      <c r="AT71" s="195">
        <v>9688</v>
      </c>
      <c r="AU71" s="195">
        <v>0</v>
      </c>
    </row>
    <row r="72" spans="1:47">
      <c r="B72" s="201" t="s">
        <v>267</v>
      </c>
      <c r="C72" s="193">
        <v>0</v>
      </c>
      <c r="D72" s="194"/>
      <c r="E72" s="195">
        <v>0</v>
      </c>
      <c r="F72" s="193">
        <v>0</v>
      </c>
      <c r="G72" s="193">
        <v>0</v>
      </c>
      <c r="H72" s="194">
        <v>0</v>
      </c>
      <c r="I72" s="195">
        <v>0</v>
      </c>
      <c r="J72" s="193">
        <v>0</v>
      </c>
      <c r="K72" s="193">
        <v>0</v>
      </c>
      <c r="L72" s="194">
        <v>0</v>
      </c>
      <c r="M72" s="195">
        <v>0</v>
      </c>
      <c r="N72" s="193">
        <v>0</v>
      </c>
      <c r="O72" s="193">
        <v>0</v>
      </c>
      <c r="P72" s="194">
        <v>0</v>
      </c>
      <c r="Q72" s="195">
        <v>0</v>
      </c>
      <c r="R72" s="193">
        <v>0</v>
      </c>
      <c r="S72" s="193">
        <v>0</v>
      </c>
      <c r="T72" s="194">
        <v>0</v>
      </c>
      <c r="U72" s="195">
        <v>0</v>
      </c>
      <c r="V72" s="193">
        <v>0</v>
      </c>
      <c r="W72" s="193">
        <v>0</v>
      </c>
      <c r="X72" s="194">
        <v>0</v>
      </c>
      <c r="Y72" s="195">
        <v>0</v>
      </c>
      <c r="Z72" s="193">
        <v>0</v>
      </c>
      <c r="AA72" s="193">
        <v>0</v>
      </c>
      <c r="AB72" s="193">
        <v>0</v>
      </c>
      <c r="AC72" s="195">
        <v>0</v>
      </c>
      <c r="AD72" s="193">
        <v>0</v>
      </c>
      <c r="AE72" s="193">
        <v>0</v>
      </c>
      <c r="AF72" s="193">
        <v>0</v>
      </c>
      <c r="AG72" s="195">
        <v>0</v>
      </c>
      <c r="AH72" s="193">
        <v>0</v>
      </c>
      <c r="AI72" s="193">
        <v>0</v>
      </c>
      <c r="AJ72" s="193">
        <v>0</v>
      </c>
      <c r="AK72" s="195">
        <v>-110000</v>
      </c>
      <c r="AL72" s="193">
        <v>-58500</v>
      </c>
      <c r="AM72" s="193">
        <v>0</v>
      </c>
      <c r="AN72" s="193">
        <v>0</v>
      </c>
      <c r="AO72" s="195">
        <v>0</v>
      </c>
      <c r="AP72" s="193">
        <v>0</v>
      </c>
      <c r="AQ72" s="193">
        <v>0</v>
      </c>
      <c r="AR72" s="193">
        <v>0</v>
      </c>
      <c r="AS72" s="195">
        <v>0</v>
      </c>
      <c r="AT72" s="195">
        <v>0</v>
      </c>
      <c r="AU72" s="195">
        <v>0</v>
      </c>
    </row>
    <row r="73" spans="1:47">
      <c r="B73" s="201" t="s">
        <v>268</v>
      </c>
      <c r="C73" s="193">
        <v>-16131</v>
      </c>
      <c r="D73" s="194">
        <v>-234</v>
      </c>
      <c r="E73" s="195">
        <v>-12908</v>
      </c>
      <c r="F73" s="193">
        <v>-12908</v>
      </c>
      <c r="G73" s="193">
        <v>-12908</v>
      </c>
      <c r="H73" s="194">
        <v>0</v>
      </c>
      <c r="I73" s="195">
        <v>-933</v>
      </c>
      <c r="J73" s="193">
        <v>-933</v>
      </c>
      <c r="K73" s="193">
        <v>-933</v>
      </c>
      <c r="L73" s="194">
        <v>0</v>
      </c>
      <c r="M73" s="195">
        <v>0</v>
      </c>
      <c r="N73" s="193">
        <v>0</v>
      </c>
      <c r="O73" s="193">
        <v>0</v>
      </c>
      <c r="P73" s="194">
        <v>0</v>
      </c>
      <c r="Q73" s="195">
        <v>-6841</v>
      </c>
      <c r="R73" s="193">
        <v>-6841</v>
      </c>
      <c r="S73" s="193">
        <v>0</v>
      </c>
      <c r="T73" s="194">
        <v>0</v>
      </c>
      <c r="U73" s="195">
        <v>-35700</v>
      </c>
      <c r="V73" s="193">
        <v>-35700</v>
      </c>
      <c r="W73" s="193">
        <v>-22500</v>
      </c>
      <c r="X73" s="194">
        <v>-8500</v>
      </c>
      <c r="Y73" s="195">
        <v>-12500</v>
      </c>
      <c r="Z73" s="193">
        <v>-5000</v>
      </c>
      <c r="AA73" s="193">
        <v>0</v>
      </c>
      <c r="AB73" s="193">
        <v>0</v>
      </c>
      <c r="AC73" s="195">
        <v>0</v>
      </c>
      <c r="AD73" s="193">
        <v>0</v>
      </c>
      <c r="AE73" s="193">
        <v>0</v>
      </c>
      <c r="AF73" s="193">
        <v>0</v>
      </c>
      <c r="AG73" s="195">
        <v>0</v>
      </c>
      <c r="AH73" s="193">
        <v>0</v>
      </c>
      <c r="AI73" s="193">
        <v>0</v>
      </c>
      <c r="AJ73" s="193">
        <v>0</v>
      </c>
      <c r="AK73" s="195">
        <v>0</v>
      </c>
      <c r="AL73" s="193">
        <v>0</v>
      </c>
      <c r="AM73" s="193">
        <v>0</v>
      </c>
      <c r="AN73" s="193">
        <v>0</v>
      </c>
      <c r="AO73" s="195">
        <v>0</v>
      </c>
      <c r="AP73" s="193">
        <v>0</v>
      </c>
      <c r="AQ73" s="193">
        <v>0</v>
      </c>
      <c r="AR73" s="193">
        <v>0</v>
      </c>
      <c r="AS73" s="195">
        <v>0</v>
      </c>
      <c r="AT73" s="195">
        <v>-1669</v>
      </c>
      <c r="AU73" s="195">
        <v>0</v>
      </c>
    </row>
    <row r="74" spans="1:47">
      <c r="B74" s="201" t="s">
        <v>394</v>
      </c>
      <c r="C74" s="193">
        <v>0</v>
      </c>
      <c r="D74" s="194"/>
      <c r="E74" s="195">
        <v>0</v>
      </c>
      <c r="F74" s="193">
        <v>0</v>
      </c>
      <c r="G74" s="193">
        <v>0</v>
      </c>
      <c r="H74" s="194">
        <v>0</v>
      </c>
      <c r="I74" s="195">
        <v>0</v>
      </c>
      <c r="J74" s="193">
        <v>0</v>
      </c>
      <c r="K74" s="193">
        <v>0</v>
      </c>
      <c r="L74" s="194">
        <v>0</v>
      </c>
      <c r="M74" s="195">
        <v>-804</v>
      </c>
      <c r="N74" s="193">
        <v>-804</v>
      </c>
      <c r="O74" s="193">
        <v>-804</v>
      </c>
      <c r="P74" s="194">
        <v>0</v>
      </c>
      <c r="Q74" s="195">
        <v>0</v>
      </c>
      <c r="R74" s="193">
        <v>0</v>
      </c>
      <c r="S74" s="193"/>
      <c r="T74" s="194"/>
      <c r="U74" s="195"/>
      <c r="V74" s="193"/>
      <c r="W74" s="193"/>
      <c r="X74" s="194"/>
      <c r="Y74" s="195"/>
      <c r="Z74" s="193"/>
      <c r="AA74" s="193"/>
      <c r="AB74" s="193"/>
      <c r="AC74" s="195"/>
      <c r="AD74" s="193"/>
      <c r="AE74" s="193"/>
      <c r="AF74" s="193"/>
      <c r="AG74" s="195"/>
      <c r="AH74" s="193"/>
      <c r="AI74" s="193"/>
      <c r="AJ74" s="193"/>
      <c r="AK74" s="195"/>
      <c r="AL74" s="193"/>
      <c r="AM74" s="193"/>
      <c r="AN74" s="193"/>
      <c r="AO74" s="195"/>
      <c r="AP74" s="193"/>
      <c r="AQ74" s="193"/>
      <c r="AR74" s="193"/>
      <c r="AS74" s="195"/>
      <c r="AT74" s="195"/>
      <c r="AU74" s="195"/>
    </row>
    <row r="75" spans="1:47">
      <c r="B75" s="239" t="s">
        <v>395</v>
      </c>
      <c r="C75" s="193">
        <v>0</v>
      </c>
      <c r="D75" s="194"/>
      <c r="E75" s="195">
        <v>0</v>
      </c>
      <c r="F75" s="193">
        <v>0</v>
      </c>
      <c r="G75" s="193">
        <v>0</v>
      </c>
      <c r="H75" s="194">
        <v>0</v>
      </c>
      <c r="I75" s="195">
        <v>0</v>
      </c>
      <c r="J75" s="193">
        <v>0</v>
      </c>
      <c r="K75" s="193">
        <v>0</v>
      </c>
      <c r="L75" s="194">
        <v>0</v>
      </c>
      <c r="M75" s="195">
        <v>0</v>
      </c>
      <c r="N75" s="193">
        <v>0</v>
      </c>
      <c r="O75" s="193">
        <v>0</v>
      </c>
      <c r="P75" s="194">
        <v>0</v>
      </c>
      <c r="Q75" s="195">
        <v>0</v>
      </c>
      <c r="R75" s="193">
        <v>0</v>
      </c>
      <c r="S75" s="193"/>
      <c r="T75" s="194"/>
      <c r="U75" s="195"/>
      <c r="V75" s="193"/>
      <c r="W75" s="193"/>
      <c r="X75" s="194"/>
      <c r="Y75" s="195"/>
      <c r="Z75" s="193"/>
      <c r="AA75" s="193"/>
      <c r="AB75" s="193"/>
      <c r="AC75" s="195"/>
      <c r="AD75" s="193"/>
      <c r="AE75" s="193"/>
      <c r="AF75" s="193"/>
      <c r="AG75" s="195"/>
      <c r="AH75" s="193"/>
      <c r="AI75" s="193"/>
      <c r="AJ75" s="193"/>
      <c r="AK75" s="195"/>
      <c r="AL75" s="193"/>
      <c r="AM75" s="193"/>
      <c r="AN75" s="193"/>
      <c r="AO75" s="195"/>
      <c r="AP75" s="193"/>
      <c r="AQ75" s="193"/>
      <c r="AR75" s="193"/>
      <c r="AS75" s="195"/>
      <c r="AT75" s="195"/>
      <c r="AU75" s="195"/>
    </row>
    <row r="76" spans="1:47">
      <c r="B76" s="201" t="s">
        <v>305</v>
      </c>
      <c r="C76" s="193">
        <v>0</v>
      </c>
      <c r="D76" s="194"/>
      <c r="E76" s="195">
        <v>0</v>
      </c>
      <c r="F76" s="193">
        <v>0</v>
      </c>
      <c r="G76" s="193">
        <v>0</v>
      </c>
      <c r="H76" s="194">
        <v>0</v>
      </c>
      <c r="I76" s="195">
        <v>0</v>
      </c>
      <c r="J76" s="193">
        <v>0</v>
      </c>
      <c r="K76" s="193">
        <v>0</v>
      </c>
      <c r="L76" s="194">
        <v>0</v>
      </c>
      <c r="M76" s="195">
        <v>0</v>
      </c>
      <c r="N76" s="193">
        <v>0</v>
      </c>
      <c r="O76" s="193">
        <v>0</v>
      </c>
      <c r="P76" s="194">
        <v>0</v>
      </c>
      <c r="Q76" s="195">
        <v>0</v>
      </c>
      <c r="R76" s="193">
        <v>33426</v>
      </c>
      <c r="S76" s="193">
        <v>0</v>
      </c>
      <c r="T76" s="194">
        <v>0</v>
      </c>
      <c r="U76" s="195">
        <v>0</v>
      </c>
      <c r="V76" s="193">
        <v>0</v>
      </c>
      <c r="W76" s="193">
        <v>0</v>
      </c>
      <c r="X76" s="194">
        <v>0</v>
      </c>
      <c r="Y76" s="195">
        <v>0</v>
      </c>
      <c r="Z76" s="193">
        <v>0</v>
      </c>
      <c r="AA76" s="193">
        <v>0</v>
      </c>
      <c r="AB76" s="193">
        <v>0</v>
      </c>
      <c r="AC76" s="195">
        <v>-31977</v>
      </c>
      <c r="AD76" s="193">
        <v>0</v>
      </c>
      <c r="AE76" s="193">
        <v>0</v>
      </c>
      <c r="AF76" s="193">
        <v>0</v>
      </c>
      <c r="AG76" s="195">
        <v>0</v>
      </c>
      <c r="AH76" s="193">
        <v>0</v>
      </c>
      <c r="AI76" s="193">
        <v>0</v>
      </c>
      <c r="AJ76" s="193">
        <v>0</v>
      </c>
      <c r="AK76" s="195">
        <v>0</v>
      </c>
      <c r="AL76" s="193">
        <v>0</v>
      </c>
      <c r="AM76" s="193">
        <v>0</v>
      </c>
      <c r="AN76" s="193">
        <v>0</v>
      </c>
      <c r="AO76" s="195">
        <v>0</v>
      </c>
      <c r="AP76" s="193">
        <v>0</v>
      </c>
      <c r="AQ76" s="193">
        <v>0</v>
      </c>
      <c r="AR76" s="193">
        <v>0</v>
      </c>
      <c r="AS76" s="195">
        <v>0</v>
      </c>
      <c r="AT76" s="195">
        <v>0</v>
      </c>
      <c r="AU76" s="195">
        <v>-5025</v>
      </c>
    </row>
    <row r="77" spans="1:47">
      <c r="B77" s="239" t="s">
        <v>357</v>
      </c>
      <c r="C77" s="193">
        <v>0</v>
      </c>
      <c r="D77" s="194"/>
      <c r="E77" s="195">
        <v>0</v>
      </c>
      <c r="F77" s="193">
        <v>0</v>
      </c>
      <c r="G77" s="193">
        <v>0</v>
      </c>
      <c r="H77" s="194">
        <v>0</v>
      </c>
      <c r="I77" s="195">
        <v>0</v>
      </c>
      <c r="J77" s="193">
        <v>0</v>
      </c>
      <c r="K77" s="193">
        <v>0</v>
      </c>
      <c r="L77" s="194">
        <v>0</v>
      </c>
      <c r="M77" s="195">
        <v>-3632</v>
      </c>
      <c r="N77" s="193">
        <v>-3632</v>
      </c>
      <c r="O77" s="193">
        <v>-2201</v>
      </c>
      <c r="P77" s="194">
        <v>-132</v>
      </c>
      <c r="Q77" s="195">
        <v>-487</v>
      </c>
      <c r="R77" s="193">
        <v>-460</v>
      </c>
      <c r="S77" s="193">
        <v>-329</v>
      </c>
      <c r="T77" s="194">
        <v>-275</v>
      </c>
      <c r="U77" s="195">
        <v>-1034</v>
      </c>
      <c r="V77" s="193"/>
      <c r="W77" s="193"/>
      <c r="X77" s="194"/>
      <c r="Y77" s="195">
        <v>0</v>
      </c>
      <c r="Z77" s="193"/>
      <c r="AA77" s="193"/>
      <c r="AB77" s="193"/>
      <c r="AC77" s="195"/>
      <c r="AD77" s="193"/>
      <c r="AE77" s="193"/>
      <c r="AF77" s="193"/>
      <c r="AG77" s="195"/>
      <c r="AH77" s="193"/>
      <c r="AI77" s="193"/>
      <c r="AJ77" s="193"/>
      <c r="AK77" s="195"/>
      <c r="AL77" s="193"/>
      <c r="AM77" s="193"/>
      <c r="AN77" s="193"/>
      <c r="AO77" s="195"/>
      <c r="AP77" s="193"/>
      <c r="AQ77" s="193"/>
      <c r="AR77" s="193"/>
      <c r="AS77" s="195"/>
      <c r="AT77" s="195"/>
      <c r="AU77" s="195"/>
    </row>
    <row r="78" spans="1:47">
      <c r="B78" s="201" t="s">
        <v>346</v>
      </c>
      <c r="C78" s="193">
        <v>0</v>
      </c>
      <c r="D78" s="194"/>
      <c r="E78" s="195">
        <v>0</v>
      </c>
      <c r="F78" s="193">
        <v>0</v>
      </c>
      <c r="G78" s="193">
        <v>0</v>
      </c>
      <c r="H78" s="194">
        <v>0</v>
      </c>
      <c r="I78" s="195">
        <v>0</v>
      </c>
      <c r="J78" s="193">
        <v>0</v>
      </c>
      <c r="K78" s="193">
        <v>0</v>
      </c>
      <c r="L78" s="194">
        <v>0</v>
      </c>
      <c r="M78" s="195">
        <v>0</v>
      </c>
      <c r="N78" s="193">
        <v>0</v>
      </c>
      <c r="O78" s="193">
        <v>0</v>
      </c>
      <c r="P78" s="194">
        <v>0</v>
      </c>
      <c r="Q78" s="195">
        <v>-39237</v>
      </c>
      <c r="R78" s="193">
        <v>-39237</v>
      </c>
      <c r="S78" s="193">
        <v>0</v>
      </c>
      <c r="T78" s="194">
        <v>0</v>
      </c>
      <c r="U78" s="195">
        <v>-8769</v>
      </c>
      <c r="V78" s="193">
        <v>-8769</v>
      </c>
      <c r="W78" s="193">
        <v>-8769</v>
      </c>
      <c r="X78" s="194">
        <v>0</v>
      </c>
      <c r="Y78" s="195">
        <v>-30547</v>
      </c>
      <c r="Z78" s="193">
        <v>0</v>
      </c>
      <c r="AA78" s="193">
        <v>0</v>
      </c>
      <c r="AB78" s="193">
        <v>0</v>
      </c>
      <c r="AC78" s="195">
        <v>0</v>
      </c>
      <c r="AD78" s="193">
        <v>0</v>
      </c>
      <c r="AE78" s="193">
        <v>0</v>
      </c>
      <c r="AF78" s="193">
        <v>0</v>
      </c>
      <c r="AG78" s="195">
        <v>0</v>
      </c>
      <c r="AH78" s="193">
        <v>0</v>
      </c>
      <c r="AI78" s="193">
        <v>0</v>
      </c>
      <c r="AJ78" s="193">
        <v>0</v>
      </c>
      <c r="AK78" s="195">
        <v>0</v>
      </c>
      <c r="AL78" s="193">
        <v>0</v>
      </c>
      <c r="AM78" s="193">
        <v>0</v>
      </c>
      <c r="AN78" s="193">
        <v>0</v>
      </c>
      <c r="AO78" s="195">
        <v>0</v>
      </c>
      <c r="AP78" s="193">
        <v>0</v>
      </c>
      <c r="AQ78" s="193">
        <v>0</v>
      </c>
      <c r="AR78" s="193">
        <v>0</v>
      </c>
      <c r="AS78" s="195">
        <v>0</v>
      </c>
      <c r="AT78" s="195">
        <v>0</v>
      </c>
      <c r="AU78" s="195">
        <v>0</v>
      </c>
    </row>
    <row r="79" spans="1:47">
      <c r="B79" s="201" t="s">
        <v>269</v>
      </c>
      <c r="C79" s="193">
        <v>0</v>
      </c>
      <c r="D79" s="194"/>
      <c r="E79" s="195">
        <v>97</v>
      </c>
      <c r="F79" s="193">
        <v>97</v>
      </c>
      <c r="G79" s="193">
        <v>97</v>
      </c>
      <c r="H79" s="194">
        <v>0</v>
      </c>
      <c r="I79" s="195">
        <v>41778</v>
      </c>
      <c r="J79" s="193">
        <v>41778</v>
      </c>
      <c r="K79" s="193">
        <v>41778</v>
      </c>
      <c r="L79" s="194">
        <v>39749</v>
      </c>
      <c r="M79" s="195">
        <v>5601</v>
      </c>
      <c r="N79" s="193">
        <v>5601</v>
      </c>
      <c r="O79" s="193">
        <v>5601</v>
      </c>
      <c r="P79" s="194">
        <v>5601</v>
      </c>
      <c r="Q79" s="195">
        <v>33426</v>
      </c>
      <c r="R79" s="193">
        <v>0</v>
      </c>
      <c r="S79" s="193">
        <v>0</v>
      </c>
      <c r="T79" s="194">
        <v>0</v>
      </c>
      <c r="U79" s="195">
        <v>0</v>
      </c>
      <c r="V79" s="193">
        <v>0</v>
      </c>
      <c r="W79" s="193">
        <v>0</v>
      </c>
      <c r="X79" s="194">
        <v>0</v>
      </c>
      <c r="Y79" s="195">
        <v>0</v>
      </c>
      <c r="Z79" s="193">
        <v>-30547</v>
      </c>
      <c r="AA79" s="193">
        <v>0</v>
      </c>
      <c r="AB79" s="193">
        <v>0</v>
      </c>
      <c r="AC79" s="195">
        <v>0</v>
      </c>
      <c r="AD79" s="193">
        <v>0</v>
      </c>
      <c r="AE79" s="193">
        <v>0</v>
      </c>
      <c r="AF79" s="193">
        <v>0</v>
      </c>
      <c r="AG79" s="195">
        <v>0</v>
      </c>
      <c r="AH79" s="193">
        <v>0</v>
      </c>
      <c r="AI79" s="193">
        <v>0</v>
      </c>
      <c r="AJ79" s="193">
        <v>0</v>
      </c>
      <c r="AK79" s="195">
        <v>0</v>
      </c>
      <c r="AL79" s="193">
        <v>0</v>
      </c>
      <c r="AM79" s="193">
        <v>0</v>
      </c>
      <c r="AN79" s="193">
        <v>0</v>
      </c>
      <c r="AO79" s="195">
        <v>0</v>
      </c>
      <c r="AP79" s="193">
        <v>0</v>
      </c>
      <c r="AQ79" s="193">
        <v>0</v>
      </c>
      <c r="AR79" s="193">
        <v>0</v>
      </c>
      <c r="AS79" s="195">
        <v>0</v>
      </c>
      <c r="AT79" s="195">
        <v>0</v>
      </c>
      <c r="AU79" s="195">
        <v>-554428</v>
      </c>
    </row>
    <row r="80" spans="1:47" ht="15.75" thickBot="1">
      <c r="A80" s="196"/>
      <c r="B80" s="197" t="s">
        <v>270</v>
      </c>
      <c r="C80" s="198">
        <f t="shared" ref="C80" si="64">SUM(C68:C79)</f>
        <v>-288992</v>
      </c>
      <c r="D80" s="199">
        <f t="shared" ref="D80" si="65">SUM(D68:D79)</f>
        <v>-31359</v>
      </c>
      <c r="E80" s="200">
        <f t="shared" ref="E80" si="66">SUM(E68:E79)</f>
        <v>-890778</v>
      </c>
      <c r="F80" s="198">
        <f t="shared" ref="F80:G80" si="67">SUM(F68:F79)</f>
        <v>-586366</v>
      </c>
      <c r="G80" s="198">
        <f t="shared" si="67"/>
        <v>-315569</v>
      </c>
      <c r="H80" s="199">
        <f t="shared" ref="H80" si="68">SUM(H68:H79)</f>
        <v>-215808</v>
      </c>
      <c r="I80" s="200">
        <f t="shared" ref="I80" si="69">SUM(I68:I79)</f>
        <v>-461434</v>
      </c>
      <c r="J80" s="198">
        <f t="shared" ref="J80" si="70">SUM(J68:J79)</f>
        <v>-732532</v>
      </c>
      <c r="K80" s="198">
        <f t="shared" ref="K80" si="71">SUM(K68:K79)</f>
        <v>-142875</v>
      </c>
      <c r="L80" s="199">
        <f t="shared" ref="L80" si="72">SUM(L68:L79)</f>
        <v>4953</v>
      </c>
      <c r="M80" s="200">
        <f t="shared" ref="M80" si="73">SUM(M68:M79)</f>
        <v>-10296</v>
      </c>
      <c r="N80" s="198">
        <f t="shared" ref="N80" si="74">SUM(N68:N79)</f>
        <v>196143</v>
      </c>
      <c r="O80" s="198">
        <f t="shared" ref="O80" si="75">SUM(O68:O79)</f>
        <v>293073</v>
      </c>
      <c r="P80" s="199">
        <f>SUM(P68:P79)</f>
        <v>385217</v>
      </c>
      <c r="Q80" s="200">
        <f>SUM(Q68:Q79)</f>
        <v>-252066</v>
      </c>
      <c r="R80" s="198">
        <f>SUM(R68:R79)</f>
        <v>148757</v>
      </c>
      <c r="S80" s="198">
        <f>SUM(S68:S79)</f>
        <v>-61365</v>
      </c>
      <c r="T80" s="199">
        <v>-103918</v>
      </c>
      <c r="U80" s="200">
        <v>-454715</v>
      </c>
      <c r="V80" s="198">
        <f>SUM(V67:V79)</f>
        <v>-201459</v>
      </c>
      <c r="W80" s="198">
        <f t="shared" ref="W80:AI80" si="76">SUM(W68:W79)</f>
        <v>-91541</v>
      </c>
      <c r="X80" s="199">
        <f t="shared" si="76"/>
        <v>-39103</v>
      </c>
      <c r="Y80" s="200">
        <f t="shared" si="76"/>
        <v>-11411</v>
      </c>
      <c r="Z80" s="198">
        <f t="shared" si="76"/>
        <v>22527</v>
      </c>
      <c r="AA80" s="198">
        <f t="shared" si="76"/>
        <v>92805</v>
      </c>
      <c r="AB80" s="198">
        <f t="shared" si="76"/>
        <v>81961</v>
      </c>
      <c r="AC80" s="200">
        <f t="shared" si="76"/>
        <v>285089</v>
      </c>
      <c r="AD80" s="198">
        <f t="shared" si="76"/>
        <v>164747</v>
      </c>
      <c r="AE80" s="198">
        <f t="shared" si="76"/>
        <v>223190</v>
      </c>
      <c r="AF80" s="198">
        <f t="shared" si="76"/>
        <v>67317</v>
      </c>
      <c r="AG80" s="200">
        <f t="shared" si="76"/>
        <v>-351614</v>
      </c>
      <c r="AH80" s="198">
        <f t="shared" si="76"/>
        <v>-327852</v>
      </c>
      <c r="AI80" s="198">
        <f t="shared" si="76"/>
        <v>-428939</v>
      </c>
      <c r="AJ80" s="198">
        <v>-458368</v>
      </c>
      <c r="AK80" s="200">
        <v>-226415</v>
      </c>
      <c r="AL80" s="198">
        <v>-200988</v>
      </c>
      <c r="AM80" s="198">
        <v>-25768</v>
      </c>
      <c r="AN80" s="198">
        <v>-64871</v>
      </c>
      <c r="AO80" s="200">
        <v>-27452</v>
      </c>
      <c r="AP80" s="198">
        <v>-131483</v>
      </c>
      <c r="AQ80" s="198">
        <v>-122735</v>
      </c>
      <c r="AR80" s="198">
        <v>-47937</v>
      </c>
      <c r="AS80" s="200">
        <v>-18688</v>
      </c>
      <c r="AT80" s="200">
        <v>-32413</v>
      </c>
      <c r="AU80" s="200">
        <v>-470388</v>
      </c>
    </row>
    <row r="81" spans="1:47" ht="16.5" thickTop="1" thickBot="1">
      <c r="A81" s="196"/>
      <c r="B81" s="197" t="s">
        <v>271</v>
      </c>
      <c r="C81" s="198"/>
      <c r="D81" s="199"/>
      <c r="E81" s="200"/>
      <c r="F81" s="198"/>
      <c r="G81" s="198"/>
      <c r="H81" s="199"/>
      <c r="I81" s="200"/>
      <c r="J81" s="198"/>
      <c r="K81" s="198"/>
      <c r="L81" s="199"/>
      <c r="M81" s="200"/>
      <c r="N81" s="198"/>
      <c r="O81" s="198"/>
      <c r="P81" s="199"/>
      <c r="Q81" s="200"/>
      <c r="R81" s="198"/>
      <c r="S81" s="198"/>
      <c r="T81" s="199"/>
      <c r="U81" s="200"/>
      <c r="V81" s="198"/>
      <c r="W81" s="198"/>
      <c r="X81" s="199"/>
      <c r="Y81" s="200"/>
      <c r="Z81" s="198"/>
      <c r="AA81" s="198"/>
      <c r="AB81" s="198"/>
      <c r="AC81" s="200"/>
      <c r="AD81" s="198"/>
      <c r="AE81" s="198"/>
      <c r="AF81" s="198"/>
      <c r="AG81" s="200"/>
      <c r="AH81" s="198"/>
      <c r="AI81" s="198"/>
      <c r="AJ81" s="198"/>
      <c r="AK81" s="200"/>
      <c r="AL81" s="198"/>
      <c r="AM81" s="198"/>
      <c r="AN81" s="198"/>
      <c r="AO81" s="200"/>
      <c r="AP81" s="198"/>
      <c r="AQ81" s="198"/>
      <c r="AR81" s="198"/>
      <c r="AS81" s="200"/>
      <c r="AT81" s="200"/>
      <c r="AU81" s="200"/>
    </row>
    <row r="82" spans="1:47" ht="15" thickTop="1">
      <c r="B82" s="201" t="s">
        <v>272</v>
      </c>
      <c r="C82" s="193">
        <v>-11042</v>
      </c>
      <c r="D82" s="194">
        <v>-11042</v>
      </c>
      <c r="E82" s="195">
        <v>-541176</v>
      </c>
      <c r="F82" s="193">
        <v>-541176</v>
      </c>
      <c r="G82" s="193">
        <v>-23623</v>
      </c>
      <c r="H82" s="194">
        <v>0</v>
      </c>
      <c r="I82" s="195">
        <v>-1142857</v>
      </c>
      <c r="J82" s="193">
        <v>-599964</v>
      </c>
      <c r="K82" s="193">
        <v>-184017</v>
      </c>
      <c r="L82" s="194">
        <v>0</v>
      </c>
      <c r="M82" s="195">
        <v>-79147</v>
      </c>
      <c r="N82" s="193">
        <v>-79147</v>
      </c>
      <c r="O82" s="193">
        <v>-79147</v>
      </c>
      <c r="P82" s="194">
        <v>0</v>
      </c>
      <c r="Q82" s="195">
        <v>-118436</v>
      </c>
      <c r="R82" s="193">
        <v>-106307</v>
      </c>
      <c r="S82" s="193">
        <v>-94175</v>
      </c>
      <c r="T82" s="194">
        <v>-82045</v>
      </c>
      <c r="U82" s="195">
        <v>-325286</v>
      </c>
      <c r="V82" s="193">
        <v>-313156</v>
      </c>
      <c r="W82" s="193">
        <v>-299736</v>
      </c>
      <c r="X82" s="194">
        <v>-163323</v>
      </c>
      <c r="Y82" s="195">
        <v>-157156</v>
      </c>
      <c r="Z82" s="193">
        <v>-133929</v>
      </c>
      <c r="AA82" s="193">
        <v>-110431</v>
      </c>
      <c r="AB82" s="193">
        <v>-37279</v>
      </c>
      <c r="AC82" s="195">
        <v>-548922</v>
      </c>
      <c r="AD82" s="193">
        <v>-487579</v>
      </c>
      <c r="AE82" s="193">
        <v>-436157</v>
      </c>
      <c r="AF82" s="193">
        <v>-113093</v>
      </c>
      <c r="AG82" s="195">
        <v>-236034</v>
      </c>
      <c r="AH82" s="193">
        <v>-184428</v>
      </c>
      <c r="AI82" s="193">
        <v>-131188</v>
      </c>
      <c r="AJ82" s="193">
        <v>-2991</v>
      </c>
      <c r="AK82" s="195">
        <v>-190987</v>
      </c>
      <c r="AL82" s="193">
        <v>-138025</v>
      </c>
      <c r="AM82" s="193">
        <v>-135350</v>
      </c>
      <c r="AN82" s="193">
        <v>-82639</v>
      </c>
      <c r="AO82" s="195">
        <v>-108071</v>
      </c>
      <c r="AP82" s="193">
        <v>-55374</v>
      </c>
      <c r="AQ82" s="193">
        <v>-3600</v>
      </c>
      <c r="AR82" s="193">
        <v>-1833</v>
      </c>
      <c r="AS82" s="195">
        <v>-165006</v>
      </c>
      <c r="AT82" s="195">
        <v>-137079</v>
      </c>
      <c r="AU82" s="195">
        <v>-111651</v>
      </c>
    </row>
    <row r="83" spans="1:47">
      <c r="B83" s="201" t="s">
        <v>273</v>
      </c>
      <c r="C83" s="193">
        <v>-193503</v>
      </c>
      <c r="D83" s="194">
        <v>-113501</v>
      </c>
      <c r="E83" s="195">
        <v>-697470</v>
      </c>
      <c r="F83" s="193">
        <v>-289777</v>
      </c>
      <c r="G83" s="193">
        <v>-174556</v>
      </c>
      <c r="H83" s="194">
        <v>-50715</v>
      </c>
      <c r="I83" s="195">
        <v>-350314</v>
      </c>
      <c r="J83" s="193">
        <v>-220871</v>
      </c>
      <c r="K83" s="193">
        <v>-118056</v>
      </c>
      <c r="L83" s="194">
        <v>-1548</v>
      </c>
      <c r="M83" s="195">
        <v>-151869</v>
      </c>
      <c r="N83" s="193">
        <v>-78799</v>
      </c>
      <c r="O83" s="193">
        <v>-78799</v>
      </c>
      <c r="P83" s="194">
        <v>0</v>
      </c>
      <c r="Q83" s="195">
        <v>-143222</v>
      </c>
      <c r="R83" s="193">
        <v>-64296</v>
      </c>
      <c r="S83" s="193">
        <v>-62972</v>
      </c>
      <c r="T83" s="194">
        <v>-5443</v>
      </c>
      <c r="U83" s="195">
        <v>-48824</v>
      </c>
      <c r="V83" s="193">
        <v>-24538</v>
      </c>
      <c r="W83" s="193">
        <v>-19930</v>
      </c>
      <c r="X83" s="194">
        <v>-6068</v>
      </c>
      <c r="Y83" s="195">
        <v>-30586</v>
      </c>
      <c r="Z83" s="193">
        <v>-26154</v>
      </c>
      <c r="AA83" s="193">
        <v>-18646</v>
      </c>
      <c r="AB83" s="193">
        <v>-9905</v>
      </c>
      <c r="AC83" s="195">
        <v>-72905</v>
      </c>
      <c r="AD83" s="193">
        <v>-59626</v>
      </c>
      <c r="AE83" s="193">
        <v>-47153</v>
      </c>
      <c r="AF83" s="193">
        <v>-24304</v>
      </c>
      <c r="AG83" s="195">
        <v>-79472</v>
      </c>
      <c r="AH83" s="193">
        <v>-61187</v>
      </c>
      <c r="AI83" s="193">
        <v>-38139</v>
      </c>
      <c r="AJ83" s="193">
        <v>-14015</v>
      </c>
      <c r="AK83" s="195">
        <v>-63870</v>
      </c>
      <c r="AL83" s="193">
        <v>-35868</v>
      </c>
      <c r="AM83" s="193">
        <v>-33765</v>
      </c>
      <c r="AN83" s="193">
        <v>-6181</v>
      </c>
      <c r="AO83" s="195">
        <v>-82574</v>
      </c>
      <c r="AP83" s="193">
        <v>-71373</v>
      </c>
      <c r="AQ83" s="193">
        <v>-47159</v>
      </c>
      <c r="AR83" s="193">
        <v>-6275</v>
      </c>
      <c r="AS83" s="195">
        <v>-91813</v>
      </c>
      <c r="AT83" s="195">
        <v>-86055</v>
      </c>
      <c r="AU83" s="195">
        <v>-49688</v>
      </c>
    </row>
    <row r="84" spans="1:47">
      <c r="B84" s="201" t="s">
        <v>274</v>
      </c>
      <c r="C84" s="193">
        <v>45671</v>
      </c>
      <c r="D84" s="194">
        <v>45671</v>
      </c>
      <c r="E84" s="195">
        <v>2587207</v>
      </c>
      <c r="F84" s="193">
        <v>1510568</v>
      </c>
      <c r="G84" s="193">
        <v>448334</v>
      </c>
      <c r="H84" s="194">
        <v>48580</v>
      </c>
      <c r="I84" s="195">
        <v>1452009</v>
      </c>
      <c r="J84" s="193">
        <v>1284410</v>
      </c>
      <c r="K84" s="193">
        <v>534410</v>
      </c>
      <c r="L84" s="194">
        <v>500000</v>
      </c>
      <c r="M84" s="195">
        <v>750000</v>
      </c>
      <c r="N84" s="193">
        <v>0</v>
      </c>
      <c r="O84" s="193">
        <v>0</v>
      </c>
      <c r="P84" s="194">
        <v>0</v>
      </c>
      <c r="Q84" s="195">
        <v>650120</v>
      </c>
      <c r="R84" s="193">
        <v>0</v>
      </c>
      <c r="S84" s="193">
        <v>0</v>
      </c>
      <c r="T84" s="194">
        <v>0</v>
      </c>
      <c r="U84" s="195">
        <v>1050001</v>
      </c>
      <c r="V84" s="193">
        <v>550001</v>
      </c>
      <c r="W84" s="193">
        <v>350001</v>
      </c>
      <c r="X84" s="194" t="s">
        <v>112</v>
      </c>
      <c r="Y84" s="195">
        <v>203000</v>
      </c>
      <c r="Z84" s="193">
        <v>203000</v>
      </c>
      <c r="AA84" s="193">
        <v>203000</v>
      </c>
      <c r="AB84" s="193">
        <v>80000</v>
      </c>
      <c r="AC84" s="195">
        <v>310222</v>
      </c>
      <c r="AD84" s="193">
        <v>310222</v>
      </c>
      <c r="AE84" s="193">
        <v>310222</v>
      </c>
      <c r="AF84" s="193">
        <v>109172</v>
      </c>
      <c r="AG84" s="195">
        <v>461776</v>
      </c>
      <c r="AH84" s="193">
        <v>461776</v>
      </c>
      <c r="AI84" s="193">
        <v>461776</v>
      </c>
      <c r="AJ84" s="193">
        <v>461776</v>
      </c>
      <c r="AK84" s="195">
        <v>353284</v>
      </c>
      <c r="AL84" s="193">
        <v>253284</v>
      </c>
      <c r="AM84" s="193">
        <v>150000</v>
      </c>
      <c r="AN84" s="193">
        <v>0</v>
      </c>
      <c r="AO84" s="195">
        <v>3941</v>
      </c>
      <c r="AP84" s="193">
        <v>3941</v>
      </c>
      <c r="AQ84" s="193">
        <v>0</v>
      </c>
      <c r="AR84" s="193">
        <v>0</v>
      </c>
      <c r="AS84" s="195">
        <v>92800</v>
      </c>
      <c r="AT84" s="195">
        <v>40000</v>
      </c>
      <c r="AU84" s="195">
        <v>550000</v>
      </c>
    </row>
    <row r="85" spans="1:47">
      <c r="B85" s="201" t="s">
        <v>275</v>
      </c>
      <c r="C85" s="193">
        <v>-227</v>
      </c>
      <c r="D85" s="194">
        <v>-11</v>
      </c>
      <c r="E85" s="195">
        <v>-1319692</v>
      </c>
      <c r="F85" s="193">
        <v>-635552</v>
      </c>
      <c r="G85" s="193">
        <v>-244526</v>
      </c>
      <c r="H85" s="194">
        <v>-140</v>
      </c>
      <c r="I85" s="195">
        <v>-438648</v>
      </c>
      <c r="J85" s="193">
        <v>-145344</v>
      </c>
      <c r="K85" s="193">
        <v>-145266</v>
      </c>
      <c r="L85" s="194">
        <v>-109465</v>
      </c>
      <c r="M85" s="195">
        <v>-345392</v>
      </c>
      <c r="N85" s="193">
        <v>-192181</v>
      </c>
      <c r="O85" s="193">
        <v>-188155</v>
      </c>
      <c r="P85" s="194">
        <v>-125</v>
      </c>
      <c r="Q85" s="195">
        <v>-1355350</v>
      </c>
      <c r="R85" s="193">
        <v>-867247</v>
      </c>
      <c r="S85" s="193">
        <v>-257272</v>
      </c>
      <c r="T85" s="194">
        <v>-13231</v>
      </c>
      <c r="U85" s="195">
        <v>-1365042</v>
      </c>
      <c r="V85" s="193">
        <v>-645509</v>
      </c>
      <c r="W85" s="193">
        <v>-352710</v>
      </c>
      <c r="X85" s="194">
        <v>-144</v>
      </c>
      <c r="Y85" s="195">
        <v>-110562</v>
      </c>
      <c r="Z85" s="193">
        <v>-40163</v>
      </c>
      <c r="AA85" s="193">
        <v>-40159</v>
      </c>
      <c r="AB85" s="193">
        <v>-61</v>
      </c>
      <c r="AC85" s="195">
        <v>-24985</v>
      </c>
      <c r="AD85" s="193">
        <v>-24842</v>
      </c>
      <c r="AE85" s="193">
        <v>-24879</v>
      </c>
      <c r="AF85" s="193">
        <v>-109</v>
      </c>
      <c r="AG85" s="195">
        <v>-206961</v>
      </c>
      <c r="AH85" s="193">
        <v>-89162</v>
      </c>
      <c r="AI85" s="193">
        <v>-89115</v>
      </c>
      <c r="AJ85" s="193">
        <v>-106</v>
      </c>
      <c r="AK85" s="195">
        <v>-387365</v>
      </c>
      <c r="AL85" s="193">
        <v>-288944</v>
      </c>
      <c r="AM85" s="193">
        <v>-29199</v>
      </c>
      <c r="AN85" s="193">
        <v>-1</v>
      </c>
      <c r="AO85" s="195">
        <v>-23838</v>
      </c>
      <c r="AP85" s="193">
        <v>-23833</v>
      </c>
      <c r="AQ85" s="193">
        <v>-23830</v>
      </c>
      <c r="AR85" s="193">
        <v>-1</v>
      </c>
      <c r="AS85" s="195">
        <v>-18796</v>
      </c>
      <c r="AT85" s="195">
        <v>-15480</v>
      </c>
      <c r="AU85" s="195">
        <v>-7112</v>
      </c>
    </row>
    <row r="86" spans="1:47">
      <c r="B86" s="201" t="s">
        <v>335</v>
      </c>
      <c r="C86" s="193">
        <v>0</v>
      </c>
      <c r="D86" s="194">
        <v>0</v>
      </c>
      <c r="E86" s="195">
        <v>-62748</v>
      </c>
      <c r="F86" s="193">
        <v>-62748</v>
      </c>
      <c r="G86" s="193">
        <v>-52708</v>
      </c>
      <c r="H86" s="194">
        <v>-24842</v>
      </c>
      <c r="I86" s="195">
        <v>-62223</v>
      </c>
      <c r="J86" s="193">
        <v>-21085</v>
      </c>
      <c r="K86" s="193">
        <v>-17637</v>
      </c>
      <c r="L86" s="194">
        <v>-17637</v>
      </c>
      <c r="M86" s="195">
        <v>-1582</v>
      </c>
      <c r="N86" s="193">
        <v>-1582</v>
      </c>
      <c r="O86" s="193">
        <v>-1582</v>
      </c>
      <c r="P86" s="194">
        <v>0</v>
      </c>
      <c r="Q86" s="195">
        <v>-43824</v>
      </c>
      <c r="R86" s="193">
        <v>-43824</v>
      </c>
      <c r="S86" s="193">
        <v>-29400</v>
      </c>
      <c r="T86" s="194">
        <v>0</v>
      </c>
      <c r="U86" s="195">
        <v>-248</v>
      </c>
      <c r="V86" s="193">
        <v>-248</v>
      </c>
      <c r="W86" s="193">
        <v>-248</v>
      </c>
      <c r="X86" s="194">
        <v>-248</v>
      </c>
      <c r="Y86" s="195">
        <v>-144201</v>
      </c>
      <c r="Z86" s="193">
        <v>-143019</v>
      </c>
      <c r="AA86" s="193">
        <v>-89110</v>
      </c>
      <c r="AB86" s="193">
        <v>-76205</v>
      </c>
      <c r="AC86" s="195">
        <v>-112429</v>
      </c>
      <c r="AD86" s="193">
        <v>-102251</v>
      </c>
      <c r="AE86" s="193">
        <v>-52116</v>
      </c>
      <c r="AF86" s="193">
        <v>-23554</v>
      </c>
      <c r="AG86" s="195">
        <v>-18342</v>
      </c>
      <c r="AH86" s="193">
        <v>0</v>
      </c>
      <c r="AI86" s="193">
        <v>0</v>
      </c>
      <c r="AJ86" s="193">
        <v>0</v>
      </c>
      <c r="AK86" s="195">
        <v>0</v>
      </c>
      <c r="AL86" s="193">
        <v>0</v>
      </c>
      <c r="AM86" s="193">
        <v>0</v>
      </c>
      <c r="AN86" s="193">
        <v>0</v>
      </c>
      <c r="AO86" s="195">
        <v>0</v>
      </c>
      <c r="AP86" s="193">
        <v>0</v>
      </c>
      <c r="AQ86" s="193">
        <v>0</v>
      </c>
      <c r="AR86" s="193">
        <v>0</v>
      </c>
      <c r="AS86" s="195">
        <v>0</v>
      </c>
      <c r="AT86" s="195">
        <v>0</v>
      </c>
      <c r="AU86" s="195">
        <v>-14164</v>
      </c>
    </row>
    <row r="87" spans="1:47">
      <c r="B87" s="201" t="s">
        <v>365</v>
      </c>
      <c r="C87" s="193">
        <v>0</v>
      </c>
      <c r="D87" s="194">
        <v>0</v>
      </c>
      <c r="E87" s="195">
        <v>0</v>
      </c>
      <c r="F87" s="193">
        <v>0</v>
      </c>
      <c r="G87" s="193">
        <v>0</v>
      </c>
      <c r="H87" s="194">
        <v>0</v>
      </c>
      <c r="I87" s="195">
        <v>0</v>
      </c>
      <c r="J87" s="193">
        <v>0</v>
      </c>
      <c r="K87" s="193">
        <v>0</v>
      </c>
      <c r="L87" s="194">
        <v>0</v>
      </c>
      <c r="M87" s="195">
        <v>0</v>
      </c>
      <c r="N87" s="193">
        <v>0</v>
      </c>
      <c r="O87" s="193">
        <v>0</v>
      </c>
      <c r="P87" s="194">
        <v>0</v>
      </c>
      <c r="Q87" s="195">
        <v>0</v>
      </c>
      <c r="R87" s="193">
        <v>0</v>
      </c>
      <c r="S87" s="193">
        <v>33707</v>
      </c>
      <c r="T87" s="194"/>
      <c r="U87" s="195"/>
      <c r="V87" s="193"/>
      <c r="W87" s="193"/>
      <c r="X87" s="194"/>
      <c r="Y87" s="195"/>
      <c r="Z87" s="193"/>
      <c r="AA87" s="193"/>
      <c r="AB87" s="193"/>
      <c r="AC87" s="195"/>
      <c r="AD87" s="193"/>
      <c r="AE87" s="193"/>
      <c r="AF87" s="193"/>
      <c r="AG87" s="195"/>
      <c r="AH87" s="193"/>
      <c r="AI87" s="193"/>
      <c r="AJ87" s="193"/>
      <c r="AK87" s="195"/>
      <c r="AL87" s="193"/>
      <c r="AM87" s="193"/>
      <c r="AN87" s="193"/>
      <c r="AO87" s="195"/>
      <c r="AP87" s="193"/>
      <c r="AQ87" s="193"/>
      <c r="AR87" s="193"/>
      <c r="AS87" s="195"/>
      <c r="AT87" s="195"/>
      <c r="AU87" s="195"/>
    </row>
    <row r="88" spans="1:47">
      <c r="B88" s="201" t="s">
        <v>411</v>
      </c>
      <c r="C88" s="193">
        <v>-554</v>
      </c>
      <c r="D88" s="194">
        <v>-257</v>
      </c>
      <c r="E88" s="195">
        <v>-1681</v>
      </c>
      <c r="F88" s="193">
        <v>-1231</v>
      </c>
      <c r="G88" s="193">
        <v>-805</v>
      </c>
      <c r="H88" s="194">
        <v>-395</v>
      </c>
      <c r="I88" s="195">
        <v>-1240</v>
      </c>
      <c r="J88" s="193">
        <v>-789</v>
      </c>
      <c r="K88" s="193">
        <v>-540</v>
      </c>
      <c r="L88" s="194">
        <v>-249</v>
      </c>
      <c r="M88" s="195">
        <v>-190</v>
      </c>
      <c r="N88" s="193">
        <v>0</v>
      </c>
      <c r="O88" s="193">
        <v>0</v>
      </c>
      <c r="P88" s="194">
        <v>0</v>
      </c>
      <c r="Q88" s="195">
        <v>0</v>
      </c>
      <c r="R88" s="193">
        <v>0</v>
      </c>
      <c r="S88" s="193">
        <v>0</v>
      </c>
      <c r="T88" s="194">
        <v>0</v>
      </c>
      <c r="U88" s="195">
        <v>0</v>
      </c>
      <c r="V88" s="193">
        <v>0</v>
      </c>
      <c r="W88" s="193">
        <v>0</v>
      </c>
      <c r="X88" s="194">
        <v>0</v>
      </c>
      <c r="Y88" s="195">
        <v>0</v>
      </c>
      <c r="Z88" s="193">
        <v>0</v>
      </c>
      <c r="AA88" s="193">
        <v>0</v>
      </c>
      <c r="AB88" s="193">
        <v>0</v>
      </c>
      <c r="AC88" s="195">
        <v>0</v>
      </c>
      <c r="AD88" s="193">
        <v>0</v>
      </c>
      <c r="AE88" s="193">
        <v>0</v>
      </c>
      <c r="AF88" s="193">
        <v>0</v>
      </c>
      <c r="AG88" s="195">
        <v>0</v>
      </c>
      <c r="AH88" s="193">
        <v>0</v>
      </c>
      <c r="AI88" s="193">
        <v>0</v>
      </c>
      <c r="AJ88" s="193">
        <v>0</v>
      </c>
      <c r="AK88" s="195">
        <v>0</v>
      </c>
      <c r="AL88" s="193">
        <v>0</v>
      </c>
      <c r="AM88" s="193">
        <v>0</v>
      </c>
      <c r="AN88" s="193">
        <v>0</v>
      </c>
      <c r="AO88" s="195">
        <v>0</v>
      </c>
      <c r="AP88" s="184"/>
      <c r="AQ88" s="184"/>
      <c r="AR88" s="184"/>
      <c r="AS88" s="184"/>
      <c r="AT88" s="184"/>
      <c r="AU88" s="184"/>
    </row>
    <row r="89" spans="1:47">
      <c r="B89" s="201" t="s">
        <v>412</v>
      </c>
      <c r="C89" s="193">
        <v>-724</v>
      </c>
      <c r="D89" s="194">
        <v>-364</v>
      </c>
      <c r="E89" s="195">
        <v>-1561</v>
      </c>
      <c r="F89" s="193">
        <v>-1188</v>
      </c>
      <c r="G89" s="193">
        <v>-805</v>
      </c>
      <c r="H89" s="194">
        <v>-408</v>
      </c>
      <c r="I89" s="195">
        <v>-1551</v>
      </c>
      <c r="J89" s="193">
        <v>-1232</v>
      </c>
      <c r="K89" s="193">
        <v>-847</v>
      </c>
      <c r="L89" s="194">
        <v>-413</v>
      </c>
      <c r="M89" s="195">
        <v>-184</v>
      </c>
      <c r="N89" s="193">
        <v>0</v>
      </c>
      <c r="O89" s="193">
        <v>0</v>
      </c>
      <c r="P89" s="194">
        <v>0</v>
      </c>
      <c r="Q89" s="195">
        <v>0</v>
      </c>
      <c r="R89" s="193">
        <v>0</v>
      </c>
      <c r="S89" s="193">
        <v>0</v>
      </c>
      <c r="T89" s="194">
        <v>0</v>
      </c>
      <c r="U89" s="195">
        <v>0</v>
      </c>
      <c r="V89" s="193">
        <v>0</v>
      </c>
      <c r="W89" s="193">
        <v>0</v>
      </c>
      <c r="X89" s="194">
        <v>0</v>
      </c>
      <c r="Y89" s="195">
        <v>0</v>
      </c>
      <c r="Z89" s="193">
        <v>0</v>
      </c>
      <c r="AA89" s="193">
        <v>0</v>
      </c>
      <c r="AB89" s="193">
        <v>0</v>
      </c>
      <c r="AC89" s="195">
        <v>0</v>
      </c>
      <c r="AD89" s="193">
        <v>0</v>
      </c>
      <c r="AE89" s="193">
        <v>0</v>
      </c>
      <c r="AF89" s="193">
        <v>0</v>
      </c>
      <c r="AG89" s="195">
        <v>0</v>
      </c>
      <c r="AH89" s="193">
        <v>0</v>
      </c>
      <c r="AI89" s="193">
        <v>0</v>
      </c>
      <c r="AJ89" s="193">
        <v>0</v>
      </c>
      <c r="AK89" s="195">
        <v>0</v>
      </c>
      <c r="AL89" s="193">
        <v>0</v>
      </c>
      <c r="AM89" s="193">
        <v>0</v>
      </c>
      <c r="AN89" s="193">
        <v>0</v>
      </c>
      <c r="AO89" s="195">
        <v>0</v>
      </c>
      <c r="AP89" s="184"/>
      <c r="AQ89" s="184"/>
      <c r="AR89" s="184"/>
      <c r="AS89" s="184"/>
      <c r="AT89" s="184"/>
      <c r="AU89" s="184"/>
    </row>
    <row r="90" spans="1:47">
      <c r="B90" s="201" t="s">
        <v>305</v>
      </c>
      <c r="C90" s="193">
        <v>0</v>
      </c>
      <c r="D90" s="194">
        <v>0</v>
      </c>
      <c r="E90" s="195">
        <v>0</v>
      </c>
      <c r="F90" s="193">
        <v>0</v>
      </c>
      <c r="G90" s="193">
        <v>0</v>
      </c>
      <c r="H90" s="194">
        <v>0</v>
      </c>
      <c r="I90" s="195">
        <v>0</v>
      </c>
      <c r="J90" s="193">
        <v>0</v>
      </c>
      <c r="K90" s="193">
        <v>0</v>
      </c>
      <c r="L90" s="194">
        <v>0</v>
      </c>
      <c r="M90" s="195">
        <v>0</v>
      </c>
      <c r="N90" s="193">
        <v>0</v>
      </c>
      <c r="O90" s="193">
        <v>0</v>
      </c>
      <c r="P90" s="194">
        <v>0</v>
      </c>
      <c r="Q90" s="195">
        <v>0</v>
      </c>
      <c r="R90" s="193">
        <v>0</v>
      </c>
      <c r="S90" s="193">
        <v>0</v>
      </c>
      <c r="T90" s="194">
        <v>0</v>
      </c>
      <c r="U90" s="195">
        <v>0</v>
      </c>
      <c r="V90" s="193">
        <v>0</v>
      </c>
      <c r="W90" s="193">
        <v>0</v>
      </c>
      <c r="X90" s="194">
        <v>0</v>
      </c>
      <c r="Y90" s="195">
        <v>0</v>
      </c>
      <c r="Z90" s="193">
        <v>0</v>
      </c>
      <c r="AA90" s="193">
        <v>0</v>
      </c>
      <c r="AB90" s="193">
        <v>0</v>
      </c>
      <c r="AC90" s="195">
        <v>38193</v>
      </c>
      <c r="AD90" s="193">
        <v>38193</v>
      </c>
      <c r="AE90" s="193">
        <v>0</v>
      </c>
      <c r="AF90" s="193"/>
      <c r="AG90" s="195">
        <v>0</v>
      </c>
      <c r="AH90" s="193">
        <v>0</v>
      </c>
      <c r="AI90" s="193">
        <v>0</v>
      </c>
      <c r="AJ90" s="193">
        <v>0</v>
      </c>
      <c r="AK90" s="195">
        <v>0</v>
      </c>
      <c r="AL90" s="193">
        <v>0</v>
      </c>
      <c r="AM90" s="193">
        <v>0</v>
      </c>
      <c r="AN90" s="193">
        <v>0</v>
      </c>
      <c r="AO90" s="195">
        <v>0</v>
      </c>
      <c r="AP90" s="193">
        <v>0</v>
      </c>
      <c r="AQ90" s="193">
        <v>0</v>
      </c>
      <c r="AR90" s="193">
        <v>0</v>
      </c>
      <c r="AS90" s="195">
        <v>0</v>
      </c>
      <c r="AT90" s="195">
        <v>0</v>
      </c>
      <c r="AU90" s="195">
        <v>2</v>
      </c>
    </row>
    <row r="91" spans="1:47" ht="15.75" thickBot="1">
      <c r="A91" s="196"/>
      <c r="B91" s="197" t="s">
        <v>276</v>
      </c>
      <c r="C91" s="198">
        <f>SUM(C82:C90)</f>
        <v>-160379</v>
      </c>
      <c r="D91" s="199">
        <f t="shared" ref="D91" si="77">SUM(D82:D90)</f>
        <v>-79504</v>
      </c>
      <c r="E91" s="200">
        <f t="shared" ref="E91" si="78">SUM(E82:E90)</f>
        <v>-37121</v>
      </c>
      <c r="F91" s="198">
        <f t="shared" ref="F91:G91" si="79">SUM(F82:F90)</f>
        <v>-21104</v>
      </c>
      <c r="G91" s="198">
        <f t="shared" si="79"/>
        <v>-48689</v>
      </c>
      <c r="H91" s="199">
        <f t="shared" ref="H91" si="80">SUM(H82:H90)</f>
        <v>-27920</v>
      </c>
      <c r="I91" s="200">
        <f t="shared" ref="I91" si="81">SUM(I82:I90)</f>
        <v>-544824</v>
      </c>
      <c r="J91" s="198">
        <f t="shared" ref="J91" si="82">SUM(J82:J90)</f>
        <v>295125</v>
      </c>
      <c r="K91" s="198">
        <f t="shared" ref="K91" si="83">SUM(K82:K90)</f>
        <v>68047</v>
      </c>
      <c r="L91" s="199">
        <f t="shared" ref="L91" si="84">SUM(L82:L90)</f>
        <v>370688</v>
      </c>
      <c r="M91" s="200">
        <f t="shared" ref="M91" si="85">SUM(M82:M90)</f>
        <v>171636</v>
      </c>
      <c r="N91" s="198">
        <f t="shared" ref="N91" si="86">SUM(N82:N90)</f>
        <v>-351709</v>
      </c>
      <c r="O91" s="198">
        <f t="shared" ref="O91" si="87">SUM(O82:O90)</f>
        <v>-347683</v>
      </c>
      <c r="P91" s="199">
        <f t="shared" ref="P91:Q91" si="88">SUM(P82:P90)</f>
        <v>-125</v>
      </c>
      <c r="Q91" s="200">
        <f t="shared" si="88"/>
        <v>-1010712</v>
      </c>
      <c r="R91" s="198">
        <f t="shared" ref="R91" si="89">SUM(R82:R90)</f>
        <v>-1081674</v>
      </c>
      <c r="S91" s="198">
        <f>SUM(S82:S90)</f>
        <v>-410112</v>
      </c>
      <c r="T91" s="199">
        <v>-100719</v>
      </c>
      <c r="U91" s="200">
        <v>-689399</v>
      </c>
      <c r="V91" s="198">
        <f t="shared" ref="V91:AI91" si="90">SUM(V82:V90)</f>
        <v>-433450</v>
      </c>
      <c r="W91" s="198">
        <f t="shared" si="90"/>
        <v>-322623</v>
      </c>
      <c r="X91" s="199">
        <f t="shared" si="90"/>
        <v>-169783</v>
      </c>
      <c r="Y91" s="200">
        <f t="shared" si="90"/>
        <v>-239505</v>
      </c>
      <c r="Z91" s="198">
        <f t="shared" si="90"/>
        <v>-140265</v>
      </c>
      <c r="AA91" s="198">
        <f t="shared" si="90"/>
        <v>-55346</v>
      </c>
      <c r="AB91" s="198">
        <f t="shared" si="90"/>
        <v>-43450</v>
      </c>
      <c r="AC91" s="200">
        <f t="shared" si="90"/>
        <v>-410826</v>
      </c>
      <c r="AD91" s="198">
        <f t="shared" si="90"/>
        <v>-325883</v>
      </c>
      <c r="AE91" s="198">
        <f t="shared" si="90"/>
        <v>-250083</v>
      </c>
      <c r="AF91" s="198">
        <f t="shared" si="90"/>
        <v>-51888</v>
      </c>
      <c r="AG91" s="200">
        <f t="shared" si="90"/>
        <v>-79033</v>
      </c>
      <c r="AH91" s="198">
        <f t="shared" si="90"/>
        <v>126999</v>
      </c>
      <c r="AI91" s="198">
        <f t="shared" si="90"/>
        <v>203334</v>
      </c>
      <c r="AJ91" s="198">
        <v>444664</v>
      </c>
      <c r="AK91" s="200">
        <v>-288938</v>
      </c>
      <c r="AL91" s="198">
        <v>-209553</v>
      </c>
      <c r="AM91" s="198">
        <v>-48314</v>
      </c>
      <c r="AN91" s="198">
        <v>-88821</v>
      </c>
      <c r="AO91" s="200">
        <v>-210542</v>
      </c>
      <c r="AP91" s="198">
        <v>-146639</v>
      </c>
      <c r="AQ91" s="198">
        <v>-74589</v>
      </c>
      <c r="AR91" s="198">
        <v>-8109</v>
      </c>
      <c r="AS91" s="200">
        <v>-182815</v>
      </c>
      <c r="AT91" s="200">
        <v>-198614</v>
      </c>
      <c r="AU91" s="200">
        <v>367387</v>
      </c>
    </row>
    <row r="92" spans="1:47" ht="9" customHeight="1" thickTop="1">
      <c r="B92" s="201"/>
      <c r="C92" s="193"/>
      <c r="D92" s="194"/>
      <c r="E92" s="195"/>
      <c r="F92" s="193"/>
      <c r="G92" s="193"/>
      <c r="H92" s="194"/>
      <c r="I92" s="195"/>
      <c r="J92" s="193"/>
      <c r="K92" s="193"/>
      <c r="L92" s="194"/>
      <c r="M92" s="195"/>
      <c r="N92" s="193"/>
      <c r="O92" s="193"/>
      <c r="P92" s="194"/>
      <c r="Q92" s="195"/>
      <c r="R92" s="193"/>
      <c r="S92" s="193"/>
      <c r="T92" s="194"/>
      <c r="U92" s="195"/>
      <c r="V92" s="193"/>
      <c r="W92" s="193"/>
      <c r="X92" s="194"/>
      <c r="Y92" s="195"/>
      <c r="Z92" s="193"/>
      <c r="AA92" s="193"/>
      <c r="AB92" s="193"/>
      <c r="AC92" s="195"/>
      <c r="AD92" s="193"/>
      <c r="AE92" s="193"/>
      <c r="AF92" s="193"/>
      <c r="AG92" s="195"/>
      <c r="AH92" s="193"/>
      <c r="AI92" s="193"/>
      <c r="AJ92" s="193"/>
      <c r="AK92" s="195"/>
      <c r="AL92" s="193"/>
      <c r="AM92" s="193"/>
      <c r="AN92" s="193"/>
      <c r="AO92" s="195"/>
      <c r="AP92" s="193"/>
      <c r="AQ92" s="193"/>
      <c r="AR92" s="193"/>
      <c r="AS92" s="195"/>
      <c r="AT92" s="195"/>
      <c r="AU92" s="195"/>
    </row>
    <row r="93" spans="1:47" ht="15">
      <c r="A93" s="196"/>
      <c r="B93" s="251" t="s">
        <v>277</v>
      </c>
      <c r="C93" s="211">
        <f>C66+C80+C91</f>
        <v>-13252</v>
      </c>
      <c r="D93" s="212">
        <f t="shared" ref="D93" si="91">D66+D80+D91</f>
        <v>105940</v>
      </c>
      <c r="E93" s="213">
        <f t="shared" ref="E93" si="92">E66+E80+E91</f>
        <v>-8438</v>
      </c>
      <c r="F93" s="211">
        <f>F66+F80+F91</f>
        <v>142730</v>
      </c>
      <c r="G93" s="211">
        <f>G66+G80+G91</f>
        <v>135211</v>
      </c>
      <c r="H93" s="212">
        <f t="shared" ref="H93" si="93">H66+H80+H91</f>
        <v>-155844</v>
      </c>
      <c r="I93" s="213">
        <f>I66+I80+I91</f>
        <v>-292434</v>
      </c>
      <c r="J93" s="211">
        <f>J66+J80+J91</f>
        <v>21234</v>
      </c>
      <c r="K93" s="211">
        <f>K66+K80+K91</f>
        <v>209929</v>
      </c>
      <c r="L93" s="212">
        <f>L66+L80+L91</f>
        <v>512919</v>
      </c>
      <c r="M93" s="213">
        <f>M66+M80+M91</f>
        <v>716619</v>
      </c>
      <c r="N93" s="211">
        <v>286244</v>
      </c>
      <c r="O93" s="211">
        <v>229691</v>
      </c>
      <c r="P93" s="212">
        <v>434981</v>
      </c>
      <c r="Q93" s="213">
        <f>Q66+Q80+Q91</f>
        <v>-93426</v>
      </c>
      <c r="R93" s="211">
        <f>R66+R80+R91</f>
        <v>-68295</v>
      </c>
      <c r="S93" s="211">
        <f>S66+S80+S91</f>
        <v>63394</v>
      </c>
      <c r="T93" s="212">
        <v>10326</v>
      </c>
      <c r="U93" s="213">
        <v>-215599</v>
      </c>
      <c r="V93" s="211">
        <f>V66+V80+V91</f>
        <v>-301034</v>
      </c>
      <c r="W93" s="211">
        <f>W66+W80+W91</f>
        <v>-266149</v>
      </c>
      <c r="X93" s="212">
        <f>X66+X80+X91</f>
        <v>-165569</v>
      </c>
      <c r="Y93" s="213">
        <f>Y66+Y80+Y91</f>
        <v>84740</v>
      </c>
      <c r="Z93" s="211">
        <v>117534</v>
      </c>
      <c r="AA93" s="211">
        <v>185587</v>
      </c>
      <c r="AB93" s="211">
        <v>46900</v>
      </c>
      <c r="AC93" s="213">
        <f t="shared" ref="AC93:AH93" si="94">AC66+AC80+AC91</f>
        <v>124215</v>
      </c>
      <c r="AD93" s="211">
        <f t="shared" si="94"/>
        <v>-4124</v>
      </c>
      <c r="AE93" s="211">
        <f t="shared" si="94"/>
        <v>68247</v>
      </c>
      <c r="AF93" s="211">
        <f t="shared" si="94"/>
        <v>62894</v>
      </c>
      <c r="AG93" s="213">
        <f t="shared" si="94"/>
        <v>113305</v>
      </c>
      <c r="AH93" s="211">
        <f t="shared" si="94"/>
        <v>187390</v>
      </c>
      <c r="AI93" s="211">
        <v>39945</v>
      </c>
      <c r="AJ93" s="211">
        <v>150333</v>
      </c>
      <c r="AK93" s="213">
        <v>-148358</v>
      </c>
      <c r="AL93" s="211">
        <v>-156727</v>
      </c>
      <c r="AM93" s="211">
        <v>52037</v>
      </c>
      <c r="AN93" s="211">
        <v>-90894</v>
      </c>
      <c r="AO93" s="213">
        <v>70883</v>
      </c>
      <c r="AP93" s="211">
        <v>-63294</v>
      </c>
      <c r="AQ93" s="211">
        <v>-53854</v>
      </c>
      <c r="AR93" s="211">
        <v>19279</v>
      </c>
      <c r="AS93" s="213">
        <v>89194</v>
      </c>
      <c r="AT93" s="213">
        <v>-12188</v>
      </c>
      <c r="AU93" s="213">
        <v>48479</v>
      </c>
    </row>
    <row r="94" spans="1:47">
      <c r="B94" s="202" t="s">
        <v>279</v>
      </c>
      <c r="C94" s="193">
        <f>E95</f>
        <v>478456</v>
      </c>
      <c r="D94" s="194">
        <v>478456</v>
      </c>
      <c r="E94" s="195">
        <v>486894</v>
      </c>
      <c r="F94" s="193">
        <v>486894</v>
      </c>
      <c r="G94" s="193">
        <v>486894</v>
      </c>
      <c r="H94" s="194">
        <v>486894</v>
      </c>
      <c r="I94" s="195">
        <v>779328</v>
      </c>
      <c r="J94" s="193">
        <v>779328</v>
      </c>
      <c r="K94" s="193">
        <v>779328</v>
      </c>
      <c r="L94" s="194">
        <v>779328</v>
      </c>
      <c r="M94" s="195">
        <v>62709</v>
      </c>
      <c r="N94" s="193">
        <v>62709</v>
      </c>
      <c r="O94" s="193">
        <v>62709</v>
      </c>
      <c r="P94" s="194">
        <v>62709</v>
      </c>
      <c r="Q94" s="195">
        <v>156135</v>
      </c>
      <c r="R94" s="193">
        <f>S94</f>
        <v>156135</v>
      </c>
      <c r="S94" s="193">
        <v>156135</v>
      </c>
      <c r="T94" s="194">
        <v>156135</v>
      </c>
      <c r="U94" s="195">
        <v>371734</v>
      </c>
      <c r="V94" s="193">
        <v>371734</v>
      </c>
      <c r="W94" s="193">
        <v>371734</v>
      </c>
      <c r="X94" s="194">
        <v>371734</v>
      </c>
      <c r="Y94" s="195">
        <f>Z94</f>
        <v>286994</v>
      </c>
      <c r="Z94" s="193">
        <v>286994</v>
      </c>
      <c r="AA94" s="193">
        <v>286994</v>
      </c>
      <c r="AB94" s="193">
        <v>286994</v>
      </c>
      <c r="AC94" s="195">
        <f>AD94</f>
        <v>162779</v>
      </c>
      <c r="AD94" s="193">
        <f>AE94</f>
        <v>162779</v>
      </c>
      <c r="AE94" s="193">
        <f>AF94</f>
        <v>162779</v>
      </c>
      <c r="AF94" s="193">
        <v>162779</v>
      </c>
      <c r="AG94" s="195">
        <v>49474</v>
      </c>
      <c r="AH94" s="193">
        <v>49474</v>
      </c>
      <c r="AI94" s="193">
        <v>49474</v>
      </c>
      <c r="AJ94" s="193">
        <v>49474</v>
      </c>
      <c r="AK94" s="195">
        <v>197832</v>
      </c>
      <c r="AL94" s="193">
        <v>197832</v>
      </c>
      <c r="AM94" s="193">
        <v>197832</v>
      </c>
      <c r="AN94" s="193">
        <v>197832</v>
      </c>
      <c r="AO94" s="195">
        <v>126949</v>
      </c>
      <c r="AP94" s="193">
        <v>126949</v>
      </c>
      <c r="AQ94" s="193">
        <v>126949</v>
      </c>
      <c r="AR94" s="193">
        <v>126949</v>
      </c>
      <c r="AS94" s="195">
        <v>37755</v>
      </c>
      <c r="AT94" s="195">
        <v>49943</v>
      </c>
      <c r="AU94" s="195">
        <v>1464</v>
      </c>
    </row>
    <row r="95" spans="1:47" ht="15">
      <c r="A95" s="196"/>
      <c r="B95" s="251" t="s">
        <v>278</v>
      </c>
      <c r="C95" s="211">
        <f>SUM(C93:C94)</f>
        <v>465204</v>
      </c>
      <c r="D95" s="212">
        <f t="shared" ref="D95" si="95">SUM(D93:D94)</f>
        <v>584396</v>
      </c>
      <c r="E95" s="213">
        <f t="shared" ref="E95" si="96">SUM(E93:E94)</f>
        <v>478456</v>
      </c>
      <c r="F95" s="211">
        <f>SUM(F93:F94)</f>
        <v>629624</v>
      </c>
      <c r="G95" s="211">
        <f>SUM(G93:G94)</f>
        <v>622105</v>
      </c>
      <c r="H95" s="212">
        <f t="shared" ref="H95" si="97">SUM(H93:H94)</f>
        <v>331050</v>
      </c>
      <c r="I95" s="213">
        <f t="shared" ref="I95" si="98">SUM(I93:I94)</f>
        <v>486894</v>
      </c>
      <c r="J95" s="211">
        <f t="shared" ref="J95" si="99">SUM(J93:J94)</f>
        <v>800562</v>
      </c>
      <c r="K95" s="211">
        <f t="shared" ref="K95:P95" si="100">SUM(K93:K94)</f>
        <v>989257</v>
      </c>
      <c r="L95" s="212">
        <f t="shared" si="100"/>
        <v>1292247</v>
      </c>
      <c r="M95" s="213">
        <f t="shared" si="100"/>
        <v>779328</v>
      </c>
      <c r="N95" s="211">
        <f t="shared" si="100"/>
        <v>348953</v>
      </c>
      <c r="O95" s="211">
        <f t="shared" si="100"/>
        <v>292400</v>
      </c>
      <c r="P95" s="212">
        <f t="shared" si="100"/>
        <v>497690</v>
      </c>
      <c r="Q95" s="213">
        <f t="shared" ref="Q95" si="101">SUM(Q93:Q94)</f>
        <v>62709</v>
      </c>
      <c r="R95" s="211">
        <f t="shared" ref="R95" si="102">SUM(R93:R94)</f>
        <v>87840</v>
      </c>
      <c r="S95" s="211">
        <f t="shared" ref="S95" si="103">SUM(S93:S94)</f>
        <v>219529</v>
      </c>
      <c r="T95" s="212">
        <v>166461</v>
      </c>
      <c r="U95" s="213">
        <v>156135</v>
      </c>
      <c r="V95" s="211">
        <f>SUM(V93:V94)</f>
        <v>70700</v>
      </c>
      <c r="W95" s="211">
        <f t="shared" ref="W95" si="104">SUM(W93:W94)</f>
        <v>105585</v>
      </c>
      <c r="X95" s="212">
        <f>SUM(X93:X94)</f>
        <v>206165</v>
      </c>
      <c r="Y95" s="213">
        <f>SUM(Y93:Y94)</f>
        <v>371734</v>
      </c>
      <c r="Z95" s="211">
        <v>404528</v>
      </c>
      <c r="AA95" s="211">
        <v>472581</v>
      </c>
      <c r="AB95" s="211">
        <v>333894</v>
      </c>
      <c r="AC95" s="213">
        <f t="shared" ref="AC95" si="105">SUM(AC93:AC94)</f>
        <v>286994</v>
      </c>
      <c r="AD95" s="211">
        <f t="shared" ref="AD95" si="106">SUM(AD93:AD94)</f>
        <v>158655</v>
      </c>
      <c r="AE95" s="211">
        <f t="shared" ref="AE95:AI95" si="107">SUM(AE93:AE94)</f>
        <v>231026</v>
      </c>
      <c r="AF95" s="211">
        <f t="shared" si="107"/>
        <v>225673</v>
      </c>
      <c r="AG95" s="213">
        <f t="shared" si="107"/>
        <v>162779</v>
      </c>
      <c r="AH95" s="211">
        <f t="shared" si="107"/>
        <v>236864</v>
      </c>
      <c r="AI95" s="211">
        <f t="shared" si="107"/>
        <v>89419</v>
      </c>
      <c r="AJ95" s="211">
        <v>199807</v>
      </c>
      <c r="AK95" s="213">
        <v>49474</v>
      </c>
      <c r="AL95" s="211">
        <v>41105</v>
      </c>
      <c r="AM95" s="211">
        <v>249869</v>
      </c>
      <c r="AN95" s="211">
        <v>106938</v>
      </c>
      <c r="AO95" s="213">
        <v>197832</v>
      </c>
      <c r="AP95" s="211">
        <v>63655</v>
      </c>
      <c r="AQ95" s="211">
        <v>73095</v>
      </c>
      <c r="AR95" s="211">
        <v>146228</v>
      </c>
      <c r="AS95" s="213">
        <v>126949</v>
      </c>
      <c r="AT95" s="213">
        <v>37755</v>
      </c>
      <c r="AU95" s="213">
        <v>49943</v>
      </c>
    </row>
    <row r="96" spans="1:47" ht="12.75">
      <c r="A96" s="252"/>
      <c r="B96" s="252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252"/>
      <c r="T96" s="252"/>
      <c r="U96" s="252"/>
      <c r="V96" s="252"/>
      <c r="W96" s="252"/>
      <c r="X96" s="252"/>
      <c r="Y96" s="252"/>
      <c r="Z96" s="252"/>
      <c r="AA96" s="252"/>
      <c r="AB96" s="252"/>
      <c r="AC96" s="252"/>
      <c r="AD96" s="252"/>
      <c r="AE96" s="252"/>
      <c r="AF96" s="252"/>
      <c r="AG96" s="252"/>
      <c r="AH96" s="252"/>
      <c r="AI96" s="253"/>
      <c r="AJ96" s="253"/>
      <c r="AK96" s="252"/>
      <c r="AL96" s="253"/>
      <c r="AM96" s="253"/>
      <c r="AN96" s="253"/>
      <c r="AO96" s="252"/>
      <c r="AP96" s="253"/>
      <c r="AQ96" s="253"/>
      <c r="AR96" s="253"/>
      <c r="AS96" s="252"/>
      <c r="AT96" s="252"/>
      <c r="AU96" s="252"/>
    </row>
    <row r="97" spans="1:47" ht="12.75">
      <c r="A97" s="252"/>
      <c r="B97" s="252"/>
      <c r="C97" s="252"/>
      <c r="D97" s="252"/>
      <c r="E97" s="252"/>
      <c r="F97" s="252"/>
      <c r="G97" s="252"/>
      <c r="H97" s="252"/>
      <c r="I97" s="252"/>
      <c r="J97" s="252"/>
      <c r="K97" s="252"/>
      <c r="L97" s="252"/>
      <c r="M97" s="252"/>
      <c r="N97" s="252"/>
      <c r="O97" s="252"/>
      <c r="P97" s="252"/>
      <c r="Q97" s="252"/>
      <c r="R97" s="252"/>
      <c r="S97" s="252"/>
      <c r="T97" s="252"/>
      <c r="U97" s="252"/>
      <c r="V97" s="252"/>
      <c r="W97" s="252"/>
      <c r="X97" s="252"/>
      <c r="Y97" s="252"/>
      <c r="Z97" s="252"/>
      <c r="AA97" s="252"/>
      <c r="AB97" s="252"/>
      <c r="AC97" s="252"/>
      <c r="AD97" s="252"/>
      <c r="AE97" s="252"/>
      <c r="AF97" s="252"/>
      <c r="AG97" s="252"/>
      <c r="AH97" s="252"/>
      <c r="AI97" s="254"/>
      <c r="AJ97" s="254"/>
      <c r="AK97" s="252"/>
      <c r="AL97" s="254"/>
      <c r="AM97" s="254"/>
      <c r="AN97" s="254"/>
      <c r="AO97" s="252"/>
      <c r="AP97" s="254"/>
      <c r="AQ97" s="254"/>
      <c r="AR97" s="254"/>
      <c r="AS97" s="252"/>
      <c r="AT97" s="252"/>
      <c r="AU97" s="252"/>
    </row>
  </sheetData>
  <mergeCells count="47">
    <mergeCell ref="E10:E11"/>
    <mergeCell ref="F10:F11"/>
    <mergeCell ref="H10:H11"/>
    <mergeCell ref="K10:K11"/>
    <mergeCell ref="M10:M11"/>
    <mergeCell ref="L10:L11"/>
    <mergeCell ref="J10:J11"/>
    <mergeCell ref="G10:G11"/>
    <mergeCell ref="I10:I11"/>
    <mergeCell ref="P10:P11"/>
    <mergeCell ref="R10:R11"/>
    <mergeCell ref="S10:S11"/>
    <mergeCell ref="AA10:AA11"/>
    <mergeCell ref="N10:N11"/>
    <mergeCell ref="O10:O11"/>
    <mergeCell ref="AP10:AP11"/>
    <mergeCell ref="AM10:AM11"/>
    <mergeCell ref="B7:B8"/>
    <mergeCell ref="AL10:AL11"/>
    <mergeCell ref="AC10:AC11"/>
    <mergeCell ref="AD10:AD11"/>
    <mergeCell ref="AE10:AE11"/>
    <mergeCell ref="AF10:AF11"/>
    <mergeCell ref="T10:T11"/>
    <mergeCell ref="V10:V11"/>
    <mergeCell ref="Y10:Y11"/>
    <mergeCell ref="Z10:Z11"/>
    <mergeCell ref="W10:W11"/>
    <mergeCell ref="X10:X11"/>
    <mergeCell ref="Q10:Q11"/>
    <mergeCell ref="U10:U11"/>
    <mergeCell ref="C10:C11"/>
    <mergeCell ref="D10:D11"/>
    <mergeCell ref="AU10:AU11"/>
    <mergeCell ref="B10:B11"/>
    <mergeCell ref="AT10:AT11"/>
    <mergeCell ref="AN10:AN11"/>
    <mergeCell ref="AS10:AS11"/>
    <mergeCell ref="AI10:AI11"/>
    <mergeCell ref="AH10:AH11"/>
    <mergeCell ref="AB10:AB11"/>
    <mergeCell ref="AJ10:AJ11"/>
    <mergeCell ref="AR10:AR11"/>
    <mergeCell ref="AK10:AK11"/>
    <mergeCell ref="AG10:AG11"/>
    <mergeCell ref="AQ10:AQ11"/>
    <mergeCell ref="AO10:AO11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AO10 AK10 AS10 AT10" numberStoredAsText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1">
    <tabColor rgb="FF0A3200"/>
    <pageSetUpPr fitToPage="1"/>
  </sheetPr>
  <dimension ref="B1:BL77"/>
  <sheetViews>
    <sheetView showGridLines="0" zoomScale="90" zoomScaleNormal="90" workbookViewId="0">
      <selection activeCell="C12" sqref="C12:C17"/>
    </sheetView>
  </sheetViews>
  <sheetFormatPr defaultColWidth="9.140625" defaultRowHeight="12.75"/>
  <cols>
    <col min="1" max="1" width="1.85546875" style="2" customWidth="1"/>
    <col min="2" max="2" width="45.7109375" style="2" customWidth="1"/>
    <col min="3" max="4" width="9.85546875" style="2" bestFit="1" customWidth="1"/>
    <col min="5" max="5" width="11.5703125" style="2" bestFit="1" customWidth="1"/>
    <col min="6" max="9" width="9.85546875" style="2" bestFit="1" customWidth="1"/>
    <col min="10" max="10" width="11.5703125" style="2" bestFit="1" customWidth="1"/>
    <col min="11" max="14" width="9.85546875" style="2" bestFit="1" customWidth="1"/>
    <col min="15" max="15" width="11.5703125" style="2" bestFit="1" customWidth="1"/>
    <col min="16" max="19" width="9.85546875" style="2" bestFit="1" customWidth="1"/>
    <col min="20" max="20" width="11.5703125" style="2" bestFit="1" customWidth="1"/>
    <col min="21" max="21" width="9.85546875" style="2" bestFit="1" customWidth="1"/>
    <col min="22" max="32" width="11.140625" style="2" customWidth="1"/>
    <col min="33" max="33" width="10.7109375" style="2" customWidth="1"/>
    <col min="34" max="35" width="11.140625" style="2" customWidth="1"/>
    <col min="36" max="39" width="10.7109375" style="2" customWidth="1"/>
    <col min="40" max="40" width="11.140625" style="2" customWidth="1"/>
    <col min="41" max="41" width="9.7109375" style="2" customWidth="1"/>
    <col min="42" max="42" width="9.85546875" style="2" bestFit="1" customWidth="1"/>
    <col min="43" max="44" width="10" style="284" bestFit="1" customWidth="1"/>
    <col min="45" max="45" width="11.140625" style="2" customWidth="1"/>
    <col min="46" max="46" width="9.85546875" style="284" customWidth="1"/>
    <col min="47" max="49" width="10" style="284" bestFit="1" customWidth="1"/>
    <col min="50" max="50" width="11.140625" style="2" customWidth="1"/>
    <col min="51" max="54" width="10" style="284" bestFit="1" customWidth="1"/>
    <col min="55" max="56" width="11.140625" style="2" customWidth="1"/>
    <col min="57" max="57" width="8.7109375" style="2" bestFit="1" customWidth="1"/>
    <col min="58" max="59" width="9.85546875" style="2" bestFit="1" customWidth="1"/>
    <col min="60" max="60" width="9.42578125" style="2" bestFit="1" customWidth="1"/>
    <col min="61" max="61" width="8.28515625" style="2" bestFit="1" customWidth="1"/>
    <col min="62" max="62" width="8.7109375" style="2" bestFit="1" customWidth="1"/>
    <col min="63" max="64" width="8.5703125" style="2" bestFit="1" customWidth="1"/>
    <col min="65" max="16384" width="9.140625" style="2"/>
  </cols>
  <sheetData>
    <row r="1" spans="2:64" s="181" customFormat="1" ht="9" customHeight="1">
      <c r="T1" s="400"/>
      <c r="U1" s="400"/>
      <c r="AQ1" s="183"/>
      <c r="AR1" s="183"/>
      <c r="AT1" s="183"/>
      <c r="AU1" s="183"/>
      <c r="AV1" s="183"/>
      <c r="AW1" s="183"/>
      <c r="AY1" s="183"/>
      <c r="AZ1" s="183"/>
      <c r="BA1" s="183"/>
      <c r="BB1" s="183"/>
      <c r="BE1" s="255"/>
      <c r="BF1" s="255"/>
      <c r="BG1" s="255"/>
      <c r="BH1" s="255"/>
      <c r="BI1" s="255"/>
      <c r="BJ1" s="255"/>
      <c r="BK1" s="255"/>
      <c r="BL1" s="255"/>
    </row>
    <row r="2" spans="2:64" s="181" customFormat="1" ht="15.75" customHeight="1">
      <c r="T2" s="400"/>
      <c r="U2" s="400"/>
      <c r="AQ2" s="183"/>
      <c r="AR2" s="183"/>
      <c r="AT2" s="183"/>
      <c r="AU2" s="183"/>
      <c r="AV2" s="183"/>
      <c r="AW2" s="183"/>
      <c r="AY2" s="183"/>
      <c r="AZ2" s="183"/>
      <c r="BA2" s="183"/>
      <c r="BB2" s="183"/>
      <c r="BE2" s="255"/>
      <c r="BF2" s="255"/>
      <c r="BG2" s="255"/>
      <c r="BH2" s="255"/>
      <c r="BI2" s="255"/>
      <c r="BJ2" s="255"/>
      <c r="BK2" s="255"/>
      <c r="BL2" s="255"/>
    </row>
    <row r="3" spans="2:64" s="181" customFormat="1" ht="15.75" customHeight="1">
      <c r="T3" s="400"/>
      <c r="U3" s="400"/>
      <c r="AQ3" s="183"/>
      <c r="AR3" s="183"/>
      <c r="AT3" s="183"/>
      <c r="AU3" s="183"/>
      <c r="AV3" s="183"/>
      <c r="AW3" s="183"/>
      <c r="AY3" s="183"/>
      <c r="AZ3" s="183"/>
      <c r="BA3" s="183"/>
      <c r="BB3" s="183"/>
      <c r="BE3" s="255"/>
      <c r="BF3" s="255"/>
      <c r="BG3" s="255"/>
      <c r="BH3" s="255"/>
      <c r="BI3" s="255"/>
      <c r="BJ3" s="255"/>
      <c r="BK3" s="255"/>
      <c r="BL3" s="255"/>
    </row>
    <row r="4" spans="2:64" s="181" customFormat="1" ht="15.75" customHeight="1">
      <c r="T4" s="400"/>
      <c r="U4" s="400"/>
      <c r="AQ4" s="183"/>
      <c r="AR4" s="183"/>
      <c r="AT4" s="183"/>
      <c r="AU4" s="183"/>
      <c r="AV4" s="183"/>
      <c r="AW4" s="183"/>
      <c r="AY4" s="183"/>
      <c r="AZ4" s="183"/>
      <c r="BA4" s="183"/>
      <c r="BB4" s="183"/>
      <c r="BE4" s="255"/>
      <c r="BF4" s="255"/>
      <c r="BG4" s="255"/>
      <c r="BH4" s="255"/>
      <c r="BI4" s="255"/>
      <c r="BJ4" s="255"/>
      <c r="BK4" s="255"/>
      <c r="BL4" s="255"/>
    </row>
    <row r="5" spans="2:64" s="255" customFormat="1" ht="15.75" customHeight="1">
      <c r="B5" s="256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401"/>
      <c r="U5" s="401"/>
      <c r="V5" s="256"/>
      <c r="W5" s="256"/>
      <c r="X5" s="256"/>
      <c r="Y5" s="256"/>
      <c r="Z5" s="256"/>
      <c r="AA5" s="256"/>
      <c r="AB5" s="256"/>
      <c r="AC5" s="256"/>
      <c r="AD5" s="256"/>
      <c r="AE5" s="256"/>
      <c r="AF5" s="256"/>
      <c r="AG5" s="256"/>
      <c r="AH5" s="256"/>
      <c r="AI5" s="256"/>
      <c r="AJ5" s="256"/>
      <c r="AK5" s="256"/>
      <c r="AL5" s="256"/>
      <c r="AM5" s="256"/>
      <c r="AN5" s="256"/>
      <c r="AO5" s="256"/>
      <c r="AP5" s="256"/>
      <c r="AQ5" s="257"/>
      <c r="AR5" s="257"/>
      <c r="AS5" s="256"/>
      <c r="AT5" s="257"/>
      <c r="AU5" s="257"/>
      <c r="AV5" s="257"/>
      <c r="AW5" s="257"/>
      <c r="AX5" s="256"/>
      <c r="AY5" s="257"/>
      <c r="AZ5" s="257"/>
      <c r="BA5" s="257"/>
      <c r="BB5" s="257"/>
      <c r="BC5" s="256"/>
      <c r="BD5" s="256"/>
    </row>
    <row r="6" spans="2:64" s="255" customFormat="1" ht="9" customHeight="1">
      <c r="B6" s="256"/>
      <c r="C6" s="256"/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401"/>
      <c r="U6" s="401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56"/>
      <c r="AQ6" s="257"/>
      <c r="AR6" s="257"/>
      <c r="AS6" s="256"/>
      <c r="AT6" s="257"/>
      <c r="AU6" s="257"/>
      <c r="AV6" s="257"/>
      <c r="AW6" s="257"/>
      <c r="AX6" s="256"/>
      <c r="AY6" s="257"/>
      <c r="AZ6" s="257"/>
      <c r="BA6" s="257"/>
      <c r="BB6" s="257"/>
      <c r="BC6" s="256"/>
      <c r="BD6" s="256"/>
    </row>
    <row r="7" spans="2:64" s="181" customFormat="1" ht="15" customHeight="1">
      <c r="B7" s="434" t="s">
        <v>379</v>
      </c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402"/>
      <c r="U7" s="402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232"/>
      <c r="AR7" s="232"/>
      <c r="AS7" s="189"/>
      <c r="AT7" s="232"/>
      <c r="AU7" s="232"/>
      <c r="AV7" s="232"/>
      <c r="AW7" s="232"/>
      <c r="AX7" s="189"/>
      <c r="AY7" s="232"/>
      <c r="AZ7" s="232"/>
      <c r="BA7" s="232"/>
      <c r="BB7" s="232"/>
      <c r="BC7" s="189"/>
      <c r="BD7" s="189"/>
      <c r="BE7" s="255"/>
      <c r="BF7" s="255"/>
      <c r="BG7" s="255"/>
      <c r="BH7" s="255"/>
      <c r="BI7" s="255"/>
      <c r="BJ7" s="255"/>
      <c r="BK7" s="255"/>
      <c r="BL7" s="255"/>
    </row>
    <row r="8" spans="2:64" s="181" customFormat="1" ht="15" customHeight="1">
      <c r="B8" s="434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402"/>
      <c r="U8" s="402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232"/>
      <c r="AR8" s="232"/>
      <c r="AS8" s="189"/>
      <c r="AT8" s="232"/>
      <c r="AU8" s="232"/>
      <c r="AV8" s="232"/>
      <c r="AW8" s="232"/>
      <c r="AX8" s="189"/>
      <c r="AY8" s="232"/>
      <c r="AZ8" s="232"/>
      <c r="BA8" s="232"/>
      <c r="BB8" s="232"/>
      <c r="BC8" s="189"/>
      <c r="BD8" s="189"/>
      <c r="BE8" s="255"/>
      <c r="BF8" s="255"/>
      <c r="BG8" s="255"/>
      <c r="BH8" s="255"/>
      <c r="BI8" s="255"/>
      <c r="BJ8" s="255"/>
      <c r="BK8" s="255"/>
      <c r="BL8" s="255"/>
    </row>
    <row r="9" spans="2:64" s="255" customFormat="1" ht="9" customHeight="1">
      <c r="B9" s="256"/>
      <c r="C9" s="256"/>
      <c r="D9" s="256"/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401"/>
      <c r="U9" s="401"/>
      <c r="V9" s="256"/>
      <c r="W9" s="256"/>
      <c r="X9" s="256"/>
      <c r="Y9" s="256"/>
      <c r="Z9" s="256"/>
      <c r="AA9" s="256"/>
      <c r="AB9" s="256"/>
      <c r="AC9" s="256"/>
      <c r="AD9" s="256"/>
      <c r="AE9" s="256"/>
      <c r="AF9" s="256"/>
      <c r="AG9" s="256"/>
      <c r="AH9" s="256"/>
      <c r="AI9" s="256"/>
      <c r="AJ9" s="256"/>
      <c r="AK9" s="256"/>
      <c r="AL9" s="256"/>
      <c r="AM9" s="256"/>
      <c r="AN9" s="256"/>
      <c r="AO9" s="256"/>
      <c r="AP9" s="256"/>
      <c r="AQ9" s="257"/>
      <c r="AR9" s="257"/>
      <c r="AS9" s="256"/>
      <c r="AT9" s="257"/>
      <c r="AU9" s="257"/>
      <c r="AV9" s="257"/>
      <c r="AW9" s="257"/>
      <c r="AX9" s="256"/>
      <c r="AY9" s="257"/>
      <c r="AZ9" s="257"/>
      <c r="BA9" s="257"/>
      <c r="BB9" s="257"/>
      <c r="BC9" s="256"/>
      <c r="BD9" s="256"/>
    </row>
    <row r="10" spans="2:64" s="259" customFormat="1" ht="15" customHeight="1">
      <c r="B10" s="451" t="s">
        <v>163</v>
      </c>
      <c r="C10" s="456" t="s">
        <v>459</v>
      </c>
      <c r="D10" s="454" t="s">
        <v>454</v>
      </c>
      <c r="E10" s="452">
        <v>2025</v>
      </c>
      <c r="F10" s="456" t="s">
        <v>450</v>
      </c>
      <c r="G10" s="456" t="s">
        <v>446</v>
      </c>
      <c r="H10" s="456" t="s">
        <v>442</v>
      </c>
      <c r="I10" s="454" t="s">
        <v>439</v>
      </c>
      <c r="J10" s="452">
        <v>2024</v>
      </c>
      <c r="K10" s="456" t="s">
        <v>432</v>
      </c>
      <c r="L10" s="456" t="s">
        <v>428</v>
      </c>
      <c r="M10" s="456" t="s">
        <v>425</v>
      </c>
      <c r="N10" s="454" t="s">
        <v>416</v>
      </c>
      <c r="O10" s="452">
        <v>2023</v>
      </c>
      <c r="P10" s="456" t="s">
        <v>406</v>
      </c>
      <c r="Q10" s="456" t="s">
        <v>400</v>
      </c>
      <c r="R10" s="456" t="s">
        <v>397</v>
      </c>
      <c r="S10" s="454" t="s">
        <v>390</v>
      </c>
      <c r="T10" s="452">
        <v>2022</v>
      </c>
      <c r="U10" s="456" t="s">
        <v>387</v>
      </c>
      <c r="V10" s="456" t="s">
        <v>381</v>
      </c>
      <c r="W10" s="456" t="s">
        <v>361</v>
      </c>
      <c r="X10" s="454" t="s">
        <v>359</v>
      </c>
      <c r="Y10" s="452">
        <v>2021</v>
      </c>
      <c r="Z10" s="456" t="s">
        <v>353</v>
      </c>
      <c r="AA10" s="456" t="s">
        <v>347</v>
      </c>
      <c r="AB10" s="456" t="s">
        <v>343</v>
      </c>
      <c r="AC10" s="454" t="s">
        <v>340</v>
      </c>
      <c r="AD10" s="452">
        <v>2020</v>
      </c>
      <c r="AE10" s="456" t="s">
        <v>337</v>
      </c>
      <c r="AF10" s="456" t="s">
        <v>333</v>
      </c>
      <c r="AG10" s="456" t="s">
        <v>327</v>
      </c>
      <c r="AH10" s="438" t="s">
        <v>325</v>
      </c>
      <c r="AI10" s="452">
        <v>2019</v>
      </c>
      <c r="AJ10" s="456" t="s">
        <v>324</v>
      </c>
      <c r="AK10" s="456" t="s">
        <v>321</v>
      </c>
      <c r="AL10" s="456" t="s">
        <v>311</v>
      </c>
      <c r="AM10" s="456" t="s">
        <v>307</v>
      </c>
      <c r="AN10" s="452">
        <v>2018</v>
      </c>
      <c r="AO10" s="456" t="s">
        <v>303</v>
      </c>
      <c r="AP10" s="456" t="s">
        <v>164</v>
      </c>
      <c r="AQ10" s="456" t="s">
        <v>166</v>
      </c>
      <c r="AR10" s="456" t="s">
        <v>167</v>
      </c>
      <c r="AS10" s="452">
        <v>2017</v>
      </c>
      <c r="AT10" s="456" t="s">
        <v>168</v>
      </c>
      <c r="AU10" s="456" t="s">
        <v>169</v>
      </c>
      <c r="AV10" s="456" t="s">
        <v>171</v>
      </c>
      <c r="AW10" s="456" t="s">
        <v>172</v>
      </c>
      <c r="AX10" s="452">
        <v>2016</v>
      </c>
      <c r="AY10" s="456" t="s">
        <v>173</v>
      </c>
      <c r="AZ10" s="456" t="s">
        <v>174</v>
      </c>
      <c r="BA10" s="456" t="s">
        <v>176</v>
      </c>
      <c r="BB10" s="456" t="s">
        <v>177</v>
      </c>
      <c r="BC10" s="452">
        <v>2015</v>
      </c>
      <c r="BD10" s="452">
        <v>2014</v>
      </c>
      <c r="BE10" s="376"/>
      <c r="BF10" s="258"/>
      <c r="BG10" s="258"/>
      <c r="BH10" s="258"/>
      <c r="BI10" s="258"/>
      <c r="BJ10" s="258"/>
      <c r="BK10" s="258"/>
      <c r="BL10" s="258"/>
    </row>
    <row r="11" spans="2:64" s="259" customFormat="1" ht="15" customHeight="1">
      <c r="B11" s="447"/>
      <c r="C11" s="457"/>
      <c r="D11" s="455"/>
      <c r="E11" s="453"/>
      <c r="F11" s="457"/>
      <c r="G11" s="457"/>
      <c r="H11" s="457"/>
      <c r="I11" s="455"/>
      <c r="J11" s="453"/>
      <c r="K11" s="457"/>
      <c r="L11" s="457"/>
      <c r="M11" s="457"/>
      <c r="N11" s="455"/>
      <c r="O11" s="453"/>
      <c r="P11" s="457"/>
      <c r="Q11" s="457"/>
      <c r="R11" s="457"/>
      <c r="S11" s="455"/>
      <c r="T11" s="453"/>
      <c r="U11" s="457"/>
      <c r="V11" s="457"/>
      <c r="W11" s="457"/>
      <c r="X11" s="455"/>
      <c r="Y11" s="453"/>
      <c r="Z11" s="457"/>
      <c r="AA11" s="457"/>
      <c r="AB11" s="457"/>
      <c r="AC11" s="455"/>
      <c r="AD11" s="453"/>
      <c r="AE11" s="457"/>
      <c r="AF11" s="457"/>
      <c r="AG11" s="457"/>
      <c r="AH11" s="438"/>
      <c r="AI11" s="453"/>
      <c r="AJ11" s="457"/>
      <c r="AK11" s="457"/>
      <c r="AL11" s="457"/>
      <c r="AM11" s="457"/>
      <c r="AN11" s="453"/>
      <c r="AO11" s="457"/>
      <c r="AP11" s="457"/>
      <c r="AQ11" s="457"/>
      <c r="AR11" s="457"/>
      <c r="AS11" s="453"/>
      <c r="AT11" s="457"/>
      <c r="AU11" s="457"/>
      <c r="AV11" s="457"/>
      <c r="AW11" s="457"/>
      <c r="AX11" s="453"/>
      <c r="AY11" s="457"/>
      <c r="AZ11" s="457"/>
      <c r="BA11" s="457"/>
      <c r="BB11" s="457"/>
      <c r="BC11" s="453"/>
      <c r="BD11" s="453"/>
      <c r="BE11" s="376"/>
      <c r="BF11" s="258"/>
      <c r="BG11" s="258"/>
      <c r="BH11" s="258"/>
      <c r="BI11" s="258"/>
      <c r="BJ11" s="258"/>
      <c r="BK11" s="258"/>
      <c r="BL11" s="258"/>
    </row>
    <row r="12" spans="2:64" s="265" customFormat="1" ht="15" customHeight="1">
      <c r="B12" s="260" t="s">
        <v>285</v>
      </c>
      <c r="C12" s="377">
        <v>125074</v>
      </c>
      <c r="D12" s="378">
        <v>37472</v>
      </c>
      <c r="E12" s="379">
        <v>488622</v>
      </c>
      <c r="F12" s="377">
        <v>-5135</v>
      </c>
      <c r="G12" s="377">
        <v>109148</v>
      </c>
      <c r="H12" s="377">
        <v>233228</v>
      </c>
      <c r="I12" s="378">
        <v>151382</v>
      </c>
      <c r="J12" s="379">
        <v>555596</v>
      </c>
      <c r="K12" s="377">
        <v>292257</v>
      </c>
      <c r="L12" s="377">
        <v>118573</v>
      </c>
      <c r="M12" s="377">
        <v>88774</v>
      </c>
      <c r="N12" s="378">
        <v>55992</v>
      </c>
      <c r="O12" s="379">
        <v>787508</v>
      </c>
      <c r="P12" s="377">
        <v>160153</v>
      </c>
      <c r="Q12" s="377">
        <v>189909</v>
      </c>
      <c r="R12" s="377">
        <v>185677</v>
      </c>
      <c r="S12" s="378">
        <v>251769</v>
      </c>
      <c r="T12" s="379">
        <v>1325920</v>
      </c>
      <c r="U12" s="377">
        <v>148113</v>
      </c>
      <c r="V12" s="377">
        <v>197841</v>
      </c>
      <c r="W12" s="377">
        <v>534570</v>
      </c>
      <c r="X12" s="378">
        <v>445396</v>
      </c>
      <c r="Y12" s="379">
        <v>1984764</v>
      </c>
      <c r="Z12" s="377">
        <v>683964</v>
      </c>
      <c r="AA12" s="377">
        <v>778180</v>
      </c>
      <c r="AB12" s="377">
        <v>245073</v>
      </c>
      <c r="AC12" s="378">
        <v>277547</v>
      </c>
      <c r="AD12" s="379">
        <v>367666</v>
      </c>
      <c r="AE12" s="377">
        <v>285139</v>
      </c>
      <c r="AF12" s="377">
        <v>154877</v>
      </c>
      <c r="AG12" s="377">
        <v>19869</v>
      </c>
      <c r="AH12" s="377">
        <v>-92219</v>
      </c>
      <c r="AI12" s="379">
        <v>173505</v>
      </c>
      <c r="AJ12" s="377">
        <v>119306</v>
      </c>
      <c r="AK12" s="377">
        <v>-12593</v>
      </c>
      <c r="AL12" s="377">
        <v>10510</v>
      </c>
      <c r="AM12" s="377">
        <v>56283</v>
      </c>
      <c r="AN12" s="379">
        <v>528040</v>
      </c>
      <c r="AO12" s="261">
        <v>153808</v>
      </c>
      <c r="AP12" s="261">
        <v>144603</v>
      </c>
      <c r="AQ12" s="261">
        <v>71123</v>
      </c>
      <c r="AR12" s="261">
        <v>158506</v>
      </c>
      <c r="AS12" s="379">
        <v>302657.40000000002</v>
      </c>
      <c r="AT12" s="261">
        <v>109837.2</v>
      </c>
      <c r="AU12" s="261">
        <v>132979</v>
      </c>
      <c r="AV12" s="261">
        <v>25376</v>
      </c>
      <c r="AW12" s="261">
        <v>34466</v>
      </c>
      <c r="AX12" s="379">
        <v>280836</v>
      </c>
      <c r="AY12" s="261">
        <v>214963</v>
      </c>
      <c r="AZ12" s="261">
        <v>19282</v>
      </c>
      <c r="BA12" s="261">
        <v>10422</v>
      </c>
      <c r="BB12" s="261">
        <v>36169</v>
      </c>
      <c r="BC12" s="379">
        <v>87833</v>
      </c>
      <c r="BD12" s="379">
        <v>65591</v>
      </c>
      <c r="BE12" s="264"/>
      <c r="BF12" s="264"/>
      <c r="BG12" s="264"/>
      <c r="BH12" s="264"/>
      <c r="BI12" s="264"/>
      <c r="BJ12" s="264"/>
      <c r="BK12" s="264"/>
      <c r="BL12" s="264"/>
    </row>
    <row r="13" spans="2:64" s="265" customFormat="1" ht="15" customHeight="1">
      <c r="B13" s="266" t="s">
        <v>287</v>
      </c>
      <c r="C13" s="267">
        <v>29484</v>
      </c>
      <c r="D13" s="268">
        <v>-6738</v>
      </c>
      <c r="E13" s="269">
        <v>88842</v>
      </c>
      <c r="F13" s="267">
        <v>-18128</v>
      </c>
      <c r="G13" s="267">
        <v>14781</v>
      </c>
      <c r="H13" s="267">
        <v>66647</v>
      </c>
      <c r="I13" s="268">
        <v>25541</v>
      </c>
      <c r="J13" s="269">
        <v>143514</v>
      </c>
      <c r="K13" s="267">
        <v>83988</v>
      </c>
      <c r="L13" s="267">
        <v>18322</v>
      </c>
      <c r="M13" s="267">
        <v>18589</v>
      </c>
      <c r="N13" s="268">
        <v>22617</v>
      </c>
      <c r="O13" s="269">
        <v>151583</v>
      </c>
      <c r="P13" s="267">
        <v>6882</v>
      </c>
      <c r="Q13" s="267">
        <v>10876</v>
      </c>
      <c r="R13" s="267">
        <v>54999</v>
      </c>
      <c r="S13" s="268">
        <v>78826</v>
      </c>
      <c r="T13" s="269">
        <v>323793</v>
      </c>
      <c r="U13" s="267">
        <v>53404</v>
      </c>
      <c r="V13" s="267">
        <v>93919</v>
      </c>
      <c r="W13" s="267">
        <v>104551</v>
      </c>
      <c r="X13" s="268">
        <v>71919</v>
      </c>
      <c r="Y13" s="269">
        <v>365907</v>
      </c>
      <c r="Z13" s="267">
        <v>200350</v>
      </c>
      <c r="AA13" s="267">
        <v>73035</v>
      </c>
      <c r="AB13" s="267">
        <v>60750</v>
      </c>
      <c r="AC13" s="268">
        <v>31772</v>
      </c>
      <c r="AD13" s="269">
        <v>96823</v>
      </c>
      <c r="AE13" s="267">
        <v>13696</v>
      </c>
      <c r="AF13" s="267">
        <v>33199</v>
      </c>
      <c r="AG13" s="267">
        <v>31606</v>
      </c>
      <c r="AH13" s="267">
        <v>18322</v>
      </c>
      <c r="AI13" s="269">
        <v>97199</v>
      </c>
      <c r="AJ13" s="267">
        <v>8769</v>
      </c>
      <c r="AK13" s="267">
        <v>26021</v>
      </c>
      <c r="AL13" s="267">
        <v>38573</v>
      </c>
      <c r="AM13" s="267">
        <v>23834</v>
      </c>
      <c r="AN13" s="269">
        <v>139359</v>
      </c>
      <c r="AO13" s="267">
        <v>8111</v>
      </c>
      <c r="AP13" s="267">
        <v>34403</v>
      </c>
      <c r="AQ13" s="267">
        <v>38544</v>
      </c>
      <c r="AR13" s="267">
        <v>58301</v>
      </c>
      <c r="AS13" s="269">
        <v>14213.6</v>
      </c>
      <c r="AT13" s="267">
        <v>-47079.9</v>
      </c>
      <c r="AU13" s="267">
        <v>6040.9</v>
      </c>
      <c r="AV13" s="267">
        <v>25217</v>
      </c>
      <c r="AW13" s="267">
        <v>30036</v>
      </c>
      <c r="AX13" s="269">
        <v>187771</v>
      </c>
      <c r="AY13" s="267">
        <v>147297</v>
      </c>
      <c r="AZ13" s="267">
        <v>14010</v>
      </c>
      <c r="BA13" s="267">
        <v>10256</v>
      </c>
      <c r="BB13" s="267">
        <v>16208</v>
      </c>
      <c r="BC13" s="269">
        <v>9031</v>
      </c>
      <c r="BD13" s="269">
        <v>9205</v>
      </c>
      <c r="BE13" s="270"/>
      <c r="BF13" s="270"/>
      <c r="BG13" s="270"/>
      <c r="BH13" s="270"/>
      <c r="BI13" s="270"/>
      <c r="BJ13" s="270"/>
      <c r="BK13" s="270"/>
      <c r="BL13" s="270"/>
    </row>
    <row r="14" spans="2:64" s="265" customFormat="1" ht="15" customHeight="1">
      <c r="B14" s="271" t="s">
        <v>286</v>
      </c>
      <c r="C14" s="267">
        <v>146023</v>
      </c>
      <c r="D14" s="268">
        <v>138300</v>
      </c>
      <c r="E14" s="269">
        <v>384320</v>
      </c>
      <c r="F14" s="267">
        <v>111394</v>
      </c>
      <c r="G14" s="267">
        <v>108451</v>
      </c>
      <c r="H14" s="267">
        <v>55160</v>
      </c>
      <c r="I14" s="268">
        <v>109315</v>
      </c>
      <c r="J14" s="269">
        <v>175002</v>
      </c>
      <c r="K14" s="267">
        <v>33636</v>
      </c>
      <c r="L14" s="267">
        <v>77135</v>
      </c>
      <c r="M14" s="267">
        <v>43768</v>
      </c>
      <c r="N14" s="268">
        <v>20463</v>
      </c>
      <c r="O14" s="269">
        <v>164298</v>
      </c>
      <c r="P14" s="267">
        <v>38935</v>
      </c>
      <c r="Q14" s="267">
        <v>34309</v>
      </c>
      <c r="R14" s="267">
        <v>46704</v>
      </c>
      <c r="S14" s="268">
        <v>44350</v>
      </c>
      <c r="T14" s="269">
        <v>133854</v>
      </c>
      <c r="U14" s="267">
        <v>52776</v>
      </c>
      <c r="V14" s="267">
        <v>6113</v>
      </c>
      <c r="W14" s="267">
        <v>-164</v>
      </c>
      <c r="X14" s="268">
        <v>75129</v>
      </c>
      <c r="Y14" s="269">
        <v>-6728</v>
      </c>
      <c r="Z14" s="267">
        <v>19886</v>
      </c>
      <c r="AA14" s="267">
        <v>-5697</v>
      </c>
      <c r="AB14" s="267">
        <v>-11021</v>
      </c>
      <c r="AC14" s="268">
        <v>-9896</v>
      </c>
      <c r="AD14" s="269">
        <v>-39822</v>
      </c>
      <c r="AE14" s="267">
        <v>16188</v>
      </c>
      <c r="AF14" s="267">
        <v>813</v>
      </c>
      <c r="AG14" s="267">
        <v>-8379</v>
      </c>
      <c r="AH14" s="267">
        <v>-48444</v>
      </c>
      <c r="AI14" s="269">
        <v>-19118</v>
      </c>
      <c r="AJ14" s="267">
        <v>10580</v>
      </c>
      <c r="AK14" s="267">
        <v>-5493</v>
      </c>
      <c r="AL14" s="267">
        <v>-34175</v>
      </c>
      <c r="AM14" s="267">
        <v>9971</v>
      </c>
      <c r="AN14" s="269">
        <v>46486</v>
      </c>
      <c r="AO14" s="267">
        <v>7809</v>
      </c>
      <c r="AP14" s="267">
        <v>12118</v>
      </c>
      <c r="AQ14" s="267">
        <v>15455</v>
      </c>
      <c r="AR14" s="267">
        <v>11104</v>
      </c>
      <c r="AS14" s="269">
        <v>33460.300000000003</v>
      </c>
      <c r="AT14" s="267">
        <v>14348.1</v>
      </c>
      <c r="AU14" s="267">
        <v>6385</v>
      </c>
      <c r="AV14" s="267">
        <v>3138</v>
      </c>
      <c r="AW14" s="267">
        <v>9588.4</v>
      </c>
      <c r="AX14" s="269">
        <v>99759</v>
      </c>
      <c r="AY14" s="267">
        <v>49978</v>
      </c>
      <c r="AZ14" s="267">
        <v>13950</v>
      </c>
      <c r="BA14" s="267">
        <v>25662</v>
      </c>
      <c r="BB14" s="267">
        <v>10169</v>
      </c>
      <c r="BC14" s="269">
        <v>60868</v>
      </c>
      <c r="BD14" s="269">
        <v>61494</v>
      </c>
      <c r="BE14" s="270"/>
      <c r="BF14" s="270"/>
      <c r="BG14" s="270"/>
      <c r="BH14" s="270"/>
      <c r="BI14" s="270"/>
      <c r="BJ14" s="270"/>
      <c r="BK14" s="270"/>
      <c r="BL14" s="270"/>
    </row>
    <row r="15" spans="2:64" s="265" customFormat="1" ht="15" customHeight="1">
      <c r="B15" s="271" t="s">
        <v>288</v>
      </c>
      <c r="C15" s="272">
        <v>37652</v>
      </c>
      <c r="D15" s="380">
        <v>22634</v>
      </c>
      <c r="E15" s="381">
        <v>144822</v>
      </c>
      <c r="F15" s="272">
        <v>37333</v>
      </c>
      <c r="G15" s="272">
        <v>36041</v>
      </c>
      <c r="H15" s="272">
        <v>35436</v>
      </c>
      <c r="I15" s="380">
        <v>35622</v>
      </c>
      <c r="J15" s="381">
        <v>138442</v>
      </c>
      <c r="K15" s="272">
        <v>34930</v>
      </c>
      <c r="L15" s="272">
        <v>35416</v>
      </c>
      <c r="M15" s="272">
        <v>33607</v>
      </c>
      <c r="N15" s="380">
        <v>34490</v>
      </c>
      <c r="O15" s="381">
        <v>118185</v>
      </c>
      <c r="P15" s="272">
        <v>47832</v>
      </c>
      <c r="Q15" s="272">
        <v>24200</v>
      </c>
      <c r="R15" s="272">
        <v>23121</v>
      </c>
      <c r="S15" s="380">
        <v>23032</v>
      </c>
      <c r="T15" s="381">
        <v>95665</v>
      </c>
      <c r="U15" s="272">
        <v>24122</v>
      </c>
      <c r="V15" s="272">
        <v>23856</v>
      </c>
      <c r="W15" s="272">
        <v>23931</v>
      </c>
      <c r="X15" s="380">
        <v>23756</v>
      </c>
      <c r="Y15" s="381">
        <v>90086</v>
      </c>
      <c r="Z15" s="272">
        <v>24923</v>
      </c>
      <c r="AA15" s="272">
        <v>21762</v>
      </c>
      <c r="AB15" s="272">
        <v>21699</v>
      </c>
      <c r="AC15" s="380">
        <v>21702</v>
      </c>
      <c r="AD15" s="381">
        <v>87448</v>
      </c>
      <c r="AE15" s="272">
        <v>21893</v>
      </c>
      <c r="AF15" s="272">
        <v>21875</v>
      </c>
      <c r="AG15" s="272">
        <v>21842</v>
      </c>
      <c r="AH15" s="272">
        <v>21839</v>
      </c>
      <c r="AI15" s="381">
        <v>92552</v>
      </c>
      <c r="AJ15" s="272">
        <v>25486</v>
      </c>
      <c r="AK15" s="272">
        <v>21747</v>
      </c>
      <c r="AL15" s="272">
        <v>22211</v>
      </c>
      <c r="AM15" s="272">
        <v>23105</v>
      </c>
      <c r="AN15" s="381">
        <v>95858</v>
      </c>
      <c r="AO15" s="272">
        <v>24836</v>
      </c>
      <c r="AP15" s="272">
        <v>35857</v>
      </c>
      <c r="AQ15" s="272">
        <v>17628</v>
      </c>
      <c r="AR15" s="272">
        <v>17540</v>
      </c>
      <c r="AS15" s="381">
        <v>123879</v>
      </c>
      <c r="AT15" s="272">
        <v>72427.7</v>
      </c>
      <c r="AU15" s="272">
        <v>17195.3</v>
      </c>
      <c r="AV15" s="272">
        <v>17144</v>
      </c>
      <c r="AW15" s="272">
        <v>17112.900000000001</v>
      </c>
      <c r="AX15" s="381">
        <v>109611</v>
      </c>
      <c r="AY15" s="272">
        <v>71885</v>
      </c>
      <c r="AZ15" s="272">
        <v>12713</v>
      </c>
      <c r="BA15" s="272">
        <v>12530</v>
      </c>
      <c r="BB15" s="272">
        <v>12484</v>
      </c>
      <c r="BC15" s="381">
        <v>78326</v>
      </c>
      <c r="BD15" s="381">
        <v>46909</v>
      </c>
      <c r="BE15" s="270"/>
      <c r="BF15" s="270"/>
      <c r="BG15" s="270"/>
      <c r="BH15" s="270"/>
      <c r="BI15" s="270"/>
      <c r="BJ15" s="270"/>
      <c r="BK15" s="270"/>
      <c r="BL15" s="270"/>
    </row>
    <row r="16" spans="2:64" s="265" customFormat="1" ht="7.5" customHeight="1">
      <c r="B16" s="273"/>
      <c r="C16" s="267"/>
      <c r="D16" s="268"/>
      <c r="E16" s="269"/>
      <c r="F16" s="267"/>
      <c r="G16" s="267"/>
      <c r="H16" s="267"/>
      <c r="I16" s="268"/>
      <c r="J16" s="269"/>
      <c r="K16" s="267"/>
      <c r="L16" s="267"/>
      <c r="M16" s="267"/>
      <c r="N16" s="268"/>
      <c r="O16" s="269"/>
      <c r="P16" s="267"/>
      <c r="Q16" s="267"/>
      <c r="R16" s="267"/>
      <c r="S16" s="268"/>
      <c r="T16" s="269"/>
      <c r="U16" s="267"/>
      <c r="V16" s="267"/>
      <c r="W16" s="267"/>
      <c r="X16" s="268"/>
      <c r="Y16" s="269"/>
      <c r="Z16" s="267"/>
      <c r="AA16" s="267"/>
      <c r="AB16" s="267"/>
      <c r="AC16" s="268"/>
      <c r="AD16" s="269"/>
      <c r="AE16" s="267"/>
      <c r="AF16" s="267"/>
      <c r="AG16" s="267"/>
      <c r="AH16" s="267"/>
      <c r="AI16" s="269"/>
      <c r="AJ16" s="267"/>
      <c r="AK16" s="267"/>
      <c r="AL16" s="267"/>
      <c r="AM16" s="267"/>
      <c r="AN16" s="269"/>
      <c r="AO16" s="267"/>
      <c r="AP16" s="267"/>
      <c r="AQ16" s="267"/>
      <c r="AR16" s="267"/>
      <c r="AS16" s="269"/>
      <c r="AT16" s="267"/>
      <c r="AU16" s="267"/>
      <c r="AV16" s="267"/>
      <c r="AW16" s="267"/>
      <c r="AX16" s="269"/>
      <c r="AY16" s="267"/>
      <c r="AZ16" s="267"/>
      <c r="BA16" s="267"/>
      <c r="BB16" s="267"/>
      <c r="BC16" s="269"/>
      <c r="BD16" s="269"/>
      <c r="BE16" s="270"/>
      <c r="BF16" s="270"/>
      <c r="BG16" s="270"/>
      <c r="BH16" s="270"/>
      <c r="BI16" s="270"/>
      <c r="BJ16" s="270"/>
      <c r="BK16" s="270"/>
      <c r="BL16" s="270"/>
    </row>
    <row r="17" spans="2:64" s="274" customFormat="1" ht="15" customHeight="1">
      <c r="B17" s="260" t="s">
        <v>155</v>
      </c>
      <c r="C17" s="261">
        <f t="shared" ref="C17" si="0">SUM(C12:C15)</f>
        <v>338233</v>
      </c>
      <c r="D17" s="262">
        <f t="shared" ref="D17" si="1">SUM(D12:D15)</f>
        <v>191668</v>
      </c>
      <c r="E17" s="263">
        <f t="shared" ref="E17:F17" si="2">SUM(E12:E15)</f>
        <v>1106606</v>
      </c>
      <c r="F17" s="261">
        <f t="shared" si="2"/>
        <v>125464</v>
      </c>
      <c r="G17" s="261">
        <f t="shared" ref="G17" si="3">SUM(G12:G15)</f>
        <v>268421</v>
      </c>
      <c r="H17" s="261">
        <f t="shared" ref="H17" si="4">SUM(H12:H15)</f>
        <v>390471</v>
      </c>
      <c r="I17" s="262">
        <f t="shared" ref="I17" si="5">SUM(I12:I15)</f>
        <v>321860</v>
      </c>
      <c r="J17" s="263">
        <f t="shared" ref="J17:K17" si="6">SUM(J12:J15)</f>
        <v>1012554</v>
      </c>
      <c r="K17" s="261">
        <f t="shared" si="6"/>
        <v>444811</v>
      </c>
      <c r="L17" s="261">
        <f t="shared" ref="L17" si="7">SUM(L12:L15)</f>
        <v>249446</v>
      </c>
      <c r="M17" s="261">
        <f t="shared" ref="M17" si="8">SUM(M12:M15)</f>
        <v>184738</v>
      </c>
      <c r="N17" s="262">
        <f t="shared" ref="N17" si="9">SUM(N12:N15)</f>
        <v>133562</v>
      </c>
      <c r="O17" s="263">
        <f t="shared" ref="O17:P17" si="10">SUM(O12:O15)</f>
        <v>1221574</v>
      </c>
      <c r="P17" s="261">
        <f t="shared" si="10"/>
        <v>253802</v>
      </c>
      <c r="Q17" s="261">
        <f t="shared" ref="Q17" si="11">SUM(Q12:Q15)</f>
        <v>259294</v>
      </c>
      <c r="R17" s="261">
        <f t="shared" ref="R17" si="12">SUM(R12:R15)</f>
        <v>310501</v>
      </c>
      <c r="S17" s="262">
        <f t="shared" ref="S17" si="13">SUM(S12:S15)</f>
        <v>397977</v>
      </c>
      <c r="T17" s="263">
        <f t="shared" ref="T17:U17" si="14">SUM(T12:T15)</f>
        <v>1879232</v>
      </c>
      <c r="U17" s="261">
        <f t="shared" si="14"/>
        <v>278415</v>
      </c>
      <c r="V17" s="261">
        <f>SUM(V12:V15)</f>
        <v>321729</v>
      </c>
      <c r="W17" s="261">
        <f>SUM(W12:W15)</f>
        <v>662888</v>
      </c>
      <c r="X17" s="262">
        <f>SUM(X12:X15)</f>
        <v>616200</v>
      </c>
      <c r="Y17" s="263">
        <v>2434029</v>
      </c>
      <c r="Z17" s="261">
        <v>929123</v>
      </c>
      <c r="AA17" s="261">
        <f>SUM(AA12:AA15)</f>
        <v>867280</v>
      </c>
      <c r="AB17" s="261">
        <f>SUM(AB12:AB15)</f>
        <v>316501</v>
      </c>
      <c r="AC17" s="262">
        <f>SUM(AC12:AC15)</f>
        <v>321125</v>
      </c>
      <c r="AD17" s="263">
        <f>SUM(AD12:AD15)</f>
        <v>512115</v>
      </c>
      <c r="AE17" s="261">
        <f t="shared" ref="AE17" si="15">SUM(AE12:AE15)</f>
        <v>336916</v>
      </c>
      <c r="AF17" s="261">
        <f t="shared" ref="AF17:AG17" si="16">SUM(AF12:AF15)</f>
        <v>210764</v>
      </c>
      <c r="AG17" s="261">
        <f t="shared" si="16"/>
        <v>64938</v>
      </c>
      <c r="AH17" s="261">
        <f>SUM(AH12:AH15)</f>
        <v>-100502</v>
      </c>
      <c r="AI17" s="263">
        <f t="shared" ref="AI17:AL17" si="17">SUM(AI12:AI15)</f>
        <v>344138</v>
      </c>
      <c r="AJ17" s="261">
        <f t="shared" si="17"/>
        <v>164141</v>
      </c>
      <c r="AK17" s="261">
        <f t="shared" si="17"/>
        <v>29682</v>
      </c>
      <c r="AL17" s="261">
        <f t="shared" si="17"/>
        <v>37119</v>
      </c>
      <c r="AM17" s="261">
        <f>SUM(AM12:AM15)</f>
        <v>113193</v>
      </c>
      <c r="AN17" s="263">
        <f t="shared" ref="AN17:AO17" si="18">SUM(AN12:AN15)</f>
        <v>809743</v>
      </c>
      <c r="AO17" s="261">
        <f t="shared" si="18"/>
        <v>194564</v>
      </c>
      <c r="AP17" s="261">
        <f>SUM(AP12:AP15)</f>
        <v>226981</v>
      </c>
      <c r="AQ17" s="261">
        <f>SUM(AQ12:AQ15)</f>
        <v>142750</v>
      </c>
      <c r="AR17" s="261">
        <v>245451</v>
      </c>
      <c r="AS17" s="263">
        <v>474210</v>
      </c>
      <c r="AT17" s="261">
        <v>149533</v>
      </c>
      <c r="AU17" s="261">
        <v>162600</v>
      </c>
      <c r="AV17" s="261">
        <v>70875.3</v>
      </c>
      <c r="AW17" s="261">
        <v>91203.3</v>
      </c>
      <c r="AX17" s="263">
        <v>677977</v>
      </c>
      <c r="AY17" s="261">
        <v>484123</v>
      </c>
      <c r="AZ17" s="261">
        <v>59955</v>
      </c>
      <c r="BA17" s="261">
        <v>58870</v>
      </c>
      <c r="BB17" s="261">
        <v>75030</v>
      </c>
      <c r="BC17" s="263">
        <v>236058</v>
      </c>
      <c r="BD17" s="263">
        <v>183199</v>
      </c>
      <c r="BE17" s="264"/>
      <c r="BF17" s="264"/>
      <c r="BG17" s="264"/>
      <c r="BH17" s="264"/>
      <c r="BI17" s="264"/>
      <c r="BJ17" s="264"/>
      <c r="BK17" s="264"/>
      <c r="BL17" s="264"/>
    </row>
    <row r="18" spans="2:64" s="274" customFormat="1" ht="6" customHeight="1">
      <c r="B18" s="275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  <c r="P18" s="275"/>
      <c r="Q18" s="275"/>
      <c r="R18" s="275"/>
      <c r="S18" s="275"/>
      <c r="T18" s="275"/>
      <c r="U18" s="275"/>
      <c r="V18" s="275"/>
      <c r="W18" s="275"/>
      <c r="X18" s="275"/>
      <c r="Y18" s="275"/>
      <c r="Z18" s="275"/>
      <c r="AA18" s="275"/>
      <c r="AB18" s="275"/>
      <c r="AC18" s="275"/>
      <c r="AD18" s="275"/>
      <c r="AE18" s="275"/>
      <c r="AF18" s="275"/>
      <c r="AG18" s="275"/>
      <c r="AH18" s="275"/>
      <c r="AI18" s="275"/>
      <c r="AJ18" s="275"/>
      <c r="AK18" s="275"/>
      <c r="AL18" s="275"/>
      <c r="AM18" s="275"/>
      <c r="AN18" s="275"/>
      <c r="AO18" s="275"/>
      <c r="AP18" s="275"/>
      <c r="AQ18" s="276"/>
      <c r="AR18" s="276"/>
      <c r="AS18" s="275"/>
      <c r="AT18" s="276"/>
      <c r="AU18" s="276"/>
      <c r="AV18" s="276"/>
      <c r="AW18" s="276"/>
      <c r="AX18" s="275"/>
      <c r="AY18" s="276"/>
      <c r="AZ18" s="276"/>
      <c r="BA18" s="276"/>
      <c r="BB18" s="276"/>
      <c r="BC18" s="275"/>
      <c r="BD18" s="275"/>
      <c r="BE18" s="277"/>
      <c r="BF18" s="277"/>
      <c r="BG18" s="277"/>
      <c r="BH18" s="277"/>
      <c r="BI18" s="277"/>
      <c r="BJ18" s="277"/>
      <c r="BK18" s="277"/>
      <c r="BL18" s="277"/>
    </row>
    <row r="19" spans="2:64" s="265" customFormat="1" ht="14.25">
      <c r="B19" s="278" t="s">
        <v>413</v>
      </c>
      <c r="C19" s="278"/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278"/>
      <c r="Q19" s="278"/>
      <c r="R19" s="278"/>
      <c r="S19" s="278"/>
      <c r="T19" s="278"/>
      <c r="U19" s="278"/>
      <c r="V19" s="278"/>
      <c r="W19" s="278"/>
      <c r="X19" s="278"/>
      <c r="Y19" s="278"/>
      <c r="Z19" s="278"/>
      <c r="AA19" s="278"/>
      <c r="AB19" s="278"/>
      <c r="AC19" s="278"/>
      <c r="AD19" s="278"/>
      <c r="AE19" s="278"/>
      <c r="AF19" s="278"/>
      <c r="AG19" s="278"/>
      <c r="AH19" s="278"/>
      <c r="AI19" s="278"/>
      <c r="AJ19" s="278"/>
      <c r="AK19" s="278"/>
      <c r="AL19" s="278"/>
      <c r="AM19" s="278"/>
      <c r="AN19" s="278"/>
      <c r="AO19" s="278"/>
      <c r="AP19" s="278"/>
      <c r="AQ19" s="279"/>
      <c r="AR19" s="279"/>
      <c r="AS19" s="278"/>
      <c r="AT19" s="279"/>
      <c r="AU19" s="279"/>
      <c r="AV19" s="382"/>
      <c r="AW19" s="279"/>
      <c r="AX19" s="278"/>
      <c r="AY19" s="279"/>
      <c r="AZ19" s="279"/>
      <c r="BA19" s="279"/>
      <c r="BB19" s="279"/>
      <c r="BC19" s="278"/>
      <c r="BD19" s="278"/>
      <c r="BE19" s="280"/>
      <c r="BJ19" s="280"/>
    </row>
    <row r="20" spans="2:64">
      <c r="AQ20" s="283"/>
      <c r="AR20" s="283"/>
      <c r="AT20" s="281"/>
      <c r="AU20" s="281"/>
      <c r="AV20" s="281"/>
      <c r="AW20" s="281"/>
      <c r="AY20" s="281"/>
      <c r="AZ20" s="281"/>
      <c r="BA20" s="281"/>
      <c r="BB20" s="281"/>
      <c r="BG20" s="85"/>
    </row>
    <row r="21" spans="2:64">
      <c r="AQ21" s="283"/>
      <c r="AR21" s="383"/>
      <c r="BG21" s="85"/>
    </row>
    <row r="22" spans="2:64">
      <c r="AQ22" s="283"/>
      <c r="AR22" s="383"/>
    </row>
    <row r="23" spans="2:64">
      <c r="AQ23" s="283"/>
      <c r="AR23" s="383"/>
      <c r="BE23" s="85"/>
    </row>
    <row r="24" spans="2:64">
      <c r="AQ24" s="283"/>
      <c r="AR24" s="383"/>
    </row>
    <row r="25" spans="2:64">
      <c r="AQ25" s="283"/>
      <c r="AR25" s="383"/>
    </row>
    <row r="26" spans="2:64">
      <c r="AQ26" s="283"/>
      <c r="AR26" s="383"/>
    </row>
    <row r="27" spans="2:64">
      <c r="AQ27" s="283"/>
      <c r="AR27" s="383"/>
    </row>
    <row r="28" spans="2:64">
      <c r="AQ28" s="283"/>
      <c r="AR28" s="383"/>
    </row>
    <row r="50" spans="24:56" ht="14.25">
      <c r="X50" s="193"/>
      <c r="Y50" s="193"/>
      <c r="Z50" s="193"/>
      <c r="AA50" s="193"/>
      <c r="AB50" s="193"/>
      <c r="AC50" s="193"/>
      <c r="AD50" s="193"/>
      <c r="AI50" s="193"/>
      <c r="AN50" s="193"/>
      <c r="AS50" s="193"/>
      <c r="AX50" s="193"/>
      <c r="BC50" s="193"/>
      <c r="BD50" s="193"/>
    </row>
    <row r="53" spans="24:56" ht="14.25">
      <c r="X53" s="193"/>
      <c r="Y53" s="193"/>
      <c r="Z53" s="193"/>
      <c r="AA53" s="193"/>
      <c r="AB53" s="193"/>
      <c r="AC53" s="193"/>
      <c r="AD53" s="193"/>
      <c r="AI53" s="193"/>
      <c r="AN53" s="193"/>
      <c r="AS53" s="193"/>
      <c r="AX53" s="193"/>
      <c r="BC53" s="193"/>
      <c r="BD53" s="193"/>
    </row>
    <row r="54" spans="24:56" ht="15">
      <c r="X54" s="211"/>
      <c r="Y54" s="211"/>
      <c r="Z54" s="211"/>
      <c r="AA54" s="211"/>
      <c r="AB54" s="211"/>
      <c r="AC54" s="211"/>
      <c r="AD54" s="211"/>
      <c r="AI54" s="211"/>
      <c r="AN54" s="211"/>
      <c r="AS54" s="211"/>
      <c r="AX54" s="211"/>
      <c r="BC54" s="211"/>
      <c r="BD54" s="211"/>
    </row>
    <row r="66" spans="24:56" ht="14.25">
      <c r="X66" s="193"/>
      <c r="Y66" s="193"/>
      <c r="Z66" s="193"/>
      <c r="AA66" s="193"/>
      <c r="AB66" s="193"/>
      <c r="AC66" s="193"/>
      <c r="AD66" s="193"/>
      <c r="AI66" s="193"/>
      <c r="AN66" s="193"/>
      <c r="AS66" s="193"/>
      <c r="AX66" s="193"/>
      <c r="BC66" s="193"/>
      <c r="BD66" s="193"/>
    </row>
    <row r="67" spans="24:56" ht="14.25">
      <c r="X67" s="193"/>
      <c r="Y67" s="193"/>
      <c r="Z67" s="193"/>
      <c r="AA67" s="193"/>
      <c r="AB67" s="193"/>
      <c r="AC67" s="193"/>
      <c r="AD67" s="193"/>
      <c r="AI67" s="193"/>
      <c r="AN67" s="193"/>
      <c r="AS67" s="193"/>
      <c r="AX67" s="193"/>
      <c r="BC67" s="193"/>
      <c r="BD67" s="193"/>
    </row>
    <row r="68" spans="24:56" ht="14.25">
      <c r="X68" s="193"/>
      <c r="Y68" s="193"/>
      <c r="Z68" s="193"/>
      <c r="AA68" s="193"/>
      <c r="AB68" s="193"/>
      <c r="AC68" s="193"/>
      <c r="AD68" s="193"/>
      <c r="AI68" s="193"/>
      <c r="AN68" s="193"/>
      <c r="AS68" s="193"/>
      <c r="AX68" s="193"/>
      <c r="BC68" s="193"/>
      <c r="BD68" s="193"/>
    </row>
    <row r="69" spans="24:56" ht="14.25">
      <c r="X69" s="193"/>
      <c r="Y69" s="193"/>
      <c r="Z69" s="193"/>
      <c r="AA69" s="193"/>
      <c r="AB69" s="193"/>
      <c r="AC69" s="193"/>
      <c r="AD69" s="193"/>
      <c r="AI69" s="193"/>
      <c r="AN69" s="193"/>
      <c r="AS69" s="193"/>
      <c r="AX69" s="193"/>
      <c r="BC69" s="193"/>
      <c r="BD69" s="193"/>
    </row>
    <row r="70" spans="24:56" ht="14.25">
      <c r="X70" s="193"/>
      <c r="Y70" s="193"/>
      <c r="Z70" s="193"/>
      <c r="AA70" s="193"/>
      <c r="AB70" s="193"/>
      <c r="AC70" s="193"/>
      <c r="AD70" s="193"/>
      <c r="AI70" s="193"/>
      <c r="AN70" s="193"/>
      <c r="AS70" s="193"/>
      <c r="AX70" s="193"/>
      <c r="BC70" s="193"/>
      <c r="BD70" s="193"/>
    </row>
    <row r="71" spans="24:56" ht="14.25">
      <c r="X71" s="193"/>
      <c r="Y71" s="193"/>
      <c r="Z71" s="193"/>
      <c r="AA71" s="193"/>
      <c r="AB71" s="193"/>
      <c r="AC71" s="193"/>
      <c r="AD71" s="193"/>
      <c r="AI71" s="193"/>
      <c r="AN71" s="193"/>
      <c r="AS71" s="193"/>
      <c r="AX71" s="193"/>
      <c r="BC71" s="193"/>
      <c r="BD71" s="193"/>
    </row>
    <row r="74" spans="24:56" ht="15">
      <c r="X74" s="211"/>
      <c r="Y74" s="211"/>
      <c r="Z74" s="211"/>
      <c r="AA74" s="211"/>
      <c r="AB74" s="211"/>
      <c r="AC74" s="211"/>
      <c r="AD74" s="211"/>
      <c r="AI74" s="211"/>
      <c r="AN74" s="211"/>
      <c r="AS74" s="211"/>
      <c r="AX74" s="211"/>
      <c r="BC74" s="211"/>
      <c r="BD74" s="211"/>
    </row>
    <row r="75" spans="24:56" ht="15">
      <c r="X75" s="211"/>
      <c r="Y75" s="211"/>
      <c r="Z75" s="211"/>
      <c r="AA75" s="211"/>
      <c r="AB75" s="211"/>
      <c r="AC75" s="211"/>
      <c r="AD75" s="211"/>
      <c r="AI75" s="211"/>
      <c r="AN75" s="211"/>
      <c r="AS75" s="211"/>
      <c r="AX75" s="211"/>
      <c r="BC75" s="211"/>
      <c r="BD75" s="211"/>
    </row>
    <row r="76" spans="24:56" ht="14.25">
      <c r="X76" s="193"/>
      <c r="Y76" s="193"/>
      <c r="Z76" s="193"/>
      <c r="AA76" s="193"/>
      <c r="AB76" s="193"/>
      <c r="AC76" s="193"/>
      <c r="AD76" s="193"/>
      <c r="AI76" s="193"/>
      <c r="AN76" s="193"/>
      <c r="AS76" s="193"/>
      <c r="AX76" s="193"/>
      <c r="BC76" s="193"/>
      <c r="BD76" s="193"/>
    </row>
    <row r="77" spans="24:56" ht="15">
      <c r="X77" s="211"/>
      <c r="Y77" s="211"/>
      <c r="Z77" s="211"/>
      <c r="AA77" s="211"/>
      <c r="AB77" s="211"/>
      <c r="AC77" s="211"/>
      <c r="AD77" s="211"/>
      <c r="AI77" s="211"/>
      <c r="AN77" s="211"/>
      <c r="AS77" s="211"/>
      <c r="AX77" s="211"/>
      <c r="BC77" s="211"/>
      <c r="BD77" s="211"/>
    </row>
  </sheetData>
  <mergeCells count="56">
    <mergeCell ref="F10:F11"/>
    <mergeCell ref="N10:N11"/>
    <mergeCell ref="Z10:Z11"/>
    <mergeCell ref="Y10:Y11"/>
    <mergeCell ref="I10:I11"/>
    <mergeCell ref="T10:T11"/>
    <mergeCell ref="U10:U11"/>
    <mergeCell ref="X10:X11"/>
    <mergeCell ref="W10:W11"/>
    <mergeCell ref="V10:V11"/>
    <mergeCell ref="B7:B8"/>
    <mergeCell ref="B10:B11"/>
    <mergeCell ref="S10:S11"/>
    <mergeCell ref="R10:R11"/>
    <mergeCell ref="Q10:Q11"/>
    <mergeCell ref="O10:O11"/>
    <mergeCell ref="L10:L11"/>
    <mergeCell ref="M10:M11"/>
    <mergeCell ref="J10:J11"/>
    <mergeCell ref="K10:K11"/>
    <mergeCell ref="P10:P11"/>
    <mergeCell ref="G10:G11"/>
    <mergeCell ref="H10:H11"/>
    <mergeCell ref="D10:D11"/>
    <mergeCell ref="C10:C11"/>
    <mergeCell ref="E10:E11"/>
    <mergeCell ref="AR10:AR11"/>
    <mergeCell ref="AC10:AC11"/>
    <mergeCell ref="AB10:AB11"/>
    <mergeCell ref="AN10:AN11"/>
    <mergeCell ref="AO10:AO11"/>
    <mergeCell ref="AM10:AM11"/>
    <mergeCell ref="AL10:AL11"/>
    <mergeCell ref="AK10:AK11"/>
    <mergeCell ref="AH10:AH11"/>
    <mergeCell ref="AD10:AD11"/>
    <mergeCell ref="AE10:AE11"/>
    <mergeCell ref="AF10:AF11"/>
    <mergeCell ref="AG10:AG11"/>
    <mergeCell ref="AI10:AI11"/>
    <mergeCell ref="AP10:AP11"/>
    <mergeCell ref="AA10:AA11"/>
    <mergeCell ref="BD10:BD11"/>
    <mergeCell ref="BC10:BC11"/>
    <mergeCell ref="BB10:BB11"/>
    <mergeCell ref="BA10:BA11"/>
    <mergeCell ref="AJ10:AJ11"/>
    <mergeCell ref="AZ10:AZ11"/>
    <mergeCell ref="AX10:AX11"/>
    <mergeCell ref="AY10:AY11"/>
    <mergeCell ref="AW10:AW11"/>
    <mergeCell ref="AU10:AU11"/>
    <mergeCell ref="AV10:AV11"/>
    <mergeCell ref="AQ10:AQ11"/>
    <mergeCell ref="AS10:AS11"/>
    <mergeCell ref="AT10:AT11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Plan7">
    <tabColor rgb="FF0A3200"/>
    <pageSetUpPr fitToPage="1"/>
  </sheetPr>
  <dimension ref="B1:AV44"/>
  <sheetViews>
    <sheetView showGridLines="0" zoomScale="90" zoomScaleNormal="90" workbookViewId="0">
      <selection activeCell="A17" sqref="A17:XFD17"/>
    </sheetView>
  </sheetViews>
  <sheetFormatPr defaultColWidth="9.140625" defaultRowHeight="14.25"/>
  <cols>
    <col min="1" max="1" width="1.7109375" style="289" customWidth="1"/>
    <col min="2" max="2" width="49" style="289" customWidth="1"/>
    <col min="3" max="3" width="11.140625" style="289" customWidth="1"/>
    <col min="4" max="5" width="17" style="289" customWidth="1"/>
    <col min="6" max="6" width="21.42578125" style="289" bestFit="1" customWidth="1"/>
    <col min="7" max="7" width="23.140625" style="289" bestFit="1" customWidth="1"/>
    <col min="8" max="9" width="17" style="289" customWidth="1"/>
    <col min="10" max="10" width="21.42578125" style="289" bestFit="1" customWidth="1"/>
    <col min="11" max="11" width="23.140625" style="289" bestFit="1" customWidth="1"/>
    <col min="12" max="13" width="17" style="289" customWidth="1"/>
    <col min="14" max="14" width="21.28515625" style="289" customWidth="1"/>
    <col min="15" max="15" width="23.140625" style="289" bestFit="1" customWidth="1"/>
    <col min="16" max="16" width="17" style="289" customWidth="1"/>
    <col min="17" max="17" width="18.5703125" style="289" customWidth="1"/>
    <col min="18" max="18" width="21.85546875" style="289" customWidth="1"/>
    <col min="19" max="19" width="23.140625" style="289" bestFit="1" customWidth="1"/>
    <col min="20" max="20" width="17" style="289" customWidth="1"/>
    <col min="21" max="21" width="20.7109375" style="289" bestFit="1" customWidth="1"/>
    <col min="22" max="22" width="22" style="289" customWidth="1"/>
    <col min="23" max="23" width="23.140625" style="289" bestFit="1" customWidth="1"/>
    <col min="24" max="25" width="20.7109375" style="289" bestFit="1" customWidth="1"/>
    <col min="26" max="26" width="22.42578125" style="289" bestFit="1" customWidth="1"/>
    <col min="27" max="27" width="23.140625" style="289" bestFit="1" customWidth="1"/>
    <col min="28" max="28" width="16.28515625" style="289" bestFit="1" customWidth="1"/>
    <col min="29" max="29" width="19.85546875" style="289" bestFit="1" customWidth="1"/>
    <col min="30" max="30" width="22.42578125" style="289" bestFit="1" customWidth="1"/>
    <col min="31" max="31" width="23.140625" style="289" bestFit="1" customWidth="1"/>
    <col min="32" max="32" width="16.28515625" style="289" bestFit="1" customWidth="1"/>
    <col min="33" max="33" width="17.7109375" style="289" bestFit="1" customWidth="1"/>
    <col min="34" max="34" width="22.42578125" style="289" bestFit="1" customWidth="1"/>
    <col min="35" max="35" width="23.140625" style="289" bestFit="1" customWidth="1"/>
    <col min="36" max="36" width="14.42578125" style="313" customWidth="1"/>
    <col min="37" max="37" width="17.7109375" style="313" bestFit="1" customWidth="1"/>
    <col min="38" max="38" width="22.42578125" style="313" bestFit="1" customWidth="1"/>
    <col min="39" max="39" width="23.140625" style="313" bestFit="1" customWidth="1"/>
    <col min="40" max="40" width="14.7109375" style="313" customWidth="1"/>
    <col min="41" max="41" width="17.7109375" style="313" bestFit="1" customWidth="1"/>
    <col min="42" max="42" width="22.42578125" style="313" bestFit="1" customWidth="1"/>
    <col min="43" max="43" width="23.140625" style="313" bestFit="1" customWidth="1"/>
    <col min="44" max="44" width="13.5703125" style="313" customWidth="1"/>
    <col min="45" max="45" width="17.7109375" style="313" bestFit="1" customWidth="1"/>
    <col min="46" max="47" width="22.42578125" style="313" bestFit="1" customWidth="1"/>
    <col min="48" max="16384" width="9.140625" style="289"/>
  </cols>
  <sheetData>
    <row r="1" spans="2:48" s="181" customFormat="1" ht="9" customHeight="1">
      <c r="R1" s="400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</row>
    <row r="2" spans="2:48" s="181" customFormat="1" ht="15.75" customHeight="1">
      <c r="R2" s="400"/>
      <c r="AJ2" s="183"/>
      <c r="AK2" s="183"/>
      <c r="AL2" s="183"/>
      <c r="AM2" s="183"/>
      <c r="AN2" s="183"/>
      <c r="AO2" s="183"/>
      <c r="AP2" s="183"/>
      <c r="AQ2" s="183"/>
      <c r="AR2" s="183"/>
      <c r="AS2" s="183"/>
      <c r="AT2" s="183"/>
      <c r="AU2" s="183"/>
    </row>
    <row r="3" spans="2:48" s="181" customFormat="1" ht="15.75" customHeight="1">
      <c r="R3" s="400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</row>
    <row r="4" spans="2:48" s="181" customFormat="1" ht="15.75" customHeight="1">
      <c r="R4" s="400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</row>
    <row r="5" spans="2:48" s="255" customFormat="1" ht="15.75" customHeight="1">
      <c r="B5" s="256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401"/>
      <c r="S5" s="256"/>
      <c r="T5" s="256"/>
      <c r="U5" s="256"/>
      <c r="V5" s="256"/>
      <c r="W5" s="256"/>
      <c r="X5" s="256"/>
      <c r="Y5" s="256"/>
      <c r="Z5" s="256"/>
      <c r="AA5" s="256"/>
      <c r="AB5" s="256"/>
      <c r="AC5" s="256"/>
      <c r="AD5" s="256"/>
      <c r="AE5" s="256"/>
      <c r="AF5" s="256"/>
      <c r="AG5" s="256"/>
      <c r="AH5" s="256"/>
      <c r="AI5" s="256"/>
      <c r="AJ5" s="257"/>
      <c r="AK5" s="257"/>
      <c r="AL5" s="257"/>
      <c r="AM5" s="257"/>
      <c r="AN5" s="257"/>
      <c r="AO5" s="257"/>
      <c r="AP5" s="257"/>
      <c r="AQ5" s="257"/>
      <c r="AR5" s="257"/>
      <c r="AS5" s="257"/>
      <c r="AT5" s="257"/>
      <c r="AU5" s="257"/>
      <c r="AV5" s="181"/>
    </row>
    <row r="6" spans="2:48" s="255" customFormat="1" ht="9" customHeight="1">
      <c r="B6" s="256"/>
      <c r="C6" s="256"/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401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7"/>
      <c r="AK6" s="257"/>
      <c r="AL6" s="257"/>
      <c r="AM6" s="257"/>
      <c r="AN6" s="257"/>
      <c r="AO6" s="257"/>
      <c r="AP6" s="257"/>
      <c r="AQ6" s="257"/>
      <c r="AR6" s="257"/>
      <c r="AS6" s="257"/>
      <c r="AT6" s="257"/>
      <c r="AU6" s="257"/>
    </row>
    <row r="7" spans="2:48" s="181" customFormat="1" ht="15" customHeight="1">
      <c r="B7" s="434" t="s">
        <v>380</v>
      </c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402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232"/>
      <c r="AK7" s="232"/>
      <c r="AL7" s="232"/>
      <c r="AM7" s="232"/>
      <c r="AN7" s="232"/>
      <c r="AO7" s="232"/>
      <c r="AP7" s="232"/>
      <c r="AQ7" s="232"/>
      <c r="AR7" s="232"/>
      <c r="AS7" s="232"/>
      <c r="AT7" s="232"/>
      <c r="AU7" s="232"/>
    </row>
    <row r="8" spans="2:48" s="181" customFormat="1" ht="15" customHeight="1">
      <c r="B8" s="434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402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232"/>
      <c r="AK8" s="232"/>
      <c r="AL8" s="232"/>
      <c r="AM8" s="232"/>
      <c r="AN8" s="232"/>
      <c r="AO8" s="232"/>
      <c r="AP8" s="232"/>
      <c r="AQ8" s="232"/>
      <c r="AR8" s="232"/>
      <c r="AS8" s="232"/>
      <c r="AT8" s="232"/>
      <c r="AU8" s="232"/>
    </row>
    <row r="9" spans="2:48" s="255" customFormat="1" ht="9" customHeight="1">
      <c r="B9" s="256"/>
      <c r="C9" s="256"/>
      <c r="D9" s="256"/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401"/>
      <c r="S9" s="256"/>
      <c r="T9" s="256"/>
      <c r="U9" s="256"/>
      <c r="V9" s="256"/>
      <c r="W9" s="256"/>
      <c r="X9" s="256"/>
      <c r="Y9" s="256"/>
      <c r="Z9" s="256"/>
      <c r="AA9" s="256"/>
      <c r="AB9" s="256"/>
      <c r="AC9" s="256"/>
      <c r="AD9" s="256"/>
      <c r="AE9" s="256"/>
      <c r="AF9" s="256"/>
      <c r="AG9" s="256"/>
      <c r="AH9" s="256"/>
      <c r="AI9" s="256"/>
      <c r="AJ9" s="257"/>
      <c r="AK9" s="257"/>
      <c r="AL9" s="257"/>
      <c r="AM9" s="257"/>
      <c r="AN9" s="257"/>
      <c r="AO9" s="257"/>
      <c r="AP9" s="257"/>
      <c r="AQ9" s="257"/>
      <c r="AR9" s="257"/>
      <c r="AS9" s="257"/>
      <c r="AT9" s="257"/>
      <c r="AU9" s="257"/>
    </row>
    <row r="10" spans="2:48" ht="30" customHeight="1">
      <c r="B10" s="285" t="s">
        <v>373</v>
      </c>
      <c r="C10" s="286" t="s">
        <v>179</v>
      </c>
      <c r="D10" s="287">
        <v>46203</v>
      </c>
      <c r="E10" s="417" t="s">
        <v>456</v>
      </c>
      <c r="F10" s="288" t="s">
        <v>453</v>
      </c>
      <c r="G10" s="287">
        <v>45930</v>
      </c>
      <c r="H10" s="287">
        <v>45838</v>
      </c>
      <c r="I10" s="417" t="s">
        <v>441</v>
      </c>
      <c r="J10" s="288" t="s">
        <v>435</v>
      </c>
      <c r="K10" s="287">
        <v>45565</v>
      </c>
      <c r="L10" s="287">
        <v>45473</v>
      </c>
      <c r="M10" s="417" t="s">
        <v>419</v>
      </c>
      <c r="N10" s="288" t="s">
        <v>414</v>
      </c>
      <c r="O10" s="287">
        <v>45199</v>
      </c>
      <c r="P10" s="287">
        <v>45107</v>
      </c>
      <c r="Q10" s="417" t="s">
        <v>393</v>
      </c>
      <c r="R10" s="288" t="s">
        <v>389</v>
      </c>
      <c r="S10" s="287">
        <v>44834</v>
      </c>
      <c r="T10" s="287">
        <v>44742</v>
      </c>
      <c r="U10" s="287">
        <v>44651</v>
      </c>
      <c r="V10" s="288" t="s">
        <v>356</v>
      </c>
      <c r="W10" s="287">
        <v>44469</v>
      </c>
      <c r="X10" s="287">
        <v>44377</v>
      </c>
      <c r="Y10" s="287">
        <v>44286</v>
      </c>
      <c r="Z10" s="288">
        <v>44196</v>
      </c>
      <c r="AA10" s="287">
        <v>44104</v>
      </c>
      <c r="AB10" s="287">
        <v>44012</v>
      </c>
      <c r="AC10" s="287">
        <v>43921</v>
      </c>
      <c r="AD10" s="288">
        <v>43830</v>
      </c>
      <c r="AE10" s="287">
        <v>43738</v>
      </c>
      <c r="AF10" s="287">
        <v>43646</v>
      </c>
      <c r="AG10" s="287">
        <v>43555</v>
      </c>
      <c r="AH10" s="288">
        <v>43465</v>
      </c>
      <c r="AI10" s="287">
        <v>43373</v>
      </c>
      <c r="AJ10" s="287">
        <v>43281</v>
      </c>
      <c r="AK10" s="287">
        <v>43190</v>
      </c>
      <c r="AL10" s="288">
        <v>43100</v>
      </c>
      <c r="AM10" s="287">
        <v>43008</v>
      </c>
      <c r="AN10" s="287">
        <v>42916</v>
      </c>
      <c r="AO10" s="287">
        <v>42825</v>
      </c>
      <c r="AP10" s="288">
        <v>42735</v>
      </c>
      <c r="AQ10" s="287">
        <v>42643</v>
      </c>
      <c r="AR10" s="287">
        <v>42551</v>
      </c>
      <c r="AS10" s="287">
        <v>42460</v>
      </c>
      <c r="AT10" s="288">
        <v>42369</v>
      </c>
      <c r="AU10" s="288">
        <v>42004</v>
      </c>
    </row>
    <row r="11" spans="2:48" s="294" customFormat="1" ht="15" customHeight="1">
      <c r="B11" s="290" t="s">
        <v>316</v>
      </c>
      <c r="C11" s="384"/>
      <c r="D11" s="291">
        <f t="shared" ref="D11:T11" si="0">SUM(D12:D17)</f>
        <v>5008412</v>
      </c>
      <c r="E11" s="291">
        <f t="shared" si="0"/>
        <v>4924735</v>
      </c>
      <c r="F11" s="292">
        <f t="shared" si="0"/>
        <v>4816824</v>
      </c>
      <c r="G11" s="291">
        <f t="shared" si="0"/>
        <v>3979644</v>
      </c>
      <c r="H11" s="291">
        <f t="shared" si="0"/>
        <v>3403826</v>
      </c>
      <c r="I11" s="291">
        <f t="shared" si="0"/>
        <v>3196395</v>
      </c>
      <c r="J11" s="292">
        <f t="shared" si="0"/>
        <v>3092954</v>
      </c>
      <c r="K11" s="291">
        <f t="shared" si="0"/>
        <v>3503862</v>
      </c>
      <c r="L11" s="291">
        <f t="shared" si="0"/>
        <v>3177871</v>
      </c>
      <c r="M11" s="291">
        <f t="shared" si="0"/>
        <v>3365992</v>
      </c>
      <c r="N11" s="292">
        <f t="shared" si="0"/>
        <v>2782150</v>
      </c>
      <c r="O11" s="291">
        <f t="shared" si="0"/>
        <v>2038792</v>
      </c>
      <c r="P11" s="291">
        <f t="shared" si="0"/>
        <v>1970991</v>
      </c>
      <c r="Q11" s="291">
        <f t="shared" si="0"/>
        <v>2076160</v>
      </c>
      <c r="R11" s="292">
        <f t="shared" si="0"/>
        <v>2015449</v>
      </c>
      <c r="S11" s="291">
        <f t="shared" si="0"/>
        <v>1395467</v>
      </c>
      <c r="T11" s="291">
        <f t="shared" si="0"/>
        <v>1371590</v>
      </c>
      <c r="U11" s="291">
        <v>1388824</v>
      </c>
      <c r="V11" s="292">
        <f t="shared" ref="V11:AJ11" si="1">SUM(V12:V17)</f>
        <v>1431110</v>
      </c>
      <c r="W11" s="291">
        <f t="shared" si="1"/>
        <v>926482</v>
      </c>
      <c r="X11" s="291">
        <f t="shared" si="1"/>
        <v>717586</v>
      </c>
      <c r="Y11" s="291">
        <f t="shared" si="1"/>
        <v>503913.59436999995</v>
      </c>
      <c r="Z11" s="292">
        <f t="shared" si="1"/>
        <v>657872</v>
      </c>
      <c r="AA11" s="291">
        <f t="shared" si="1"/>
        <v>676747</v>
      </c>
      <c r="AB11" s="291">
        <f t="shared" si="1"/>
        <v>696437</v>
      </c>
      <c r="AC11" s="291">
        <f t="shared" si="1"/>
        <v>647901</v>
      </c>
      <c r="AD11" s="292">
        <f t="shared" si="1"/>
        <v>611547</v>
      </c>
      <c r="AE11" s="291">
        <f t="shared" si="1"/>
        <v>676360</v>
      </c>
      <c r="AF11" s="291">
        <f t="shared" si="1"/>
        <v>724483</v>
      </c>
      <c r="AG11" s="291">
        <f t="shared" si="1"/>
        <v>851199</v>
      </c>
      <c r="AH11" s="292">
        <f t="shared" si="1"/>
        <v>860151</v>
      </c>
      <c r="AI11" s="291">
        <f t="shared" si="1"/>
        <v>910235</v>
      </c>
      <c r="AJ11" s="291">
        <f t="shared" si="1"/>
        <v>961925</v>
      </c>
      <c r="AK11" s="291">
        <v>1087238</v>
      </c>
      <c r="AL11" s="292">
        <v>624887</v>
      </c>
      <c r="AM11" s="291">
        <v>590988</v>
      </c>
      <c r="AN11" s="291">
        <v>476213</v>
      </c>
      <c r="AO11" s="291">
        <v>396068</v>
      </c>
      <c r="AP11" s="292">
        <v>470747</v>
      </c>
      <c r="AQ11" s="291">
        <v>518284</v>
      </c>
      <c r="AR11" s="291">
        <v>568516</v>
      </c>
      <c r="AS11" s="291">
        <v>590466</v>
      </c>
      <c r="AT11" s="292">
        <v>577225</v>
      </c>
      <c r="AU11" s="292">
        <v>642742</v>
      </c>
    </row>
    <row r="12" spans="2:48" ht="15" customHeight="1">
      <c r="B12" s="295" t="s">
        <v>313</v>
      </c>
      <c r="C12" s="385" t="s">
        <v>180</v>
      </c>
      <c r="D12" s="298">
        <v>2527765</v>
      </c>
      <c r="E12" s="298">
        <v>2496329</v>
      </c>
      <c r="F12" s="386">
        <v>2496347</v>
      </c>
      <c r="G12" s="298">
        <v>2460286</v>
      </c>
      <c r="H12" s="298">
        <v>2079597</v>
      </c>
      <c r="I12" s="298">
        <v>2115240</v>
      </c>
      <c r="J12" s="386">
        <v>2089304</v>
      </c>
      <c r="K12" s="298">
        <v>2151302</v>
      </c>
      <c r="L12" s="298">
        <v>1574586</v>
      </c>
      <c r="M12" s="298">
        <v>1809946</v>
      </c>
      <c r="N12" s="386">
        <v>1755548</v>
      </c>
      <c r="O12" s="298">
        <v>1042458</v>
      </c>
      <c r="P12" s="298">
        <v>1008635</v>
      </c>
      <c r="Q12" s="298">
        <v>1131625</v>
      </c>
      <c r="R12" s="386">
        <v>1102149</v>
      </c>
      <c r="S12" s="298">
        <v>1137322</v>
      </c>
      <c r="T12" s="298">
        <v>1107311</v>
      </c>
      <c r="U12" s="298">
        <v>1120772</v>
      </c>
      <c r="V12" s="386">
        <v>1157764</v>
      </c>
      <c r="W12" s="298">
        <v>648566</v>
      </c>
      <c r="X12" s="298">
        <v>630935</v>
      </c>
      <c r="Y12" s="298">
        <v>274864.39536999998</v>
      </c>
      <c r="Z12" s="386">
        <v>337653</v>
      </c>
      <c r="AA12" s="298">
        <v>336700</v>
      </c>
      <c r="AB12" s="298">
        <v>334366</v>
      </c>
      <c r="AC12" s="298">
        <v>387846</v>
      </c>
      <c r="AD12" s="386">
        <v>406150</v>
      </c>
      <c r="AE12" s="298">
        <v>458658</v>
      </c>
      <c r="AF12" s="298">
        <v>455104</v>
      </c>
      <c r="AG12" s="298">
        <f>154797+349408</f>
        <v>504205</v>
      </c>
      <c r="AH12" s="386">
        <f>151872+356058</f>
        <v>507930</v>
      </c>
      <c r="AI12" s="298">
        <f>207130+348392</f>
        <v>555522</v>
      </c>
      <c r="AJ12" s="298">
        <f>202349+353263</f>
        <v>555612</v>
      </c>
      <c r="AK12" s="298">
        <f>257887+344304</f>
        <v>602191</v>
      </c>
      <c r="AL12" s="386">
        <v>252554</v>
      </c>
      <c r="AM12" s="298">
        <v>313913</v>
      </c>
      <c r="AN12" s="302">
        <v>306299</v>
      </c>
      <c r="AO12" s="302">
        <v>372419</v>
      </c>
      <c r="AP12" s="386">
        <v>361418</v>
      </c>
      <c r="AQ12" s="302">
        <v>410137</v>
      </c>
      <c r="AR12" s="302">
        <v>460598</v>
      </c>
      <c r="AS12" s="302">
        <v>484682</v>
      </c>
      <c r="AT12" s="386">
        <v>467769</v>
      </c>
      <c r="AU12" s="386">
        <v>566491</v>
      </c>
    </row>
    <row r="13" spans="2:48" ht="15" customHeight="1">
      <c r="B13" s="295" t="s">
        <v>351</v>
      </c>
      <c r="C13" s="296" t="s">
        <v>149</v>
      </c>
      <c r="D13" s="298">
        <v>1690812</v>
      </c>
      <c r="E13" s="298">
        <v>1630846</v>
      </c>
      <c r="F13" s="386">
        <v>1571614</v>
      </c>
      <c r="G13" s="298">
        <v>948834</v>
      </c>
      <c r="H13" s="298">
        <v>911342</v>
      </c>
      <c r="I13" s="298">
        <v>878805</v>
      </c>
      <c r="J13" s="386">
        <v>0</v>
      </c>
      <c r="K13" s="298">
        <v>527471</v>
      </c>
      <c r="L13" s="298">
        <v>802520</v>
      </c>
      <c r="M13" s="298">
        <v>777982</v>
      </c>
      <c r="N13" s="386">
        <v>271206</v>
      </c>
      <c r="O13" s="298">
        <v>264436</v>
      </c>
      <c r="P13" s="298">
        <v>256007</v>
      </c>
      <c r="Q13" s="298">
        <v>249664</v>
      </c>
      <c r="R13" s="386">
        <v>242631</v>
      </c>
      <c r="S13" s="298">
        <v>233252</v>
      </c>
      <c r="T13" s="298">
        <v>226627</v>
      </c>
      <c r="U13" s="296">
        <v>217755</v>
      </c>
      <c r="V13" s="297">
        <v>210640</v>
      </c>
      <c r="W13" s="296">
        <v>203782</v>
      </c>
      <c r="X13" s="296">
        <v>0</v>
      </c>
      <c r="Y13" s="296">
        <v>0</v>
      </c>
      <c r="Z13" s="297">
        <v>0</v>
      </c>
      <c r="AA13" s="296">
        <v>0</v>
      </c>
      <c r="AB13" s="296">
        <v>0</v>
      </c>
      <c r="AC13" s="296">
        <v>0</v>
      </c>
      <c r="AD13" s="297">
        <v>0</v>
      </c>
      <c r="AE13" s="296">
        <v>0</v>
      </c>
      <c r="AF13" s="296">
        <v>0</v>
      </c>
      <c r="AG13" s="296">
        <v>0</v>
      </c>
      <c r="AH13" s="297">
        <v>0</v>
      </c>
      <c r="AI13" s="298">
        <v>0</v>
      </c>
      <c r="AJ13" s="298">
        <v>0</v>
      </c>
      <c r="AK13" s="298">
        <v>0</v>
      </c>
      <c r="AL13" s="297">
        <v>0</v>
      </c>
      <c r="AM13" s="298">
        <v>0</v>
      </c>
      <c r="AN13" s="298">
        <v>0</v>
      </c>
      <c r="AO13" s="298">
        <v>0</v>
      </c>
      <c r="AP13" s="386">
        <v>0</v>
      </c>
      <c r="AQ13" s="298">
        <v>0</v>
      </c>
      <c r="AR13" s="298">
        <v>0</v>
      </c>
      <c r="AS13" s="298">
        <v>0</v>
      </c>
      <c r="AT13" s="386">
        <v>0</v>
      </c>
      <c r="AU13" s="386">
        <v>0</v>
      </c>
    </row>
    <row r="14" spans="2:48" ht="15" customHeight="1">
      <c r="B14" s="295" t="s">
        <v>308</v>
      </c>
      <c r="C14" s="385" t="s">
        <v>180</v>
      </c>
      <c r="D14" s="298">
        <v>0</v>
      </c>
      <c r="E14" s="298">
        <v>0</v>
      </c>
      <c r="F14" s="386">
        <v>0</v>
      </c>
      <c r="G14" s="298">
        <v>0</v>
      </c>
      <c r="H14" s="298">
        <v>0</v>
      </c>
      <c r="I14" s="298">
        <v>0</v>
      </c>
      <c r="J14" s="386">
        <v>0</v>
      </c>
      <c r="K14" s="298">
        <v>0</v>
      </c>
      <c r="L14" s="298">
        <v>0</v>
      </c>
      <c r="M14" s="298">
        <v>0</v>
      </c>
      <c r="N14" s="386">
        <v>0</v>
      </c>
      <c r="O14" s="298">
        <v>0</v>
      </c>
      <c r="P14" s="298">
        <v>0</v>
      </c>
      <c r="Q14" s="298">
        <v>12570</v>
      </c>
      <c r="R14" s="386">
        <v>12347</v>
      </c>
      <c r="S14" s="298">
        <v>24893</v>
      </c>
      <c r="T14" s="298">
        <v>37652</v>
      </c>
      <c r="U14" s="298">
        <v>50297</v>
      </c>
      <c r="V14" s="386">
        <v>62706</v>
      </c>
      <c r="W14" s="298">
        <v>74134</v>
      </c>
      <c r="X14" s="298">
        <v>85362</v>
      </c>
      <c r="Y14" s="298">
        <v>226484.19899999999</v>
      </c>
      <c r="Z14" s="386">
        <v>316382</v>
      </c>
      <c r="AA14" s="298">
        <v>334945</v>
      </c>
      <c r="AB14" s="298">
        <v>355711</v>
      </c>
      <c r="AC14" s="298">
        <v>252455</v>
      </c>
      <c r="AD14" s="386">
        <v>196579</v>
      </c>
      <c r="AE14" s="298">
        <v>207692</v>
      </c>
      <c r="AF14" s="298">
        <v>258213</v>
      </c>
      <c r="AG14" s="298">
        <f>334690</f>
        <v>334690</v>
      </c>
      <c r="AH14" s="386">
        <v>338815</v>
      </c>
      <c r="AI14" s="298">
        <v>340223</v>
      </c>
      <c r="AJ14" s="298">
        <v>389594</v>
      </c>
      <c r="AK14" s="298">
        <v>466122</v>
      </c>
      <c r="AL14" s="386">
        <v>351234</v>
      </c>
      <c r="AM14" s="298">
        <v>253852</v>
      </c>
      <c r="AN14" s="302">
        <v>148107</v>
      </c>
      <c r="AO14" s="298">
        <v>0</v>
      </c>
      <c r="AP14" s="386">
        <v>0</v>
      </c>
      <c r="AQ14" s="298">
        <v>0</v>
      </c>
      <c r="AR14" s="298">
        <v>0</v>
      </c>
      <c r="AS14" s="298">
        <v>0</v>
      </c>
      <c r="AT14" s="386">
        <v>0</v>
      </c>
      <c r="AU14" s="386">
        <v>59427</v>
      </c>
    </row>
    <row r="15" spans="2:48" ht="15" customHeight="1">
      <c r="B15" s="295" t="s">
        <v>314</v>
      </c>
      <c r="C15" s="385" t="s">
        <v>180</v>
      </c>
      <c r="D15" s="298">
        <v>589239</v>
      </c>
      <c r="E15" s="298">
        <v>594194</v>
      </c>
      <c r="F15" s="386">
        <v>546160</v>
      </c>
      <c r="G15" s="298">
        <v>368293</v>
      </c>
      <c r="H15" s="298">
        <v>207985</v>
      </c>
      <c r="I15" s="298">
        <v>0</v>
      </c>
      <c r="J15" s="386">
        <v>0</v>
      </c>
      <c r="K15" s="298">
        <v>0</v>
      </c>
      <c r="L15" s="298">
        <v>0</v>
      </c>
      <c r="M15" s="298">
        <v>0</v>
      </c>
      <c r="N15" s="386">
        <v>0</v>
      </c>
      <c r="O15" s="298">
        <v>0</v>
      </c>
      <c r="P15" s="298">
        <v>0</v>
      </c>
      <c r="Q15" s="298">
        <v>0</v>
      </c>
      <c r="R15" s="386">
        <v>0</v>
      </c>
      <c r="S15" s="298">
        <v>0</v>
      </c>
      <c r="T15" s="298">
        <v>0</v>
      </c>
      <c r="U15" s="298">
        <v>0</v>
      </c>
      <c r="V15" s="386">
        <v>0</v>
      </c>
      <c r="W15" s="298">
        <v>0</v>
      </c>
      <c r="X15" s="298">
        <v>1289</v>
      </c>
      <c r="Y15" s="298">
        <v>2565</v>
      </c>
      <c r="Z15" s="386">
        <v>3837</v>
      </c>
      <c r="AA15" s="298">
        <v>5102</v>
      </c>
      <c r="AB15" s="298">
        <v>6360</v>
      </c>
      <c r="AC15" s="298">
        <v>7600</v>
      </c>
      <c r="AD15" s="386">
        <v>8818</v>
      </c>
      <c r="AE15" s="298">
        <v>10010</v>
      </c>
      <c r="AF15" s="298">
        <v>11166</v>
      </c>
      <c r="AG15" s="298">
        <f>5658+6646</f>
        <v>12304</v>
      </c>
      <c r="AH15" s="386">
        <f>6206+7200</f>
        <v>13406</v>
      </c>
      <c r="AI15" s="298">
        <f>6753+7737</f>
        <v>14490</v>
      </c>
      <c r="AJ15" s="298">
        <f>8468+8251</f>
        <v>16719</v>
      </c>
      <c r="AK15" s="298">
        <f>10176+8749</f>
        <v>18925</v>
      </c>
      <c r="AL15" s="386">
        <f>11873+9226</f>
        <v>21099</v>
      </c>
      <c r="AM15" s="298">
        <f>13552+9671</f>
        <v>23223</v>
      </c>
      <c r="AN15" s="302">
        <f>13319+8488</f>
        <v>21807</v>
      </c>
      <c r="AO15" s="302">
        <f>14884+8765</f>
        <v>23649</v>
      </c>
      <c r="AP15" s="386">
        <f>16417+8979</f>
        <v>25396</v>
      </c>
      <c r="AQ15" s="302">
        <f>17935+9153</f>
        <v>27088</v>
      </c>
      <c r="AR15" s="302">
        <f>16694+7240</f>
        <v>23934</v>
      </c>
      <c r="AS15" s="302">
        <f>17768+7003</f>
        <v>24771</v>
      </c>
      <c r="AT15" s="386">
        <f>18832+6782</f>
        <v>25614</v>
      </c>
      <c r="AU15" s="386">
        <v>16824</v>
      </c>
    </row>
    <row r="16" spans="2:48" ht="15" customHeight="1">
      <c r="B16" s="295" t="s">
        <v>436</v>
      </c>
      <c r="C16" s="385" t="s">
        <v>180</v>
      </c>
      <c r="D16" s="298">
        <v>200596</v>
      </c>
      <c r="E16" s="298">
        <v>203366</v>
      </c>
      <c r="F16" s="386">
        <v>202703</v>
      </c>
      <c r="G16" s="298">
        <v>202231</v>
      </c>
      <c r="H16" s="298">
        <v>202023</v>
      </c>
      <c r="I16" s="298">
        <v>202350</v>
      </c>
      <c r="J16" s="386">
        <v>153417</v>
      </c>
      <c r="K16" s="298">
        <v>0</v>
      </c>
      <c r="L16" s="298">
        <v>0</v>
      </c>
      <c r="M16" s="298">
        <v>0</v>
      </c>
      <c r="N16" s="386">
        <v>0</v>
      </c>
      <c r="O16" s="298">
        <v>0</v>
      </c>
      <c r="P16" s="298">
        <v>0</v>
      </c>
      <c r="Q16" s="298">
        <v>0</v>
      </c>
      <c r="R16" s="386">
        <v>0</v>
      </c>
      <c r="S16" s="298">
        <v>0</v>
      </c>
      <c r="T16" s="298">
        <v>0</v>
      </c>
      <c r="U16" s="298">
        <v>0</v>
      </c>
      <c r="V16" s="386">
        <v>0</v>
      </c>
      <c r="W16" s="298">
        <v>0</v>
      </c>
      <c r="X16" s="298">
        <v>0</v>
      </c>
      <c r="Y16" s="298">
        <v>0</v>
      </c>
      <c r="Z16" s="386">
        <v>0</v>
      </c>
      <c r="AA16" s="298">
        <v>0</v>
      </c>
      <c r="AB16" s="298">
        <v>0</v>
      </c>
      <c r="AC16" s="298">
        <v>0</v>
      </c>
      <c r="AD16" s="386">
        <v>0</v>
      </c>
      <c r="AE16" s="298">
        <v>0</v>
      </c>
      <c r="AF16" s="298">
        <v>0</v>
      </c>
      <c r="AG16" s="298">
        <v>0</v>
      </c>
      <c r="AH16" s="386">
        <v>0</v>
      </c>
      <c r="AI16" s="298">
        <v>0</v>
      </c>
      <c r="AJ16" s="298">
        <v>0</v>
      </c>
      <c r="AK16" s="298">
        <v>0</v>
      </c>
      <c r="AL16" s="386">
        <v>0</v>
      </c>
      <c r="AM16" s="298">
        <v>0</v>
      </c>
      <c r="AN16" s="302">
        <v>0</v>
      </c>
      <c r="AO16" s="302">
        <v>0</v>
      </c>
      <c r="AP16" s="386">
        <v>0</v>
      </c>
      <c r="AQ16" s="302">
        <v>0</v>
      </c>
      <c r="AR16" s="302">
        <v>0</v>
      </c>
      <c r="AS16" s="302">
        <v>0</v>
      </c>
      <c r="AT16" s="386">
        <v>0</v>
      </c>
      <c r="AU16" s="386">
        <v>0</v>
      </c>
    </row>
    <row r="17" spans="2:47" ht="15" customHeight="1">
      <c r="B17" s="295" t="s">
        <v>305</v>
      </c>
      <c r="C17" s="385" t="s">
        <v>180</v>
      </c>
      <c r="D17" s="298">
        <v>0</v>
      </c>
      <c r="E17" s="298">
        <v>0</v>
      </c>
      <c r="F17" s="386">
        <v>0</v>
      </c>
      <c r="G17" s="298">
        <v>0</v>
      </c>
      <c r="H17" s="298">
        <v>2879</v>
      </c>
      <c r="I17" s="298">
        <v>0</v>
      </c>
      <c r="J17" s="386">
        <v>850233</v>
      </c>
      <c r="K17" s="298">
        <v>825089</v>
      </c>
      <c r="L17" s="298">
        <v>800765</v>
      </c>
      <c r="M17" s="298">
        <v>778064</v>
      </c>
      <c r="N17" s="386">
        <v>755396</v>
      </c>
      <c r="O17" s="298">
        <v>731898</v>
      </c>
      <c r="P17" s="298">
        <v>706349</v>
      </c>
      <c r="Q17" s="298">
        <v>682301</v>
      </c>
      <c r="R17" s="386">
        <v>658322</v>
      </c>
      <c r="S17" s="298">
        <v>0</v>
      </c>
      <c r="T17" s="298">
        <v>0</v>
      </c>
      <c r="U17" s="298">
        <v>0</v>
      </c>
      <c r="V17" s="386">
        <v>0</v>
      </c>
      <c r="W17" s="298">
        <v>0</v>
      </c>
      <c r="X17" s="298"/>
      <c r="Y17" s="298">
        <v>0</v>
      </c>
      <c r="Z17" s="386">
        <v>0</v>
      </c>
      <c r="AA17" s="298">
        <v>0</v>
      </c>
      <c r="AB17" s="298">
        <v>0</v>
      </c>
      <c r="AC17" s="298">
        <v>0</v>
      </c>
      <c r="AD17" s="386">
        <v>0</v>
      </c>
      <c r="AE17" s="298">
        <v>0</v>
      </c>
      <c r="AF17" s="298">
        <v>0</v>
      </c>
      <c r="AG17" s="298">
        <v>0</v>
      </c>
      <c r="AH17" s="386">
        <v>0</v>
      </c>
      <c r="AI17" s="298">
        <v>0</v>
      </c>
      <c r="AJ17" s="298">
        <v>0</v>
      </c>
      <c r="AK17" s="298">
        <v>0</v>
      </c>
      <c r="AL17" s="386">
        <v>0</v>
      </c>
      <c r="AM17" s="298">
        <v>0</v>
      </c>
      <c r="AN17" s="298">
        <v>0</v>
      </c>
      <c r="AO17" s="298">
        <v>0</v>
      </c>
      <c r="AP17" s="386">
        <v>83933</v>
      </c>
      <c r="AQ17" s="302">
        <v>81059</v>
      </c>
      <c r="AR17" s="302">
        <v>83984</v>
      </c>
      <c r="AS17" s="302">
        <v>81013</v>
      </c>
      <c r="AT17" s="386">
        <v>83842</v>
      </c>
      <c r="AU17" s="386">
        <v>0</v>
      </c>
    </row>
    <row r="18" spans="2:47" s="294" customFormat="1" ht="15" customHeight="1">
      <c r="B18" s="260" t="s">
        <v>315</v>
      </c>
      <c r="C18" s="387"/>
      <c r="D18" s="291">
        <f>SUM(D19)</f>
        <v>189921</v>
      </c>
      <c r="E18" s="291">
        <f>SUM(E19:E20)</f>
        <v>187934</v>
      </c>
      <c r="F18" s="292">
        <f>SUM(F19:F20)</f>
        <v>209488</v>
      </c>
      <c r="G18" s="291">
        <f>SUM(G19)</f>
        <v>204329</v>
      </c>
      <c r="H18" s="291">
        <f>SUM(H19)</f>
        <v>205993</v>
      </c>
      <c r="I18" s="291">
        <f>SUM(I19:I20)</f>
        <v>45262</v>
      </c>
      <c r="J18" s="292">
        <f>SUM(J19:J20)</f>
        <v>48079</v>
      </c>
      <c r="K18" s="291">
        <f>SUM(K19)</f>
        <v>31034</v>
      </c>
      <c r="L18" s="291">
        <f>SUM(L19)</f>
        <v>31347</v>
      </c>
      <c r="M18" s="291">
        <f t="shared" ref="M18" si="2">SUM(M20)</f>
        <v>0</v>
      </c>
      <c r="N18" s="292">
        <f t="shared" ref="N18" si="3">SUM(N20)</f>
        <v>0</v>
      </c>
      <c r="O18" s="291">
        <f t="shared" ref="O18" si="4">SUM(O20)</f>
        <v>0</v>
      </c>
      <c r="P18" s="291">
        <f t="shared" ref="P18" si="5">SUM(P20)</f>
        <v>0</v>
      </c>
      <c r="Q18" s="291">
        <f t="shared" ref="Q18" si="6">SUM(Q20)</f>
        <v>0</v>
      </c>
      <c r="R18" s="292">
        <v>0</v>
      </c>
      <c r="S18" s="291">
        <f t="shared" ref="S18" si="7">SUM(S20)</f>
        <v>0</v>
      </c>
      <c r="T18" s="291">
        <f t="shared" ref="T18" si="8">SUM(T20)</f>
        <v>0</v>
      </c>
      <c r="U18" s="291">
        <v>0</v>
      </c>
      <c r="V18" s="292">
        <v>0</v>
      </c>
      <c r="W18" s="291">
        <f t="shared" ref="W18:X18" si="9">SUM(W20)</f>
        <v>0</v>
      </c>
      <c r="X18" s="291">
        <f t="shared" si="9"/>
        <v>0</v>
      </c>
      <c r="Y18" s="291">
        <f t="shared" ref="Y18:Z18" si="10">SUM(Y20)</f>
        <v>0</v>
      </c>
      <c r="Z18" s="292">
        <f t="shared" si="10"/>
        <v>0</v>
      </c>
      <c r="AA18" s="291">
        <f t="shared" ref="AA18" si="11">SUM(AA20)</f>
        <v>0</v>
      </c>
      <c r="AB18" s="291">
        <f t="shared" ref="AB18" si="12">SUM(AB20)</f>
        <v>0</v>
      </c>
      <c r="AC18" s="291">
        <f t="shared" ref="AC18" si="13">SUM(AC20)</f>
        <v>0</v>
      </c>
      <c r="AD18" s="292"/>
      <c r="AE18" s="291">
        <f t="shared" ref="AE18" si="14">SUM(AE20)</f>
        <v>0</v>
      </c>
      <c r="AF18" s="291">
        <f t="shared" ref="AF18:AJ18" si="15">SUM(AF20)</f>
        <v>0</v>
      </c>
      <c r="AG18" s="291">
        <f t="shared" si="15"/>
        <v>0</v>
      </c>
      <c r="AH18" s="292">
        <f t="shared" si="15"/>
        <v>0</v>
      </c>
      <c r="AI18" s="291">
        <f t="shared" si="15"/>
        <v>244</v>
      </c>
      <c r="AJ18" s="291">
        <f t="shared" si="15"/>
        <v>941</v>
      </c>
      <c r="AK18" s="291">
        <v>1421</v>
      </c>
      <c r="AL18" s="292">
        <v>2020</v>
      </c>
      <c r="AM18" s="291">
        <v>2515</v>
      </c>
      <c r="AN18" s="291">
        <v>3231</v>
      </c>
      <c r="AO18" s="291">
        <v>3676</v>
      </c>
      <c r="AP18" s="292">
        <v>4378</v>
      </c>
      <c r="AQ18" s="291">
        <v>4954</v>
      </c>
      <c r="AR18" s="291">
        <v>5487</v>
      </c>
      <c r="AS18" s="291">
        <v>6737</v>
      </c>
      <c r="AT18" s="292">
        <v>8107</v>
      </c>
      <c r="AU18" s="292">
        <v>7461</v>
      </c>
    </row>
    <row r="19" spans="2:47" ht="15" customHeight="1">
      <c r="B19" s="295" t="s">
        <v>424</v>
      </c>
      <c r="C19" s="385" t="s">
        <v>181</v>
      </c>
      <c r="D19" s="425">
        <v>189921</v>
      </c>
      <c r="E19" s="298">
        <v>187934</v>
      </c>
      <c r="F19" s="386">
        <v>209488</v>
      </c>
      <c r="G19" s="425">
        <v>204329</v>
      </c>
      <c r="H19" s="425">
        <v>205993</v>
      </c>
      <c r="I19" s="298">
        <v>45262</v>
      </c>
      <c r="J19" s="386">
        <v>48079</v>
      </c>
      <c r="K19" s="425">
        <v>31034</v>
      </c>
      <c r="L19" s="425">
        <v>31347</v>
      </c>
      <c r="M19" s="298">
        <v>0</v>
      </c>
      <c r="N19" s="386">
        <v>0</v>
      </c>
      <c r="O19" s="422">
        <v>0</v>
      </c>
      <c r="P19" s="422">
        <v>0</v>
      </c>
      <c r="Q19" s="298">
        <v>0</v>
      </c>
      <c r="R19" s="386">
        <v>0</v>
      </c>
      <c r="S19" s="302"/>
      <c r="T19" s="302"/>
      <c r="U19" s="302"/>
      <c r="V19" s="388"/>
      <c r="W19" s="302"/>
      <c r="X19" s="302"/>
      <c r="Y19" s="302"/>
      <c r="Z19" s="388"/>
      <c r="AA19" s="302"/>
      <c r="AB19" s="302"/>
      <c r="AC19" s="302"/>
      <c r="AD19" s="388"/>
      <c r="AE19" s="302"/>
      <c r="AF19" s="302"/>
      <c r="AG19" s="302"/>
      <c r="AH19" s="388"/>
      <c r="AI19" s="302"/>
      <c r="AJ19" s="302"/>
      <c r="AK19" s="302"/>
      <c r="AL19" s="388"/>
      <c r="AM19" s="302"/>
      <c r="AN19" s="302"/>
      <c r="AO19" s="302"/>
      <c r="AP19" s="388"/>
      <c r="AQ19" s="302"/>
      <c r="AR19" s="302"/>
      <c r="AS19" s="302"/>
      <c r="AT19" s="388"/>
      <c r="AU19" s="388"/>
    </row>
    <row r="20" spans="2:47" ht="15" customHeight="1">
      <c r="B20" s="295" t="s">
        <v>314</v>
      </c>
      <c r="C20" s="385" t="s">
        <v>181</v>
      </c>
      <c r="D20" s="422">
        <v>0</v>
      </c>
      <c r="E20" s="298">
        <v>0</v>
      </c>
      <c r="F20" s="386">
        <v>0</v>
      </c>
      <c r="G20" s="422">
        <v>0</v>
      </c>
      <c r="H20" s="422"/>
      <c r="I20" s="298">
        <v>0</v>
      </c>
      <c r="J20" s="386">
        <v>0</v>
      </c>
      <c r="K20" s="422">
        <v>0</v>
      </c>
      <c r="L20" s="422">
        <v>0</v>
      </c>
      <c r="M20" s="298">
        <v>0</v>
      </c>
      <c r="N20" s="386">
        <v>0</v>
      </c>
      <c r="O20" s="422">
        <v>0</v>
      </c>
      <c r="P20" s="422">
        <v>0</v>
      </c>
      <c r="Q20" s="298">
        <v>0</v>
      </c>
      <c r="R20" s="386">
        <v>0</v>
      </c>
      <c r="S20" s="302">
        <v>0</v>
      </c>
      <c r="T20" s="302" t="s">
        <v>112</v>
      </c>
      <c r="U20" s="302">
        <v>0</v>
      </c>
      <c r="V20" s="388">
        <v>0</v>
      </c>
      <c r="W20" s="302">
        <v>0</v>
      </c>
      <c r="X20" s="302" t="s">
        <v>112</v>
      </c>
      <c r="Y20" s="302" t="s">
        <v>112</v>
      </c>
      <c r="Z20" s="388" t="s">
        <v>112</v>
      </c>
      <c r="AA20" s="302" t="s">
        <v>112</v>
      </c>
      <c r="AB20" s="302" t="s">
        <v>112</v>
      </c>
      <c r="AC20" s="302" t="s">
        <v>112</v>
      </c>
      <c r="AD20" s="388"/>
      <c r="AE20" s="302"/>
      <c r="AF20" s="302" t="s">
        <v>112</v>
      </c>
      <c r="AG20" s="302" t="s">
        <v>112</v>
      </c>
      <c r="AH20" s="388" t="s">
        <v>112</v>
      </c>
      <c r="AI20" s="302">
        <v>244</v>
      </c>
      <c r="AJ20" s="302">
        <v>941</v>
      </c>
      <c r="AK20" s="302">
        <v>1421</v>
      </c>
      <c r="AL20" s="388">
        <v>2020</v>
      </c>
      <c r="AM20" s="302">
        <v>2515</v>
      </c>
      <c r="AN20" s="302">
        <v>3231</v>
      </c>
      <c r="AO20" s="302">
        <v>3676</v>
      </c>
      <c r="AP20" s="388">
        <v>4378</v>
      </c>
      <c r="AQ20" s="302">
        <v>4954</v>
      </c>
      <c r="AR20" s="302">
        <v>5487</v>
      </c>
      <c r="AS20" s="302">
        <v>6737</v>
      </c>
      <c r="AT20" s="388">
        <v>8107</v>
      </c>
      <c r="AU20" s="388">
        <v>7461</v>
      </c>
    </row>
    <row r="21" spans="2:47" s="294" customFormat="1" ht="15" customHeight="1">
      <c r="B21" s="260" t="s">
        <v>291</v>
      </c>
      <c r="C21" s="387"/>
      <c r="D21" s="291">
        <f t="shared" ref="D21:L21" si="16">D11+D18</f>
        <v>5198333</v>
      </c>
      <c r="E21" s="291">
        <f t="shared" si="16"/>
        <v>5112669</v>
      </c>
      <c r="F21" s="292">
        <f t="shared" si="16"/>
        <v>5026312</v>
      </c>
      <c r="G21" s="291">
        <f t="shared" si="16"/>
        <v>4183973</v>
      </c>
      <c r="H21" s="291">
        <f t="shared" si="16"/>
        <v>3609819</v>
      </c>
      <c r="I21" s="291">
        <f t="shared" si="16"/>
        <v>3241657</v>
      </c>
      <c r="J21" s="292">
        <f t="shared" si="16"/>
        <v>3141033</v>
      </c>
      <c r="K21" s="291">
        <f t="shared" si="16"/>
        <v>3534896</v>
      </c>
      <c r="L21" s="291">
        <f t="shared" si="16"/>
        <v>3209218</v>
      </c>
      <c r="M21" s="291">
        <f t="shared" ref="M21:S21" si="17">M11</f>
        <v>3365992</v>
      </c>
      <c r="N21" s="292">
        <f t="shared" si="17"/>
        <v>2782150</v>
      </c>
      <c r="O21" s="291">
        <f t="shared" si="17"/>
        <v>2038792</v>
      </c>
      <c r="P21" s="291">
        <f t="shared" si="17"/>
        <v>1970991</v>
      </c>
      <c r="Q21" s="291">
        <f t="shared" si="17"/>
        <v>2076160</v>
      </c>
      <c r="R21" s="292">
        <f t="shared" si="17"/>
        <v>2015449</v>
      </c>
      <c r="S21" s="291">
        <f t="shared" si="17"/>
        <v>1395467</v>
      </c>
      <c r="T21" s="291">
        <v>1371590</v>
      </c>
      <c r="U21" s="291">
        <v>1388824</v>
      </c>
      <c r="V21" s="292">
        <v>1431110</v>
      </c>
      <c r="W21" s="291">
        <v>926482</v>
      </c>
      <c r="X21" s="291">
        <v>717586</v>
      </c>
      <c r="Y21" s="291">
        <v>503913.59436999995</v>
      </c>
      <c r="Z21" s="292">
        <v>657872</v>
      </c>
      <c r="AA21" s="291">
        <v>676747</v>
      </c>
      <c r="AB21" s="291">
        <v>696437</v>
      </c>
      <c r="AC21" s="291">
        <f t="shared" ref="AC21:AJ21" si="18">AC11+AC18</f>
        <v>647901</v>
      </c>
      <c r="AD21" s="292">
        <f t="shared" si="18"/>
        <v>611547</v>
      </c>
      <c r="AE21" s="291">
        <f t="shared" si="18"/>
        <v>676360</v>
      </c>
      <c r="AF21" s="291">
        <f t="shared" si="18"/>
        <v>724483</v>
      </c>
      <c r="AG21" s="291">
        <f t="shared" si="18"/>
        <v>851199</v>
      </c>
      <c r="AH21" s="292">
        <f t="shared" si="18"/>
        <v>860151</v>
      </c>
      <c r="AI21" s="291">
        <f t="shared" si="18"/>
        <v>910479</v>
      </c>
      <c r="AJ21" s="291">
        <f t="shared" si="18"/>
        <v>962866</v>
      </c>
      <c r="AK21" s="291">
        <v>1088659</v>
      </c>
      <c r="AL21" s="292">
        <v>626907</v>
      </c>
      <c r="AM21" s="291">
        <v>593503</v>
      </c>
      <c r="AN21" s="291">
        <v>479444</v>
      </c>
      <c r="AO21" s="291">
        <v>399744</v>
      </c>
      <c r="AP21" s="292">
        <v>475125</v>
      </c>
      <c r="AQ21" s="291">
        <v>523238</v>
      </c>
      <c r="AR21" s="291">
        <v>574003</v>
      </c>
      <c r="AS21" s="291">
        <v>597203</v>
      </c>
      <c r="AT21" s="292">
        <v>585332</v>
      </c>
      <c r="AU21" s="292">
        <v>650203</v>
      </c>
    </row>
    <row r="22" spans="2:47" s="294" customFormat="1" ht="15" customHeight="1">
      <c r="B22" s="260" t="s">
        <v>292</v>
      </c>
      <c r="C22" s="387"/>
      <c r="D22" s="291">
        <f t="shared" ref="D22" si="19">D23+D24</f>
        <v>984936</v>
      </c>
      <c r="E22" s="291">
        <f t="shared" ref="E22" si="20">E23+E24</f>
        <v>931425</v>
      </c>
      <c r="F22" s="292">
        <f t="shared" ref="F22" si="21">F23+F24</f>
        <v>896483</v>
      </c>
      <c r="G22" s="291">
        <f t="shared" ref="G22" si="22">G23+G24</f>
        <v>887788</v>
      </c>
      <c r="H22" s="291">
        <f t="shared" ref="H22" si="23">H23+H24</f>
        <v>820226</v>
      </c>
      <c r="I22" s="291">
        <f t="shared" ref="I22" si="24">I23+I24</f>
        <v>630691</v>
      </c>
      <c r="J22" s="292">
        <f t="shared" ref="J22" si="25">J23+J24</f>
        <v>840329</v>
      </c>
      <c r="K22" s="291">
        <f t="shared" ref="K22" si="26">K23+K24</f>
        <v>1620678</v>
      </c>
      <c r="L22" s="291">
        <f t="shared" ref="L22" si="27">L23+L24</f>
        <v>1363042</v>
      </c>
      <c r="M22" s="291">
        <f t="shared" ref="M22" si="28">M23+M24</f>
        <v>1605592</v>
      </c>
      <c r="N22" s="292">
        <f t="shared" ref="N22" si="29">N23+N24</f>
        <v>1121342</v>
      </c>
      <c r="O22" s="291">
        <f t="shared" ref="O22" si="30">O23+O24</f>
        <v>545025</v>
      </c>
      <c r="P22" s="291">
        <f t="shared" ref="P22" si="31">P23+P24</f>
        <v>436549</v>
      </c>
      <c r="Q22" s="291">
        <f t="shared" ref="Q22" si="32">Q23+Q24</f>
        <v>649414</v>
      </c>
      <c r="R22" s="292">
        <f t="shared" ref="R22" si="33">R23+R24</f>
        <v>632015</v>
      </c>
      <c r="S22" s="291">
        <f t="shared" ref="S22" si="34">S23+S24</f>
        <v>284393</v>
      </c>
      <c r="T22" s="291">
        <f t="shared" ref="T22" si="35">T23+T24</f>
        <v>668941</v>
      </c>
      <c r="U22" s="291">
        <v>669662</v>
      </c>
      <c r="V22" s="292">
        <f t="shared" ref="V22:AA22" si="36">V23+V24</f>
        <v>558867</v>
      </c>
      <c r="W22" s="291">
        <f t="shared" si="36"/>
        <v>240712</v>
      </c>
      <c r="X22" s="291">
        <f t="shared" si="36"/>
        <v>197838</v>
      </c>
      <c r="Y22" s="291">
        <f t="shared" si="36"/>
        <v>258179</v>
      </c>
      <c r="Z22" s="292">
        <f t="shared" si="36"/>
        <v>424380</v>
      </c>
      <c r="AA22" s="291">
        <f t="shared" si="36"/>
        <v>441280</v>
      </c>
      <c r="AB22" s="291">
        <v>487368</v>
      </c>
      <c r="AC22" s="291">
        <f t="shared" ref="AC22" si="37">SUM(AC23:AC24)</f>
        <v>372470</v>
      </c>
      <c r="AD22" s="292">
        <f t="shared" ref="AD22:AE22" si="38">SUM(AD23:AD24)</f>
        <v>416575</v>
      </c>
      <c r="AE22" s="291">
        <f t="shared" si="38"/>
        <v>453083</v>
      </c>
      <c r="AF22" s="291">
        <f t="shared" ref="AF22:AJ22" si="39">SUM(AF23:AF24)</f>
        <v>481022</v>
      </c>
      <c r="AG22" s="291">
        <f t="shared" si="39"/>
        <v>634097</v>
      </c>
      <c r="AH22" s="292">
        <f t="shared" si="39"/>
        <v>648401</v>
      </c>
      <c r="AI22" s="291">
        <f t="shared" si="39"/>
        <v>726349</v>
      </c>
      <c r="AJ22" s="291">
        <f t="shared" si="39"/>
        <v>689214</v>
      </c>
      <c r="AK22" s="291">
        <v>834277</v>
      </c>
      <c r="AL22" s="292">
        <v>230928</v>
      </c>
      <c r="AM22" s="291">
        <v>262809</v>
      </c>
      <c r="AN22" s="291">
        <v>360665</v>
      </c>
      <c r="AO22" s="291">
        <v>272393</v>
      </c>
      <c r="AP22" s="292">
        <v>287093</v>
      </c>
      <c r="AQ22" s="291">
        <v>285168</v>
      </c>
      <c r="AR22" s="291">
        <v>292437</v>
      </c>
      <c r="AS22" s="291">
        <v>317835</v>
      </c>
      <c r="AT22" s="292">
        <v>249622</v>
      </c>
      <c r="AU22" s="292">
        <v>166199</v>
      </c>
    </row>
    <row r="23" spans="2:47" ht="15" customHeight="1">
      <c r="B23" s="304" t="s">
        <v>293</v>
      </c>
      <c r="C23" s="389"/>
      <c r="D23" s="305">
        <v>465204</v>
      </c>
      <c r="E23" s="305">
        <v>584396</v>
      </c>
      <c r="F23" s="306">
        <v>478456</v>
      </c>
      <c r="G23" s="305">
        <v>629624</v>
      </c>
      <c r="H23" s="305">
        <v>622105</v>
      </c>
      <c r="I23" s="305">
        <f>'[12]09. BP'!C14</f>
        <v>331051</v>
      </c>
      <c r="J23" s="306">
        <v>486894</v>
      </c>
      <c r="K23" s="305">
        <v>800562</v>
      </c>
      <c r="L23" s="305">
        <v>989257</v>
      </c>
      <c r="M23" s="305">
        <v>1292247</v>
      </c>
      <c r="N23" s="306">
        <v>779328</v>
      </c>
      <c r="O23" s="305">
        <v>348953</v>
      </c>
      <c r="P23" s="305">
        <v>292400</v>
      </c>
      <c r="Q23" s="305">
        <v>497690</v>
      </c>
      <c r="R23" s="306">
        <v>62709</v>
      </c>
      <c r="S23" s="305">
        <v>87840</v>
      </c>
      <c r="T23" s="305">
        <v>219529</v>
      </c>
      <c r="U23" s="305">
        <v>166461</v>
      </c>
      <c r="V23" s="306">
        <v>156135</v>
      </c>
      <c r="W23" s="305">
        <v>70700</v>
      </c>
      <c r="X23" s="305">
        <v>105585</v>
      </c>
      <c r="Y23" s="305">
        <v>181595</v>
      </c>
      <c r="Z23" s="306">
        <v>371734</v>
      </c>
      <c r="AA23" s="305">
        <v>404528</v>
      </c>
      <c r="AB23" s="305">
        <v>472581</v>
      </c>
      <c r="AC23" s="305">
        <v>333894</v>
      </c>
      <c r="AD23" s="306">
        <v>286994</v>
      </c>
      <c r="AE23" s="305">
        <v>158655</v>
      </c>
      <c r="AF23" s="305">
        <v>231026</v>
      </c>
      <c r="AG23" s="305">
        <v>225673</v>
      </c>
      <c r="AH23" s="306">
        <v>162779</v>
      </c>
      <c r="AI23" s="305">
        <v>236864</v>
      </c>
      <c r="AJ23" s="305">
        <v>89419</v>
      </c>
      <c r="AK23" s="305">
        <v>199807</v>
      </c>
      <c r="AL23" s="306">
        <v>49747</v>
      </c>
      <c r="AM23" s="305">
        <v>41105</v>
      </c>
      <c r="AN23" s="305">
        <v>249869</v>
      </c>
      <c r="AO23" s="305">
        <v>106938</v>
      </c>
      <c r="AP23" s="306">
        <v>197832</v>
      </c>
      <c r="AQ23" s="305">
        <v>63655</v>
      </c>
      <c r="AR23" s="305">
        <v>73095</v>
      </c>
      <c r="AS23" s="305">
        <v>146228</v>
      </c>
      <c r="AT23" s="306">
        <v>126949</v>
      </c>
      <c r="AU23" s="306">
        <v>37755</v>
      </c>
    </row>
    <row r="24" spans="2:47" ht="15" customHeight="1">
      <c r="B24" s="307" t="s">
        <v>199</v>
      </c>
      <c r="C24" s="390"/>
      <c r="D24" s="308">
        <v>519732</v>
      </c>
      <c r="E24" s="305">
        <f>342951+4078</f>
        <v>347029</v>
      </c>
      <c r="F24" s="309">
        <v>418027</v>
      </c>
      <c r="G24" s="308">
        <v>258164</v>
      </c>
      <c r="H24" s="308">
        <v>198121</v>
      </c>
      <c r="I24" s="305">
        <f>'[12]09. BP'!C15</f>
        <v>299640</v>
      </c>
      <c r="J24" s="309">
        <v>353435</v>
      </c>
      <c r="K24" s="308">
        <v>820116</v>
      </c>
      <c r="L24" s="308">
        <v>373785</v>
      </c>
      <c r="M24" s="308">
        <v>313345</v>
      </c>
      <c r="N24" s="309">
        <v>342014</v>
      </c>
      <c r="O24" s="308">
        <v>196072</v>
      </c>
      <c r="P24" s="308">
        <v>144149</v>
      </c>
      <c r="Q24" s="308">
        <v>151724</v>
      </c>
      <c r="R24" s="309">
        <v>569306</v>
      </c>
      <c r="S24" s="308">
        <v>196553</v>
      </c>
      <c r="T24" s="308">
        <v>449412</v>
      </c>
      <c r="U24" s="308">
        <v>503201</v>
      </c>
      <c r="V24" s="309">
        <v>402732</v>
      </c>
      <c r="W24" s="308">
        <v>170012</v>
      </c>
      <c r="X24" s="308">
        <v>92253</v>
      </c>
      <c r="Y24" s="308">
        <v>76584</v>
      </c>
      <c r="Z24" s="309">
        <v>52646</v>
      </c>
      <c r="AA24" s="308">
        <v>36752</v>
      </c>
      <c r="AB24" s="308">
        <v>14787</v>
      </c>
      <c r="AC24" s="308">
        <v>38576</v>
      </c>
      <c r="AD24" s="309">
        <v>129581</v>
      </c>
      <c r="AE24" s="308">
        <v>294428</v>
      </c>
      <c r="AF24" s="308">
        <v>249996</v>
      </c>
      <c r="AG24" s="308">
        <v>408424</v>
      </c>
      <c r="AH24" s="309">
        <v>485622</v>
      </c>
      <c r="AI24" s="308">
        <v>489485</v>
      </c>
      <c r="AJ24" s="308">
        <v>599795</v>
      </c>
      <c r="AK24" s="308">
        <v>634470</v>
      </c>
      <c r="AL24" s="309">
        <v>181454</v>
      </c>
      <c r="AM24" s="308">
        <v>221704</v>
      </c>
      <c r="AN24" s="308">
        <v>110796</v>
      </c>
      <c r="AO24" s="308">
        <v>165455</v>
      </c>
      <c r="AP24" s="309">
        <v>89261</v>
      </c>
      <c r="AQ24" s="308">
        <v>221513</v>
      </c>
      <c r="AR24" s="308">
        <v>219342</v>
      </c>
      <c r="AS24" s="308">
        <v>171607</v>
      </c>
      <c r="AT24" s="309">
        <v>122673</v>
      </c>
      <c r="AU24" s="309">
        <v>128444</v>
      </c>
    </row>
    <row r="25" spans="2:47" s="294" customFormat="1" ht="15" customHeight="1">
      <c r="B25" s="260" t="s">
        <v>294</v>
      </c>
      <c r="C25" s="387"/>
      <c r="D25" s="291">
        <f t="shared" ref="D25" si="40">D21-D22</f>
        <v>4213397</v>
      </c>
      <c r="E25" s="291">
        <f t="shared" ref="E25" si="41">E21-E22</f>
        <v>4181244</v>
      </c>
      <c r="F25" s="292">
        <f t="shared" ref="F25" si="42">F21-F22</f>
        <v>4129829</v>
      </c>
      <c r="G25" s="291">
        <f t="shared" ref="G25" si="43">G21-G22</f>
        <v>3296185</v>
      </c>
      <c r="H25" s="291">
        <f t="shared" ref="H25" si="44">H21-H22</f>
        <v>2789593</v>
      </c>
      <c r="I25" s="291">
        <f t="shared" ref="I25" si="45">I21-I22</f>
        <v>2610966</v>
      </c>
      <c r="J25" s="292">
        <f t="shared" ref="J25" si="46">J21-J22</f>
        <v>2300704</v>
      </c>
      <c r="K25" s="291">
        <f t="shared" ref="K25" si="47">K21-K22</f>
        <v>1914218</v>
      </c>
      <c r="L25" s="291">
        <f t="shared" ref="L25" si="48">L21-L22</f>
        <v>1846176</v>
      </c>
      <c r="M25" s="291">
        <f t="shared" ref="M25" si="49">M21-M22</f>
        <v>1760400</v>
      </c>
      <c r="N25" s="292">
        <f t="shared" ref="N25" si="50">N21-N22</f>
        <v>1660808</v>
      </c>
      <c r="O25" s="291">
        <f t="shared" ref="O25" si="51">O21-O22</f>
        <v>1493767</v>
      </c>
      <c r="P25" s="291">
        <f t="shared" ref="P25" si="52">P21-P22</f>
        <v>1534442</v>
      </c>
      <c r="Q25" s="291">
        <f t="shared" ref="Q25" si="53">Q21-Q22</f>
        <v>1426746</v>
      </c>
      <c r="R25" s="292">
        <f t="shared" ref="R25" si="54">R21-R22</f>
        <v>1383434</v>
      </c>
      <c r="S25" s="291">
        <f t="shared" ref="S25" si="55">S21-S22</f>
        <v>1111074</v>
      </c>
      <c r="T25" s="291">
        <f t="shared" ref="T25" si="56">T21-T22</f>
        <v>702649</v>
      </c>
      <c r="U25" s="291">
        <v>719162</v>
      </c>
      <c r="V25" s="292">
        <f>V21-V22</f>
        <v>872243</v>
      </c>
      <c r="W25" s="291">
        <f>W21-W22</f>
        <v>685770</v>
      </c>
      <c r="X25" s="291">
        <f>X21-X22</f>
        <v>519748</v>
      </c>
      <c r="Y25" s="291">
        <f>Y21-Y22</f>
        <v>245734.59436999995</v>
      </c>
      <c r="Z25" s="292">
        <f>Z21-Z22</f>
        <v>233492</v>
      </c>
      <c r="AA25" s="291">
        <v>235467</v>
      </c>
      <c r="AB25" s="291">
        <v>209069</v>
      </c>
      <c r="AC25" s="291">
        <f>AC21-AC22</f>
        <v>275431</v>
      </c>
      <c r="AD25" s="292">
        <f t="shared" ref="AD25:AK25" si="57">AD21-AD22</f>
        <v>194972</v>
      </c>
      <c r="AE25" s="291">
        <f t="shared" si="57"/>
        <v>223277</v>
      </c>
      <c r="AF25" s="291">
        <f t="shared" si="57"/>
        <v>243461</v>
      </c>
      <c r="AG25" s="291">
        <f t="shared" si="57"/>
        <v>217102</v>
      </c>
      <c r="AH25" s="292">
        <f t="shared" si="57"/>
        <v>211750</v>
      </c>
      <c r="AI25" s="291">
        <f t="shared" si="57"/>
        <v>184130</v>
      </c>
      <c r="AJ25" s="291">
        <f t="shared" si="57"/>
        <v>273652</v>
      </c>
      <c r="AK25" s="291">
        <f t="shared" si="57"/>
        <v>254382</v>
      </c>
      <c r="AL25" s="292">
        <v>395979</v>
      </c>
      <c r="AM25" s="291">
        <v>330694</v>
      </c>
      <c r="AN25" s="291">
        <v>118779</v>
      </c>
      <c r="AO25" s="291">
        <v>127351</v>
      </c>
      <c r="AP25" s="292">
        <v>188032</v>
      </c>
      <c r="AQ25" s="291">
        <v>238070</v>
      </c>
      <c r="AR25" s="291">
        <v>281566</v>
      </c>
      <c r="AS25" s="291">
        <v>279368</v>
      </c>
      <c r="AT25" s="292">
        <v>335710</v>
      </c>
      <c r="AU25" s="292">
        <v>484004</v>
      </c>
    </row>
    <row r="26" spans="2:47" s="294" customFormat="1" ht="15" customHeight="1">
      <c r="B26" s="260" t="s">
        <v>295</v>
      </c>
      <c r="C26" s="387"/>
      <c r="D26" s="291">
        <v>923786</v>
      </c>
      <c r="E26" s="291">
        <v>976024</v>
      </c>
      <c r="F26" s="292">
        <v>1106606</v>
      </c>
      <c r="G26" s="291">
        <v>1424934</v>
      </c>
      <c r="H26" s="291">
        <v>1406584</v>
      </c>
      <c r="I26" s="291">
        <v>1200852</v>
      </c>
      <c r="J26" s="292">
        <v>1012554</v>
      </c>
      <c r="K26" s="291">
        <v>821548</v>
      </c>
      <c r="L26" s="291">
        <v>831396</v>
      </c>
      <c r="M26" s="291">
        <v>957159</v>
      </c>
      <c r="N26" s="292">
        <v>1221574</v>
      </c>
      <c r="O26" s="291">
        <v>1246187</v>
      </c>
      <c r="P26" s="291">
        <v>1308622</v>
      </c>
      <c r="Q26" s="291">
        <v>1661009</v>
      </c>
      <c r="R26" s="292">
        <v>1879233</v>
      </c>
      <c r="S26" s="291">
        <v>2529940</v>
      </c>
      <c r="T26" s="291">
        <v>3075491</v>
      </c>
      <c r="U26" s="291">
        <v>2729104</v>
      </c>
      <c r="V26" s="292">
        <v>2434029</v>
      </c>
      <c r="W26" s="291">
        <v>1841822</v>
      </c>
      <c r="X26" s="291">
        <v>1185305</v>
      </c>
      <c r="Y26" s="291">
        <v>933742</v>
      </c>
      <c r="Z26" s="292">
        <v>512115</v>
      </c>
      <c r="AA26" s="291">
        <v>339341</v>
      </c>
      <c r="AB26" s="291">
        <v>158263</v>
      </c>
      <c r="AC26" s="291">
        <v>130443</v>
      </c>
      <c r="AD26" s="292">
        <v>344138</v>
      </c>
      <c r="AE26" s="291">
        <v>374560</v>
      </c>
      <c r="AF26" s="291">
        <v>571855</v>
      </c>
      <c r="AG26" s="291">
        <v>677485</v>
      </c>
      <c r="AH26" s="292">
        <v>809743</v>
      </c>
      <c r="AI26" s="291">
        <v>764714</v>
      </c>
      <c r="AJ26" s="291">
        <v>700333</v>
      </c>
      <c r="AK26" s="291">
        <v>628460</v>
      </c>
      <c r="AL26" s="292">
        <v>474210</v>
      </c>
      <c r="AM26" s="291">
        <v>808800</v>
      </c>
      <c r="AN26" s="291">
        <v>706156</v>
      </c>
      <c r="AO26" s="291">
        <v>694150</v>
      </c>
      <c r="AP26" s="292">
        <v>677977</v>
      </c>
      <c r="AQ26" s="291">
        <v>260648</v>
      </c>
      <c r="AR26" s="291">
        <v>231725</v>
      </c>
      <c r="AS26" s="291">
        <v>254480</v>
      </c>
      <c r="AT26" s="292">
        <v>236058</v>
      </c>
      <c r="AU26" s="292">
        <v>183199</v>
      </c>
    </row>
    <row r="27" spans="2:47" s="294" customFormat="1" ht="15" customHeight="1">
      <c r="B27" s="260" t="s">
        <v>296</v>
      </c>
      <c r="C27" s="387"/>
      <c r="D27" s="310">
        <f t="shared" ref="D27" si="58">D25/D26</f>
        <v>4.5610098009712203</v>
      </c>
      <c r="E27" s="310">
        <f t="shared" ref="E27" si="59">E25/E26</f>
        <v>4.2839561322262565</v>
      </c>
      <c r="F27" s="311">
        <f t="shared" ref="F27" si="60">F25/F26</f>
        <v>3.7319777770950093</v>
      </c>
      <c r="G27" s="310">
        <f t="shared" ref="G27" si="61">G25/G26</f>
        <v>2.3132194192853843</v>
      </c>
      <c r="H27" s="310">
        <f t="shared" ref="H27" si="62">H25/H26</f>
        <v>1.9832395363518993</v>
      </c>
      <c r="I27" s="310">
        <f t="shared" ref="I27" si="63">I25/I26</f>
        <v>2.1742612744951084</v>
      </c>
      <c r="J27" s="311">
        <f t="shared" ref="J27" si="64">J25/J26</f>
        <v>2.2721790640301651</v>
      </c>
      <c r="K27" s="310">
        <f t="shared" ref="K27" si="65">K25/K26</f>
        <v>2.3300135841119447</v>
      </c>
      <c r="L27" s="310">
        <f t="shared" ref="L27" si="66">L25/L26</f>
        <v>2.2205735894808249</v>
      </c>
      <c r="M27" s="310">
        <f t="shared" ref="M27" si="67">M25/M26</f>
        <v>1.8391928613741291</v>
      </c>
      <c r="N27" s="311">
        <f t="shared" ref="N27" si="68">N25/N26</f>
        <v>1.3595639723831712</v>
      </c>
      <c r="O27" s="310">
        <f t="shared" ref="O27" si="69">O25/O26</f>
        <v>1.1986700230382759</v>
      </c>
      <c r="P27" s="310">
        <f t="shared" ref="P27" si="70">P25/P26</f>
        <v>1.1725632000684689</v>
      </c>
      <c r="Q27" s="310">
        <f t="shared" ref="Q27" si="71">Q25/Q26</f>
        <v>0.85896343728420499</v>
      </c>
      <c r="R27" s="311">
        <f t="shared" ref="R27" si="72">R25/R26</f>
        <v>0.73616949042508295</v>
      </c>
      <c r="S27" s="310">
        <f t="shared" ref="S27" si="73">S25/S26</f>
        <v>0.43917009889562597</v>
      </c>
      <c r="T27" s="310">
        <f t="shared" ref="T27" si="74">T25/T26</f>
        <v>0.22846725937419424</v>
      </c>
      <c r="U27" s="310">
        <v>0.26351579126335972</v>
      </c>
      <c r="V27" s="311">
        <f t="shared" ref="V27:AB27" si="75">V25/V26</f>
        <v>0.35835357754570712</v>
      </c>
      <c r="W27" s="310">
        <f t="shared" si="75"/>
        <v>0.37233239694172399</v>
      </c>
      <c r="X27" s="310">
        <f t="shared" si="75"/>
        <v>0.4384930460936215</v>
      </c>
      <c r="Y27" s="310">
        <f t="shared" si="75"/>
        <v>0.26317183372923136</v>
      </c>
      <c r="Z27" s="311">
        <f t="shared" si="75"/>
        <v>0.4559366548529139</v>
      </c>
      <c r="AA27" s="310">
        <f t="shared" si="75"/>
        <v>0.69389493164692739</v>
      </c>
      <c r="AB27" s="310">
        <f t="shared" si="75"/>
        <v>1.3210226016188245</v>
      </c>
      <c r="AC27" s="310">
        <f t="shared" ref="AC27" si="76">AC25/AC26</f>
        <v>2.1115046418742285</v>
      </c>
      <c r="AD27" s="311">
        <f t="shared" ref="AD27:AE27" si="77">AD25/AD26</f>
        <v>0.56655179027018232</v>
      </c>
      <c r="AE27" s="310">
        <f t="shared" si="77"/>
        <v>0.59610476292182824</v>
      </c>
      <c r="AF27" s="310">
        <f t="shared" ref="AF27:AJ27" si="78">AF25/AF26</f>
        <v>0.42573904223972858</v>
      </c>
      <c r="AG27" s="310">
        <f t="shared" si="78"/>
        <v>0.32045285135464252</v>
      </c>
      <c r="AH27" s="311">
        <f t="shared" si="78"/>
        <v>0.26150272370369365</v>
      </c>
      <c r="AI27" s="310">
        <f t="shared" si="78"/>
        <v>0.24078282861305011</v>
      </c>
      <c r="AJ27" s="310">
        <f t="shared" si="78"/>
        <v>0.39074554533343425</v>
      </c>
      <c r="AK27" s="310">
        <v>0.4</v>
      </c>
      <c r="AL27" s="311">
        <v>0.84</v>
      </c>
      <c r="AM27" s="310" t="s">
        <v>158</v>
      </c>
      <c r="AN27" s="310">
        <f>AN25/AN26</f>
        <v>0.16820504251185289</v>
      </c>
      <c r="AO27" s="310" t="s">
        <v>153</v>
      </c>
      <c r="AP27" s="311" t="s">
        <v>152</v>
      </c>
      <c r="AQ27" s="310">
        <v>0.91</v>
      </c>
      <c r="AR27" s="310">
        <v>1.22</v>
      </c>
      <c r="AS27" s="310">
        <v>1.1000000000000001</v>
      </c>
      <c r="AT27" s="311">
        <v>1.4221504884392819</v>
      </c>
      <c r="AU27" s="311">
        <v>2.6419576526072741</v>
      </c>
    </row>
    <row r="28" spans="2:47" ht="15" customHeight="1">
      <c r="AJ28" s="391"/>
      <c r="AK28" s="391"/>
      <c r="AL28" s="391"/>
      <c r="AM28" s="391"/>
      <c r="AN28" s="391"/>
      <c r="AO28" s="312"/>
      <c r="AP28" s="312"/>
      <c r="AQ28" s="312"/>
      <c r="AR28" s="312"/>
      <c r="AS28" s="312"/>
      <c r="AT28" s="312"/>
      <c r="AU28" s="392"/>
    </row>
    <row r="29" spans="2:47">
      <c r="B29" s="278" t="s">
        <v>413</v>
      </c>
      <c r="C29" s="393"/>
      <c r="S29" s="393"/>
      <c r="U29" s="393"/>
      <c r="V29" s="393"/>
      <c r="W29" s="393"/>
      <c r="X29" s="393"/>
      <c r="Y29" s="393"/>
      <c r="Z29" s="393"/>
      <c r="AA29" s="393"/>
      <c r="AB29" s="393"/>
      <c r="AC29" s="393"/>
      <c r="AD29" s="393"/>
      <c r="AE29" s="393"/>
      <c r="AF29" s="393"/>
      <c r="AG29" s="393"/>
      <c r="AH29" s="393"/>
      <c r="AI29" s="393"/>
      <c r="AJ29" s="314"/>
      <c r="AK29" s="314"/>
    </row>
    <row r="30" spans="2:47">
      <c r="K30" s="203"/>
      <c r="AJ30" s="314"/>
      <c r="AK30" s="314"/>
      <c r="AL30" s="315"/>
      <c r="AM30" s="315"/>
      <c r="AN30" s="315"/>
      <c r="AO30" s="315"/>
      <c r="AP30" s="315"/>
      <c r="AQ30" s="315"/>
      <c r="AR30" s="315"/>
      <c r="AS30" s="315"/>
      <c r="AT30" s="315"/>
    </row>
    <row r="31" spans="2:47">
      <c r="AJ31" s="314"/>
      <c r="AK31" s="314"/>
    </row>
    <row r="32" spans="2:47">
      <c r="AJ32" s="314"/>
      <c r="AK32" s="314"/>
      <c r="AL32" s="316"/>
      <c r="AM32" s="316"/>
      <c r="AN32" s="316"/>
      <c r="AO32" s="316"/>
      <c r="AP32" s="316"/>
      <c r="AQ32" s="316"/>
      <c r="AR32" s="316"/>
      <c r="AS32" s="316"/>
      <c r="AT32" s="316"/>
    </row>
    <row r="33" spans="36:37">
      <c r="AJ33" s="314"/>
      <c r="AK33" s="314"/>
    </row>
    <row r="34" spans="36:37">
      <c r="AJ34" s="314"/>
      <c r="AK34" s="314"/>
    </row>
    <row r="35" spans="36:37">
      <c r="AJ35" s="314"/>
      <c r="AK35" s="314"/>
    </row>
    <row r="36" spans="36:37">
      <c r="AJ36" s="314"/>
      <c r="AK36" s="314"/>
    </row>
    <row r="37" spans="36:37">
      <c r="AJ37" s="314"/>
      <c r="AK37" s="314"/>
    </row>
    <row r="38" spans="36:37">
      <c r="AJ38" s="314"/>
      <c r="AK38" s="314"/>
    </row>
    <row r="39" spans="36:37">
      <c r="AJ39" s="314"/>
      <c r="AK39" s="314"/>
    </row>
    <row r="40" spans="36:37">
      <c r="AJ40" s="314"/>
      <c r="AK40" s="314"/>
    </row>
    <row r="41" spans="36:37">
      <c r="AJ41" s="314"/>
      <c r="AK41" s="314"/>
    </row>
    <row r="42" spans="36:37">
      <c r="AJ42" s="314"/>
      <c r="AK42" s="314"/>
    </row>
    <row r="43" spans="36:37">
      <c r="AJ43" s="314"/>
      <c r="AK43" s="314"/>
    </row>
    <row r="44" spans="36:37">
      <c r="AJ44" s="314"/>
      <c r="AK44" s="314"/>
    </row>
  </sheetData>
  <sortState xmlns:xlrd2="http://schemas.microsoft.com/office/spreadsheetml/2017/richdata2" ref="A12:BC23">
    <sortCondition descending="1" ref="AP12:AP23"/>
  </sortState>
  <mergeCells count="1">
    <mergeCell ref="B7:B8"/>
  </mergeCells>
  <pageMargins left="0.25" right="0.25" top="0.75" bottom="0.75" header="0.3" footer="0.3"/>
  <pageSetup paperSize="9" scale="8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Plan17"/>
  <dimension ref="D6:I28"/>
  <sheetViews>
    <sheetView workbookViewId="0">
      <selection activeCell="E27" sqref="E27:E28"/>
    </sheetView>
  </sheetViews>
  <sheetFormatPr defaultRowHeight="12.75"/>
  <cols>
    <col min="5" max="5" width="17.5703125" bestFit="1" customWidth="1"/>
    <col min="8" max="8" width="14.5703125" style="64" bestFit="1" customWidth="1"/>
    <col min="9" max="9" width="14.5703125" bestFit="1" customWidth="1"/>
  </cols>
  <sheetData>
    <row r="6" spans="4:6" ht="15.75" thickBot="1">
      <c r="D6" s="51" t="s">
        <v>44</v>
      </c>
      <c r="E6" s="52"/>
      <c r="F6" s="52"/>
    </row>
    <row r="7" spans="4:6" ht="13.5" thickBot="1">
      <c r="D7" s="53" t="s">
        <v>45</v>
      </c>
      <c r="E7" s="54" t="s">
        <v>46</v>
      </c>
      <c r="F7" s="55" t="s">
        <v>47</v>
      </c>
    </row>
    <row r="8" spans="4:6">
      <c r="D8" s="56" t="s">
        <v>48</v>
      </c>
      <c r="E8" s="57" t="s">
        <v>49</v>
      </c>
      <c r="F8" s="58">
        <v>0.51</v>
      </c>
    </row>
    <row r="9" spans="4:6">
      <c r="D9" s="56" t="s">
        <v>50</v>
      </c>
      <c r="E9" s="57" t="s">
        <v>51</v>
      </c>
      <c r="F9" s="58">
        <v>0.59</v>
      </c>
    </row>
    <row r="10" spans="4:6" ht="13.5" thickBot="1">
      <c r="D10" s="56" t="s">
        <v>52</v>
      </c>
      <c r="E10" s="57" t="s">
        <v>53</v>
      </c>
      <c r="F10" s="58">
        <v>0.48</v>
      </c>
    </row>
    <row r="11" spans="4:6" ht="13.5" thickBot="1">
      <c r="D11" s="54" t="s">
        <v>54</v>
      </c>
      <c r="E11" s="55" t="s">
        <v>55</v>
      </c>
      <c r="F11" s="59">
        <v>0.49</v>
      </c>
    </row>
    <row r="12" spans="4:6" ht="13.5" thickBot="1">
      <c r="D12" s="60" t="s">
        <v>56</v>
      </c>
      <c r="E12" s="61" t="s">
        <v>57</v>
      </c>
      <c r="F12" s="62"/>
    </row>
    <row r="13" spans="4:6">
      <c r="D13" s="52"/>
      <c r="E13" s="52"/>
      <c r="F13" s="52"/>
    </row>
    <row r="14" spans="4:6" ht="15.75" thickBot="1">
      <c r="D14" s="51" t="s">
        <v>58</v>
      </c>
      <c r="E14" s="52"/>
      <c r="F14" s="52"/>
    </row>
    <row r="15" spans="4:6" ht="13.5" thickBot="1">
      <c r="D15" s="53" t="s">
        <v>45</v>
      </c>
      <c r="E15" s="54" t="s">
        <v>46</v>
      </c>
      <c r="F15" s="55" t="s">
        <v>47</v>
      </c>
    </row>
    <row r="16" spans="4:6">
      <c r="D16" s="56" t="s">
        <v>48</v>
      </c>
      <c r="E16" s="57" t="s">
        <v>59</v>
      </c>
      <c r="F16" s="58">
        <v>0.51</v>
      </c>
    </row>
    <row r="17" spans="4:9">
      <c r="D17" s="56" t="s">
        <v>50</v>
      </c>
      <c r="E17" s="57" t="s">
        <v>60</v>
      </c>
      <c r="F17" s="58">
        <v>0.59</v>
      </c>
    </row>
    <row r="18" spans="4:9" ht="13.5" thickBot="1">
      <c r="D18" s="56" t="s">
        <v>52</v>
      </c>
      <c r="E18" s="57" t="s">
        <v>61</v>
      </c>
      <c r="F18" s="58">
        <v>0.48</v>
      </c>
    </row>
    <row r="19" spans="4:9" ht="13.5" thickBot="1">
      <c r="D19" s="54" t="s">
        <v>54</v>
      </c>
      <c r="E19" s="55" t="s">
        <v>62</v>
      </c>
      <c r="F19" s="59">
        <v>0.48</v>
      </c>
    </row>
    <row r="20" spans="4:9" ht="13.5" thickBot="1">
      <c r="D20" s="60" t="s">
        <v>56</v>
      </c>
      <c r="E20" s="61" t="s">
        <v>63</v>
      </c>
      <c r="F20" s="62"/>
    </row>
    <row r="21" spans="4:9">
      <c r="D21" s="52"/>
      <c r="E21" s="52"/>
      <c r="F21" s="52"/>
    </row>
    <row r="22" spans="4:9" ht="15.75" thickBot="1">
      <c r="D22" s="63" t="s">
        <v>64</v>
      </c>
      <c r="E22" s="52"/>
      <c r="F22" s="52"/>
    </row>
    <row r="23" spans="4:9" ht="13.5" thickBot="1">
      <c r="D23" s="53" t="s">
        <v>45</v>
      </c>
      <c r="E23" s="54" t="s">
        <v>46</v>
      </c>
      <c r="F23" s="55" t="s">
        <v>47</v>
      </c>
    </row>
    <row r="24" spans="4:9">
      <c r="D24" s="56" t="s">
        <v>48</v>
      </c>
      <c r="E24" s="57" t="s">
        <v>65</v>
      </c>
      <c r="F24" s="58">
        <v>0.51</v>
      </c>
      <c r="H24" s="64">
        <v>277523812</v>
      </c>
      <c r="I24" s="65">
        <f>H24*F24</f>
        <v>141537144.12</v>
      </c>
    </row>
    <row r="25" spans="4:9">
      <c r="D25" s="56" t="s">
        <v>50</v>
      </c>
      <c r="E25" s="57" t="s">
        <v>66</v>
      </c>
      <c r="F25" s="58">
        <v>0.69</v>
      </c>
      <c r="H25" s="64">
        <v>25906128</v>
      </c>
      <c r="I25" s="65">
        <f>H25*F25</f>
        <v>17875228.32</v>
      </c>
    </row>
    <row r="26" spans="4:9" ht="13.5" thickBot="1">
      <c r="D26" s="56" t="s">
        <v>52</v>
      </c>
      <c r="E26" s="57" t="s">
        <v>67</v>
      </c>
      <c r="F26" s="58">
        <v>0.49</v>
      </c>
      <c r="H26" s="64">
        <v>502856647</v>
      </c>
      <c r="I26" s="65">
        <f>H26*F26</f>
        <v>246399757.03</v>
      </c>
    </row>
    <row r="27" spans="4:9" ht="13.5" thickBot="1">
      <c r="D27" s="54" t="s">
        <v>54</v>
      </c>
      <c r="E27" s="55" t="s">
        <v>68</v>
      </c>
      <c r="F27" s="59">
        <v>0.49</v>
      </c>
      <c r="I27" s="65">
        <f>SUM(I24:I26)</f>
        <v>405812129.47000003</v>
      </c>
    </row>
    <row r="28" spans="4:9" ht="13.5" thickBot="1">
      <c r="D28" s="60" t="s">
        <v>56</v>
      </c>
      <c r="E28" s="61" t="s">
        <v>69</v>
      </c>
      <c r="F28" s="62"/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10">
    <tabColor theme="3" tint="0.59999389629810485"/>
  </sheetPr>
  <dimension ref="B1:E10"/>
  <sheetViews>
    <sheetView showGridLines="0" zoomScaleNormal="100" workbookViewId="0">
      <selection activeCell="C9" sqref="C9:C10"/>
    </sheetView>
  </sheetViews>
  <sheetFormatPr defaultColWidth="9.140625" defaultRowHeight="15"/>
  <cols>
    <col min="1" max="1" width="4" style="14" customWidth="1"/>
    <col min="2" max="2" width="45.140625" style="14" customWidth="1"/>
    <col min="3" max="5" width="15.7109375" style="14" customWidth="1"/>
    <col min="6" max="16384" width="9.140625" style="14"/>
  </cols>
  <sheetData>
    <row r="1" spans="2:5" ht="5.25" customHeight="1"/>
    <row r="2" spans="2:5" ht="54" customHeight="1">
      <c r="B2" s="137" t="s">
        <v>115</v>
      </c>
      <c r="C2" s="143">
        <v>42094</v>
      </c>
      <c r="D2" s="143">
        <v>42004</v>
      </c>
      <c r="E2" s="143">
        <v>41639</v>
      </c>
    </row>
    <row r="3" spans="2:5" s="45" customFormat="1" ht="24.95" customHeight="1">
      <c r="B3" s="138" t="s">
        <v>111</v>
      </c>
      <c r="C3" s="139">
        <f>D7</f>
        <v>467698</v>
      </c>
      <c r="D3" s="139">
        <v>591334</v>
      </c>
      <c r="E3" s="139">
        <v>111527</v>
      </c>
    </row>
    <row r="4" spans="2:5" s="135" customFormat="1" ht="24.95" customHeight="1">
      <c r="B4" s="140" t="s">
        <v>107</v>
      </c>
      <c r="C4" s="141" t="s">
        <v>112</v>
      </c>
      <c r="D4" s="141" t="s">
        <v>112</v>
      </c>
      <c r="E4" s="141">
        <v>42544</v>
      </c>
    </row>
    <row r="5" spans="2:5" s="136" customFormat="1" ht="24.95" customHeight="1">
      <c r="B5" s="140" t="s">
        <v>114</v>
      </c>
      <c r="C5" s="142">
        <v>-562</v>
      </c>
      <c r="D5" s="142">
        <v>-123636</v>
      </c>
      <c r="E5" s="142">
        <v>-112737</v>
      </c>
    </row>
    <row r="6" spans="2:5" s="136" customFormat="1" ht="24.95" customHeight="1">
      <c r="B6" s="140" t="s">
        <v>109</v>
      </c>
      <c r="C6" s="142">
        <v>80000</v>
      </c>
      <c r="D6" s="142" t="s">
        <v>112</v>
      </c>
      <c r="E6" s="142">
        <v>550000</v>
      </c>
    </row>
    <row r="7" spans="2:5" s="45" customFormat="1" ht="24.95" customHeight="1">
      <c r="B7" s="138" t="s">
        <v>113</v>
      </c>
      <c r="C7" s="139">
        <f>SUM(C3:C6)</f>
        <v>547136</v>
      </c>
      <c r="D7" s="139">
        <f>SUM(D3:D6)</f>
        <v>467698</v>
      </c>
      <c r="E7" s="139">
        <f>SUM(E3:E6)</f>
        <v>591334</v>
      </c>
    </row>
    <row r="9" spans="2:5">
      <c r="C9" s="103"/>
    </row>
    <row r="10" spans="2:5">
      <c r="C10" s="103"/>
    </row>
  </sheetData>
  <pageMargins left="0.511811024" right="0.511811024" top="0.78740157499999996" bottom="0.78740157499999996" header="0.31496062000000002" footer="0.31496062000000002"/>
  <pageSetup scale="72" orientation="portrait" r:id="rId1"/>
  <ignoredErrors>
    <ignoredError sqref="E7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11">
    <tabColor theme="3" tint="0.59999389629810485"/>
  </sheetPr>
  <dimension ref="B1:E15"/>
  <sheetViews>
    <sheetView showGridLines="0" zoomScaleNormal="100" workbookViewId="0">
      <selection activeCell="C14" sqref="C14"/>
    </sheetView>
  </sheetViews>
  <sheetFormatPr defaultColWidth="9.140625" defaultRowHeight="15"/>
  <cols>
    <col min="1" max="1" width="4" style="14" customWidth="1"/>
    <col min="2" max="2" width="45.140625" style="14" customWidth="1"/>
    <col min="3" max="5" width="15.7109375" style="14" customWidth="1"/>
    <col min="6" max="16384" width="9.140625" style="14"/>
  </cols>
  <sheetData>
    <row r="1" spans="2:5" ht="5.25" customHeight="1"/>
    <row r="2" spans="2:5" ht="54" customHeight="1">
      <c r="B2" s="137" t="s">
        <v>116</v>
      </c>
      <c r="C2" s="143">
        <v>42094</v>
      </c>
      <c r="D2" s="143">
        <v>42004</v>
      </c>
      <c r="E2" s="143">
        <v>41639</v>
      </c>
    </row>
    <row r="3" spans="2:5" s="45" customFormat="1" ht="24.95" customHeight="1">
      <c r="B3" s="138" t="s">
        <v>111</v>
      </c>
      <c r="C3" s="139">
        <f>D11</f>
        <v>182505</v>
      </c>
      <c r="D3" s="139">
        <v>149482</v>
      </c>
      <c r="E3" s="139">
        <v>107624</v>
      </c>
    </row>
    <row r="4" spans="2:5" s="135" customFormat="1" ht="24.95" customHeight="1">
      <c r="B4" s="140" t="s">
        <v>104</v>
      </c>
      <c r="C4" s="141">
        <v>23058</v>
      </c>
      <c r="D4" s="141">
        <v>89832</v>
      </c>
      <c r="E4" s="141">
        <v>56709</v>
      </c>
    </row>
    <row r="5" spans="2:5" s="136" customFormat="1" ht="24.95" customHeight="1">
      <c r="B5" s="140" t="s">
        <v>105</v>
      </c>
      <c r="C5" s="142"/>
      <c r="D5" s="142">
        <v>2530</v>
      </c>
      <c r="E5" s="142">
        <v>1877</v>
      </c>
    </row>
    <row r="6" spans="2:5" s="136" customFormat="1" ht="24.95" customHeight="1">
      <c r="B6" s="140" t="s">
        <v>106</v>
      </c>
      <c r="C6" s="142">
        <v>-2001</v>
      </c>
      <c r="D6" s="142">
        <v>-85896</v>
      </c>
      <c r="E6" s="142">
        <v>-46343</v>
      </c>
    </row>
    <row r="7" spans="2:5" s="136" customFormat="1" ht="24.95" customHeight="1">
      <c r="B7" s="140" t="s">
        <v>107</v>
      </c>
      <c r="C7" s="142"/>
      <c r="D7" s="142" t="s">
        <v>112</v>
      </c>
      <c r="E7" s="142">
        <v>28529</v>
      </c>
    </row>
    <row r="8" spans="2:5" s="136" customFormat="1" ht="24.95" customHeight="1">
      <c r="B8" s="140" t="s">
        <v>108</v>
      </c>
      <c r="C8" s="142">
        <v>562</v>
      </c>
      <c r="D8" s="142">
        <v>123636</v>
      </c>
      <c r="E8" s="142">
        <v>112737</v>
      </c>
    </row>
    <row r="9" spans="2:5" s="136" customFormat="1" ht="24.95" customHeight="1">
      <c r="B9" s="140" t="s">
        <v>109</v>
      </c>
      <c r="C9" s="142"/>
      <c r="D9" s="142">
        <v>40000</v>
      </c>
      <c r="E9" s="142" t="s">
        <v>112</v>
      </c>
    </row>
    <row r="10" spans="2:5" s="136" customFormat="1" ht="24.95" customHeight="1">
      <c r="B10" s="140" t="s">
        <v>110</v>
      </c>
      <c r="C10" s="142">
        <v>-10647</v>
      </c>
      <c r="D10" s="142">
        <v>-137079</v>
      </c>
      <c r="E10" s="142">
        <v>-111651</v>
      </c>
    </row>
    <row r="11" spans="2:5" s="45" customFormat="1" ht="24.95" customHeight="1">
      <c r="B11" s="138" t="s">
        <v>113</v>
      </c>
      <c r="C11" s="139">
        <f>SUM(C3:C10)</f>
        <v>193477</v>
      </c>
      <c r="D11" s="139">
        <f>SUM(D3:D10)</f>
        <v>182505</v>
      </c>
      <c r="E11" s="139">
        <f>SUM(E3:E10)</f>
        <v>149482</v>
      </c>
    </row>
    <row r="12" spans="2:5">
      <c r="C12" s="103">
        <v>193636</v>
      </c>
    </row>
    <row r="14" spans="2:5">
      <c r="C14" s="33">
        <f>C12-D11</f>
        <v>11131</v>
      </c>
    </row>
    <row r="15" spans="2:5">
      <c r="D15" s="14">
        <f>68.42*2</f>
        <v>136.84</v>
      </c>
    </row>
  </sheetData>
  <pageMargins left="0.511811024" right="0.511811024" top="0.78740157499999996" bottom="0.78740157499999996" header="0.31496062000000002" footer="0.31496062000000002"/>
  <pageSetup scale="7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12">
    <tabColor theme="3" tint="0.59999389629810485"/>
  </sheetPr>
  <dimension ref="B1:V29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12" sqref="C12"/>
    </sheetView>
  </sheetViews>
  <sheetFormatPr defaultColWidth="9.140625" defaultRowHeight="12.75"/>
  <cols>
    <col min="1" max="1" width="9.140625" style="2"/>
    <col min="2" max="2" width="54.140625" style="2" customWidth="1"/>
    <col min="3" max="3" width="11.28515625" style="2" customWidth="1"/>
    <col min="4" max="7" width="10.7109375" style="2" customWidth="1"/>
    <col min="8" max="8" width="12.28515625" style="2" customWidth="1"/>
    <col min="9" max="9" width="12.7109375" style="2" customWidth="1"/>
    <col min="10" max="11" width="10.7109375" style="2" customWidth="1"/>
    <col min="12" max="13" width="12.42578125" style="2" customWidth="1"/>
    <col min="14" max="14" width="14.85546875" style="2" customWidth="1"/>
    <col min="15" max="22" width="10.7109375" style="2" customWidth="1"/>
    <col min="23" max="16384" width="9.140625" style="2"/>
  </cols>
  <sheetData>
    <row r="1" spans="2:22" s="43" customFormat="1" ht="15"/>
    <row r="2" spans="2:22" s="43" customFormat="1" ht="31.5" customHeight="1">
      <c r="B2" s="106" t="s">
        <v>97</v>
      </c>
      <c r="C2" s="107" t="s">
        <v>93</v>
      </c>
      <c r="D2" s="107" t="s">
        <v>88</v>
      </c>
      <c r="E2" s="107" t="s">
        <v>6</v>
      </c>
      <c r="F2" s="107" t="s">
        <v>5</v>
      </c>
      <c r="G2" s="107" t="s">
        <v>4</v>
      </c>
      <c r="H2" s="108" t="s">
        <v>95</v>
      </c>
      <c r="I2" s="108" t="s">
        <v>96</v>
      </c>
      <c r="J2" s="107">
        <v>2014</v>
      </c>
      <c r="K2" s="107">
        <v>2013</v>
      </c>
      <c r="L2" s="108" t="s">
        <v>94</v>
      </c>
      <c r="M2" s="109"/>
      <c r="N2" s="107" t="s">
        <v>15</v>
      </c>
      <c r="O2" s="107" t="s">
        <v>1</v>
      </c>
      <c r="P2" s="107" t="s">
        <v>2</v>
      </c>
      <c r="Q2" s="107" t="s">
        <v>4</v>
      </c>
      <c r="R2" s="107">
        <v>2013</v>
      </c>
      <c r="S2" s="107" t="s">
        <v>81</v>
      </c>
      <c r="T2" s="107">
        <v>2012</v>
      </c>
      <c r="U2" s="13" t="s">
        <v>82</v>
      </c>
      <c r="V2" s="13" t="s">
        <v>0</v>
      </c>
    </row>
    <row r="3" spans="2:22" s="43" customFormat="1" ht="15" customHeight="1">
      <c r="B3" s="110" t="s">
        <v>3</v>
      </c>
      <c r="C3" s="111">
        <v>18507</v>
      </c>
      <c r="D3" s="111">
        <v>1652</v>
      </c>
      <c r="E3" s="111"/>
      <c r="F3" s="111">
        <v>29712</v>
      </c>
      <c r="G3" s="112">
        <v>17345</v>
      </c>
      <c r="H3" s="113">
        <f>(C3/D3)-1</f>
        <v>10.20278450363196</v>
      </c>
      <c r="I3" s="114">
        <f>(C3/G3-1)</f>
        <v>6.6993369847218265E-2</v>
      </c>
      <c r="J3" s="111">
        <v>65591</v>
      </c>
      <c r="K3" s="112">
        <v>360072</v>
      </c>
      <c r="L3" s="114">
        <f>(J3/K3)-1</f>
        <v>-0.81783920993579062</v>
      </c>
      <c r="M3" s="115"/>
      <c r="N3" s="111">
        <v>795</v>
      </c>
      <c r="O3" s="111">
        <v>-12335</v>
      </c>
      <c r="P3" s="111">
        <v>354267</v>
      </c>
      <c r="Q3" s="111">
        <f>R3-S3</f>
        <v>17345</v>
      </c>
      <c r="R3" s="111">
        <v>360072</v>
      </c>
      <c r="S3" s="111">
        <v>342727</v>
      </c>
      <c r="T3" s="111">
        <v>39282</v>
      </c>
      <c r="U3" s="104">
        <v>30488</v>
      </c>
      <c r="V3" s="104">
        <f>T3-U3</f>
        <v>8794</v>
      </c>
    </row>
    <row r="4" spans="2:22" s="43" customFormat="1" ht="15" customHeight="1">
      <c r="B4" s="116" t="s">
        <v>16</v>
      </c>
      <c r="C4" s="117">
        <v>2104</v>
      </c>
      <c r="D4" s="117">
        <v>-8871</v>
      </c>
      <c r="E4" s="117"/>
      <c r="F4" s="117">
        <v>-8871</v>
      </c>
      <c r="G4" s="118">
        <v>-4266</v>
      </c>
      <c r="H4" s="119">
        <f>(C4/D4-1)</f>
        <v>-1.2371773193552023</v>
      </c>
      <c r="I4" s="120">
        <f>(C4/G4)-1</f>
        <v>-1.4932020628223159</v>
      </c>
      <c r="J4" s="117">
        <v>9205</v>
      </c>
      <c r="K4" s="118">
        <v>-6457</v>
      </c>
      <c r="L4" s="120">
        <f>J4/K4-1</f>
        <v>-2.4255846368282485</v>
      </c>
      <c r="M4" s="118"/>
      <c r="N4" s="117">
        <v>-770</v>
      </c>
      <c r="O4" s="117">
        <v>-735</v>
      </c>
      <c r="P4" s="117">
        <v>-686</v>
      </c>
      <c r="Q4" s="117">
        <v>-4266</v>
      </c>
      <c r="R4" s="117">
        <v>-6457</v>
      </c>
      <c r="S4" s="117">
        <v>-2190</v>
      </c>
      <c r="T4" s="117">
        <v>-1894</v>
      </c>
      <c r="U4" s="42">
        <v>-1207</v>
      </c>
      <c r="V4" s="42">
        <f>T4-U4</f>
        <v>-687</v>
      </c>
    </row>
    <row r="5" spans="2:22" s="43" customFormat="1" ht="15" customHeight="1">
      <c r="B5" s="116" t="s">
        <v>17</v>
      </c>
      <c r="C5" s="117">
        <v>14605</v>
      </c>
      <c r="D5" s="117">
        <v>15063</v>
      </c>
      <c r="E5" s="117"/>
      <c r="F5" s="117">
        <v>15063</v>
      </c>
      <c r="G5" s="118">
        <v>15878</v>
      </c>
      <c r="H5" s="119">
        <f>C5/D5-1</f>
        <v>-3.0405629688641023E-2</v>
      </c>
      <c r="I5" s="120">
        <f>(C5/G5)-1</f>
        <v>-8.0173825418818456E-2</v>
      </c>
      <c r="J5" s="117">
        <v>61494</v>
      </c>
      <c r="K5" s="118">
        <v>36660</v>
      </c>
      <c r="L5" s="120">
        <f>J5/K5-1</f>
        <v>0.67741407528641573</v>
      </c>
      <c r="M5" s="118"/>
      <c r="N5" s="117">
        <f>-1424+41</f>
        <v>-1383</v>
      </c>
      <c r="O5" s="117">
        <v>7070</v>
      </c>
      <c r="P5" s="117">
        <v>15095</v>
      </c>
      <c r="Q5" s="117">
        <v>15878</v>
      </c>
      <c r="R5" s="117">
        <f>36660</f>
        <v>36660</v>
      </c>
      <c r="S5" s="117">
        <v>20782</v>
      </c>
      <c r="T5" s="117">
        <v>-4505</v>
      </c>
      <c r="U5" s="42">
        <v>-8540</v>
      </c>
      <c r="V5" s="42">
        <f>T5-U5</f>
        <v>4035</v>
      </c>
    </row>
    <row r="6" spans="2:22" s="43" customFormat="1" ht="15" customHeight="1">
      <c r="B6" s="116" t="s">
        <v>18</v>
      </c>
      <c r="C6" s="117">
        <v>12597</v>
      </c>
      <c r="D6" s="117">
        <v>11846</v>
      </c>
      <c r="E6" s="117"/>
      <c r="F6" s="117">
        <v>11846</v>
      </c>
      <c r="G6" s="118">
        <v>11422</v>
      </c>
      <c r="H6" s="119">
        <f>C6/D6-1</f>
        <v>6.3396927232821199E-2</v>
      </c>
      <c r="I6" s="120">
        <f>(C6/G6)-1</f>
        <v>0.10287165119943964</v>
      </c>
      <c r="J6" s="117">
        <v>46909</v>
      </c>
      <c r="K6" s="118">
        <v>16912</v>
      </c>
      <c r="L6" s="120">
        <f>J6/K6-1</f>
        <v>1.7737109744560078</v>
      </c>
      <c r="M6" s="118"/>
      <c r="N6" s="117">
        <v>1832</v>
      </c>
      <c r="O6" s="117">
        <v>1831</v>
      </c>
      <c r="P6" s="117">
        <v>1827</v>
      </c>
      <c r="Q6" s="117">
        <f>R6-S6</f>
        <v>11422</v>
      </c>
      <c r="R6" s="117">
        <v>16912</v>
      </c>
      <c r="S6" s="117">
        <v>5490</v>
      </c>
      <c r="T6" s="117">
        <v>4403</v>
      </c>
      <c r="U6" s="42">
        <v>2526</v>
      </c>
      <c r="V6" s="42">
        <f>T6-U6</f>
        <v>1877</v>
      </c>
    </row>
    <row r="7" spans="2:22" s="43" customFormat="1" ht="15" customHeight="1">
      <c r="B7" s="121" t="s">
        <v>19</v>
      </c>
      <c r="C7" s="117">
        <v>9699</v>
      </c>
      <c r="D7" s="117">
        <v>9484</v>
      </c>
      <c r="E7" s="117"/>
      <c r="F7" s="117">
        <v>9484</v>
      </c>
      <c r="G7" s="118">
        <v>8141</v>
      </c>
      <c r="H7" s="119">
        <f>C7/D7-1</f>
        <v>2.266975959510753E-2</v>
      </c>
      <c r="I7" s="120">
        <f>(C7/G7)-1</f>
        <v>0.19137698071489995</v>
      </c>
      <c r="J7" s="118">
        <v>37537</v>
      </c>
      <c r="K7" s="118">
        <v>8140</v>
      </c>
      <c r="L7" s="120">
        <f>J7/K7-1</f>
        <v>3.6114250614250611</v>
      </c>
      <c r="M7" s="118"/>
      <c r="N7" s="117">
        <v>0</v>
      </c>
      <c r="O7" s="117">
        <v>0</v>
      </c>
      <c r="P7" s="117"/>
      <c r="Q7" s="117">
        <v>8140</v>
      </c>
      <c r="R7" s="117">
        <f>SUM(N7:Q7)</f>
        <v>8140</v>
      </c>
      <c r="S7" s="117"/>
      <c r="T7" s="117"/>
      <c r="U7" s="42"/>
      <c r="V7" s="42"/>
    </row>
    <row r="8" spans="2:22" s="43" customFormat="1" ht="15" customHeight="1">
      <c r="B8" s="121" t="s">
        <v>20</v>
      </c>
      <c r="C8" s="117">
        <v>2898</v>
      </c>
      <c r="D8" s="117">
        <v>2362</v>
      </c>
      <c r="E8" s="117"/>
      <c r="F8" s="117">
        <v>2362</v>
      </c>
      <c r="G8" s="118">
        <v>3281</v>
      </c>
      <c r="H8" s="119">
        <f>C8/D8-1</f>
        <v>0.22692633361558001</v>
      </c>
      <c r="I8" s="120">
        <f>(C8/G8)-1</f>
        <v>-0.11673270344407194</v>
      </c>
      <c r="J8" s="118">
        <v>9372</v>
      </c>
      <c r="K8" s="118">
        <v>8772</v>
      </c>
      <c r="L8" s="120">
        <f>J8/K8-1</f>
        <v>6.8399452804377647E-2</v>
      </c>
      <c r="M8" s="118"/>
      <c r="N8" s="117">
        <v>1832</v>
      </c>
      <c r="O8" s="117">
        <v>1831</v>
      </c>
      <c r="P8" s="117">
        <v>1827</v>
      </c>
      <c r="Q8" s="117">
        <v>3282</v>
      </c>
      <c r="R8" s="117">
        <f>SUM(N8:Q8)</f>
        <v>8772</v>
      </c>
      <c r="S8" s="117">
        <f>S6</f>
        <v>5490</v>
      </c>
      <c r="T8" s="117"/>
      <c r="U8" s="42"/>
      <c r="V8" s="42"/>
    </row>
    <row r="9" spans="2:22" s="43" customFormat="1" ht="7.5" customHeight="1">
      <c r="B9" s="122"/>
      <c r="C9" s="117"/>
      <c r="D9" s="117"/>
      <c r="E9" s="117"/>
      <c r="F9" s="117"/>
      <c r="G9" s="118"/>
      <c r="H9" s="117"/>
      <c r="I9" s="120"/>
      <c r="J9" s="117"/>
      <c r="K9" s="118"/>
      <c r="L9" s="120"/>
      <c r="M9" s="118"/>
      <c r="N9" s="117"/>
      <c r="O9" s="117"/>
      <c r="P9" s="117"/>
      <c r="Q9" s="117"/>
      <c r="R9" s="117"/>
      <c r="S9" s="117"/>
      <c r="T9" s="117"/>
      <c r="U9" s="42"/>
      <c r="V9" s="42"/>
    </row>
    <row r="10" spans="2:22" s="43" customFormat="1" ht="15" customHeight="1">
      <c r="B10" s="128" t="s">
        <v>21</v>
      </c>
      <c r="C10" s="129">
        <f>C3+C4+C5+C6</f>
        <v>47813</v>
      </c>
      <c r="D10" s="129">
        <v>19690</v>
      </c>
      <c r="E10" s="129"/>
      <c r="F10" s="129">
        <v>19690</v>
      </c>
      <c r="G10" s="130">
        <v>40379</v>
      </c>
      <c r="H10" s="131">
        <f>(C10/D10)-1</f>
        <v>1.4282884713052311</v>
      </c>
      <c r="I10" s="132">
        <f>(C10/G10)-1</f>
        <v>0.18410559944525628</v>
      </c>
      <c r="J10" s="129">
        <f>J3+J4+J5+J6</f>
        <v>183199</v>
      </c>
      <c r="K10" s="130">
        <v>407187</v>
      </c>
      <c r="L10" s="132">
        <f>(J10/K10)-1</f>
        <v>-0.55008632397399726</v>
      </c>
      <c r="M10" s="133"/>
      <c r="N10" s="129">
        <f>N3+N4+N5+N6</f>
        <v>474</v>
      </c>
      <c r="O10" s="129">
        <v>-4169</v>
      </c>
      <c r="P10" s="129">
        <f t="shared" ref="P10:V12" si="0">P3+P4+P5+P6</f>
        <v>370503</v>
      </c>
      <c r="Q10" s="129">
        <f t="shared" si="0"/>
        <v>40379</v>
      </c>
      <c r="R10" s="129">
        <f t="shared" si="0"/>
        <v>407187</v>
      </c>
      <c r="S10" s="129">
        <f t="shared" si="0"/>
        <v>366809</v>
      </c>
      <c r="T10" s="129">
        <f t="shared" si="0"/>
        <v>37286</v>
      </c>
      <c r="U10" s="134">
        <f t="shared" si="0"/>
        <v>23267</v>
      </c>
      <c r="V10" s="134">
        <f t="shared" si="0"/>
        <v>14019</v>
      </c>
    </row>
    <row r="11" spans="2:22" s="43" customFormat="1" ht="15" customHeight="1">
      <c r="B11" s="128" t="s">
        <v>13</v>
      </c>
      <c r="C11" s="129">
        <f>C4+C5+C6+C7</f>
        <v>39005</v>
      </c>
      <c r="D11" s="129">
        <v>19690</v>
      </c>
      <c r="E11" s="129"/>
      <c r="F11" s="129">
        <v>19690</v>
      </c>
      <c r="G11" s="130">
        <v>40379</v>
      </c>
      <c r="H11" s="131">
        <f>(C11/D11)-1</f>
        <v>0.98095479939055363</v>
      </c>
      <c r="I11" s="132">
        <f>(C11/G11)-1</f>
        <v>-3.4027588598033676E-2</v>
      </c>
      <c r="J11" s="129" t="e">
        <f>'12. Net Debt'!#REF!</f>
        <v>#REF!</v>
      </c>
      <c r="K11" s="130" t="e">
        <f>'12. Net Debt'!#REF!</f>
        <v>#REF!</v>
      </c>
      <c r="L11" s="132" t="e">
        <f>(J11/K11)-1</f>
        <v>#REF!</v>
      </c>
      <c r="M11" s="133"/>
      <c r="N11" s="129">
        <f>N4+N5+N6+N7</f>
        <v>-321</v>
      </c>
      <c r="O11" s="129">
        <v>-4169</v>
      </c>
      <c r="P11" s="129">
        <f t="shared" si="0"/>
        <v>16236</v>
      </c>
      <c r="Q11" s="129">
        <f t="shared" si="0"/>
        <v>31174</v>
      </c>
      <c r="R11" s="129">
        <f t="shared" si="0"/>
        <v>55255</v>
      </c>
      <c r="S11" s="129">
        <f t="shared" si="0"/>
        <v>24082</v>
      </c>
      <c r="T11" s="129">
        <f t="shared" si="0"/>
        <v>-1996</v>
      </c>
      <c r="U11" s="134">
        <f t="shared" si="0"/>
        <v>-7221</v>
      </c>
      <c r="V11" s="134">
        <f t="shared" si="0"/>
        <v>5225</v>
      </c>
    </row>
    <row r="12" spans="2:22" s="44" customFormat="1" ht="15" customHeight="1">
      <c r="B12" s="110" t="s">
        <v>103</v>
      </c>
      <c r="C12" s="111">
        <f>C5+C6+C7+C8</f>
        <v>39799</v>
      </c>
      <c r="D12" s="111">
        <v>19690</v>
      </c>
      <c r="E12" s="111"/>
      <c r="F12" s="111">
        <v>19690</v>
      </c>
      <c r="G12" s="112">
        <v>40379</v>
      </c>
      <c r="H12" s="113">
        <f>(C12/D12)-1</f>
        <v>1.0212798374809546</v>
      </c>
      <c r="I12" s="114">
        <f>(C12/G12)-1</f>
        <v>-1.4363902028282083E-2</v>
      </c>
      <c r="J12" s="127" t="e">
        <f>J11/J10</f>
        <v>#REF!</v>
      </c>
      <c r="K12" s="127" t="e">
        <f>K11/K10</f>
        <v>#REF!</v>
      </c>
      <c r="L12" s="114"/>
      <c r="M12" s="115"/>
      <c r="N12" s="111">
        <f>N5+N6+N7+N8</f>
        <v>2281</v>
      </c>
      <c r="O12" s="111">
        <v>-4169</v>
      </c>
      <c r="P12" s="111">
        <f t="shared" si="0"/>
        <v>18749</v>
      </c>
      <c r="Q12" s="111">
        <f t="shared" si="0"/>
        <v>38722</v>
      </c>
      <c r="R12" s="111">
        <f t="shared" si="0"/>
        <v>70484</v>
      </c>
      <c r="S12" s="111">
        <f t="shared" si="0"/>
        <v>31762</v>
      </c>
      <c r="T12" s="111">
        <f t="shared" si="0"/>
        <v>-102</v>
      </c>
      <c r="U12" s="104">
        <f t="shared" si="0"/>
        <v>-6014</v>
      </c>
      <c r="V12" s="104">
        <f t="shared" si="0"/>
        <v>5912</v>
      </c>
    </row>
    <row r="13" spans="2:22" s="44" customFormat="1" ht="6" customHeight="1">
      <c r="B13" s="123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5"/>
      <c r="N13" s="124"/>
      <c r="O13" s="124"/>
      <c r="P13" s="124"/>
      <c r="Q13" s="124"/>
      <c r="R13" s="124"/>
      <c r="S13" s="124"/>
      <c r="T13" s="124"/>
      <c r="U13" s="105"/>
      <c r="V13" s="105"/>
    </row>
    <row r="14" spans="2:22" s="43" customFormat="1" ht="15">
      <c r="B14" s="437" t="s">
        <v>22</v>
      </c>
      <c r="C14" s="437"/>
      <c r="D14" s="85"/>
      <c r="E14" s="85"/>
      <c r="F14" s="85"/>
      <c r="G14" s="2"/>
      <c r="H14" s="85"/>
      <c r="I14" s="2"/>
      <c r="J14" s="85"/>
      <c r="K14" s="85"/>
      <c r="L14" s="2"/>
      <c r="M14" s="2"/>
      <c r="N14" s="2"/>
      <c r="O14" s="2"/>
      <c r="P14" s="2"/>
      <c r="Q14" s="85"/>
      <c r="R14" s="85"/>
      <c r="S14" s="2"/>
      <c r="T14" s="85"/>
    </row>
    <row r="15" spans="2:22">
      <c r="C15" s="78"/>
      <c r="H15" s="85"/>
      <c r="J15" s="85"/>
      <c r="K15" s="85"/>
      <c r="P15" s="85"/>
    </row>
    <row r="16" spans="2:22">
      <c r="H16" s="85"/>
      <c r="J16" s="85"/>
      <c r="P16" s="85"/>
    </row>
    <row r="17" spans="2:17">
      <c r="D17" s="96"/>
      <c r="E17" s="96"/>
      <c r="F17" s="96"/>
      <c r="H17" s="85"/>
    </row>
    <row r="18" spans="2:17">
      <c r="C18" s="85"/>
      <c r="D18" s="126"/>
      <c r="E18" s="126"/>
      <c r="F18" s="126"/>
      <c r="J18" s="85"/>
      <c r="Q18" s="85"/>
    </row>
    <row r="19" spans="2:17">
      <c r="D19" s="78"/>
      <c r="E19" s="78"/>
      <c r="F19" s="78"/>
      <c r="G19" s="85"/>
      <c r="J19" s="85"/>
    </row>
    <row r="20" spans="2:17">
      <c r="B20" s="144">
        <v>42136</v>
      </c>
      <c r="C20" s="85"/>
      <c r="D20" s="78"/>
      <c r="E20" s="78"/>
      <c r="F20" s="78"/>
      <c r="J20" s="85"/>
    </row>
    <row r="21" spans="2:17">
      <c r="B21" s="144">
        <f>B20+365</f>
        <v>42501</v>
      </c>
      <c r="G21" s="96"/>
      <c r="J21" s="85"/>
    </row>
    <row r="22" spans="2:17">
      <c r="D22" s="8"/>
      <c r="E22" s="8"/>
      <c r="F22" s="8"/>
      <c r="J22" s="85"/>
    </row>
    <row r="23" spans="2:17">
      <c r="B23" s="78">
        <f>135000</f>
        <v>135000</v>
      </c>
      <c r="C23" s="85"/>
      <c r="G23" s="98"/>
    </row>
    <row r="24" spans="2:17">
      <c r="B24" s="78">
        <f>B23*((12.25%+1)^(1/252))</f>
        <v>135061.92045009692</v>
      </c>
      <c r="G24" s="97"/>
    </row>
    <row r="25" spans="2:17">
      <c r="J25" s="85"/>
      <c r="N25" s="85"/>
    </row>
    <row r="26" spans="2:17">
      <c r="D26" s="85"/>
      <c r="E26" s="85"/>
      <c r="F26" s="85"/>
    </row>
    <row r="28" spans="2:17">
      <c r="N28" s="85"/>
    </row>
    <row r="29" spans="2:17">
      <c r="N29" s="85"/>
    </row>
  </sheetData>
  <mergeCells count="1">
    <mergeCell ref="B14:C1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13"/>
  <dimension ref="A1:R254"/>
  <sheetViews>
    <sheetView showGridLines="0" topLeftCell="A227" workbookViewId="0">
      <selection activeCell="O249" sqref="O249"/>
    </sheetView>
  </sheetViews>
  <sheetFormatPr defaultColWidth="9.140625" defaultRowHeight="15"/>
  <cols>
    <col min="1" max="2" width="10.7109375" style="66" bestFit="1" customWidth="1"/>
    <col min="3" max="5" width="9.140625" style="67"/>
    <col min="6" max="6" width="9.140625" style="68"/>
    <col min="7" max="7" width="10.7109375" style="66" bestFit="1" customWidth="1"/>
    <col min="8" max="11" width="9.140625" style="68"/>
    <col min="12" max="12" width="9.42578125" style="68" customWidth="1"/>
    <col min="13" max="13" width="10.7109375" style="66" bestFit="1" customWidth="1"/>
    <col min="14" max="14" width="9.140625" style="68"/>
    <col min="15" max="17" width="9.140625" style="79"/>
    <col min="18" max="23" width="9.140625" style="68"/>
    <col min="24" max="24" width="9.140625" style="68" customWidth="1"/>
    <col min="25" max="16384" width="9.140625" style="68"/>
  </cols>
  <sheetData>
    <row r="1" spans="1:18">
      <c r="C1" s="67" t="s">
        <v>70</v>
      </c>
      <c r="H1" s="68" t="s">
        <v>71</v>
      </c>
      <c r="N1" s="68" t="s">
        <v>71</v>
      </c>
    </row>
    <row r="2" spans="1:18">
      <c r="C2" s="67" t="s">
        <v>72</v>
      </c>
      <c r="D2" s="67" t="s">
        <v>73</v>
      </c>
      <c r="E2" s="67" t="s">
        <v>74</v>
      </c>
      <c r="F2" s="68" t="s">
        <v>75</v>
      </c>
      <c r="H2" s="69" t="str">
        <f>C2</f>
        <v>UNIP3</v>
      </c>
      <c r="I2" s="69" t="str">
        <f>D2</f>
        <v>UNIP6</v>
      </c>
      <c r="J2" s="69" t="str">
        <f>E2</f>
        <v>UNIP5</v>
      </c>
      <c r="K2" s="69" t="str">
        <f>F2</f>
        <v>IBOV</v>
      </c>
      <c r="N2" s="69" t="str">
        <f>H2</f>
        <v>UNIP3</v>
      </c>
      <c r="O2" s="79" t="str">
        <f>I2</f>
        <v>UNIP6</v>
      </c>
      <c r="P2" s="79" t="str">
        <f>J2</f>
        <v>UNIP5</v>
      </c>
      <c r="Q2" s="79" t="str">
        <f>K2</f>
        <v>IBOV</v>
      </c>
    </row>
    <row r="3" spans="1:18">
      <c r="A3" s="66">
        <v>41456</v>
      </c>
      <c r="B3" s="66">
        <v>41456</v>
      </c>
      <c r="C3" s="67">
        <v>0.39600000000000002</v>
      </c>
      <c r="D3" s="67">
        <v>0.42199999999999999</v>
      </c>
      <c r="E3" s="67">
        <v>0.56599999999999995</v>
      </c>
      <c r="F3" s="68">
        <v>47229.59</v>
      </c>
      <c r="G3" s="66">
        <f>A3</f>
        <v>41456</v>
      </c>
      <c r="H3" s="67">
        <v>1</v>
      </c>
      <c r="M3" s="66">
        <f>A3</f>
        <v>41456</v>
      </c>
      <c r="N3" s="68">
        <v>100</v>
      </c>
      <c r="O3" s="79">
        <v>100</v>
      </c>
      <c r="P3" s="79">
        <v>100</v>
      </c>
      <c r="Q3" s="79">
        <v>100</v>
      </c>
    </row>
    <row r="4" spans="1:18">
      <c r="A4" s="66">
        <v>41457</v>
      </c>
      <c r="B4" s="66">
        <v>41457</v>
      </c>
      <c r="C4" s="67">
        <v>0.40600000000000003</v>
      </c>
      <c r="D4" s="67">
        <v>0.41199999999999998</v>
      </c>
      <c r="E4" s="67">
        <v>0.57499999999999996</v>
      </c>
      <c r="F4" s="68">
        <v>45228.95</v>
      </c>
      <c r="G4" s="66">
        <f t="shared" ref="G4:G67" si="0">A4</f>
        <v>41457</v>
      </c>
      <c r="H4" s="70">
        <f>LN(C4/C3)</f>
        <v>2.4938948347252146E-2</v>
      </c>
      <c r="I4" s="70">
        <f>LN(D4/D3)</f>
        <v>-2.3981964686485439E-2</v>
      </c>
      <c r="J4" s="70">
        <f>LN(E4/E3)</f>
        <v>1.5775962594167615E-2</v>
      </c>
      <c r="K4" s="70">
        <f>LN(F4/F3)</f>
        <v>-4.3283234407439135E-2</v>
      </c>
      <c r="L4" s="69"/>
      <c r="M4" s="66">
        <f t="shared" ref="M4:M67" si="1">A4</f>
        <v>41457</v>
      </c>
      <c r="N4" s="81">
        <f>C4/C3*N3</f>
        <v>102.52525252525253</v>
      </c>
      <c r="O4" s="81">
        <f>D4/D3*O3</f>
        <v>97.630331753554501</v>
      </c>
      <c r="P4" s="81">
        <f>E4/E3*P3</f>
        <v>101.59010600706715</v>
      </c>
      <c r="Q4" s="81">
        <f>F4/F3*Q3</f>
        <v>95.764011502111273</v>
      </c>
      <c r="R4" s="68">
        <f>C4/C3</f>
        <v>1.0252525252525253</v>
      </c>
    </row>
    <row r="5" spans="1:18">
      <c r="A5" s="66">
        <v>41458</v>
      </c>
      <c r="B5" s="66">
        <v>41458</v>
      </c>
      <c r="C5" s="67">
        <v>0.42499999999999999</v>
      </c>
      <c r="D5" s="67">
        <v>0.42199999999999999</v>
      </c>
      <c r="E5" s="71">
        <v>0.78</v>
      </c>
      <c r="F5" s="68">
        <v>45044.03</v>
      </c>
      <c r="G5" s="66">
        <f t="shared" si="0"/>
        <v>41458</v>
      </c>
      <c r="H5" s="70">
        <f t="shared" ref="H5:K68" si="2">LN(C5/C4)</f>
        <v>4.5736009322684082E-2</v>
      </c>
      <c r="I5" s="70">
        <f t="shared" si="2"/>
        <v>2.3981964686485405E-2</v>
      </c>
      <c r="J5" s="70">
        <f t="shared" si="2"/>
        <v>0.30492387888628708</v>
      </c>
      <c r="K5" s="70">
        <f t="shared" si="2"/>
        <v>-4.0969126897562151E-3</v>
      </c>
      <c r="L5" s="69"/>
      <c r="M5" s="66">
        <f t="shared" si="1"/>
        <v>41458</v>
      </c>
      <c r="N5" s="81">
        <f t="shared" ref="N5:Q20" si="3">C5/C4*N4</f>
        <v>107.32323232323232</v>
      </c>
      <c r="O5" s="81">
        <f t="shared" si="3"/>
        <v>100</v>
      </c>
      <c r="P5" s="81">
        <f t="shared" si="3"/>
        <v>137.80918727915198</v>
      </c>
      <c r="Q5" s="81">
        <f t="shared" si="3"/>
        <v>95.372477296542272</v>
      </c>
    </row>
    <row r="6" spans="1:18">
      <c r="A6" s="66">
        <v>41459</v>
      </c>
      <c r="B6" s="66">
        <v>41459</v>
      </c>
      <c r="C6" s="67">
        <v>0.435</v>
      </c>
      <c r="D6" s="67">
        <v>0.43099999999999999</v>
      </c>
      <c r="E6" s="71">
        <v>0.77</v>
      </c>
      <c r="F6" s="68">
        <v>45763.16</v>
      </c>
      <c r="G6" s="66">
        <f t="shared" si="0"/>
        <v>41459</v>
      </c>
      <c r="H6" s="70">
        <f t="shared" si="2"/>
        <v>2.3256862164267183E-2</v>
      </c>
      <c r="I6" s="70">
        <f t="shared" si="2"/>
        <v>2.1102776067736036E-2</v>
      </c>
      <c r="J6" s="70">
        <f t="shared" si="2"/>
        <v>-1.2903404835907954E-2</v>
      </c>
      <c r="K6" s="70">
        <f t="shared" si="2"/>
        <v>1.5838944781337655E-2</v>
      </c>
      <c r="L6" s="69"/>
      <c r="M6" s="66">
        <f t="shared" si="1"/>
        <v>41459</v>
      </c>
      <c r="N6" s="81">
        <f t="shared" si="3"/>
        <v>109.84848484848483</v>
      </c>
      <c r="O6" s="81">
        <f t="shared" si="3"/>
        <v>102.13270142180096</v>
      </c>
      <c r="P6" s="81">
        <f t="shared" si="3"/>
        <v>136.04240282685515</v>
      </c>
      <c r="Q6" s="81">
        <f t="shared" si="3"/>
        <v>96.895103260477171</v>
      </c>
    </row>
    <row r="7" spans="1:18">
      <c r="A7" s="66">
        <v>41460</v>
      </c>
      <c r="B7" s="66">
        <v>41460</v>
      </c>
      <c r="C7" s="67">
        <v>0.44400000000000001</v>
      </c>
      <c r="D7" s="67">
        <v>0.441</v>
      </c>
      <c r="E7" s="71">
        <v>0.77</v>
      </c>
      <c r="F7" s="68">
        <v>45210.49</v>
      </c>
      <c r="G7" s="66">
        <f t="shared" si="0"/>
        <v>41460</v>
      </c>
      <c r="H7" s="70">
        <f t="shared" si="2"/>
        <v>2.0478531343540701E-2</v>
      </c>
      <c r="I7" s="70">
        <f t="shared" si="2"/>
        <v>2.2936785343098232E-2</v>
      </c>
      <c r="J7" s="70">
        <f t="shared" si="2"/>
        <v>0</v>
      </c>
      <c r="K7" s="70">
        <f t="shared" si="2"/>
        <v>-1.2150261073458473E-2</v>
      </c>
      <c r="L7" s="69"/>
      <c r="M7" s="66">
        <f t="shared" si="1"/>
        <v>41460</v>
      </c>
      <c r="N7" s="81">
        <f t="shared" si="3"/>
        <v>112.12121212121211</v>
      </c>
      <c r="O7" s="81">
        <f t="shared" si="3"/>
        <v>104.50236966824646</v>
      </c>
      <c r="P7" s="81">
        <f t="shared" si="3"/>
        <v>136.04240282685515</v>
      </c>
      <c r="Q7" s="81">
        <f t="shared" si="3"/>
        <v>95.724925835689007</v>
      </c>
    </row>
    <row r="8" spans="1:18">
      <c r="A8" s="66">
        <v>41463</v>
      </c>
      <c r="B8" s="66">
        <v>41463</v>
      </c>
      <c r="C8" s="67">
        <v>0.435</v>
      </c>
      <c r="D8" s="67">
        <v>0.45100000000000001</v>
      </c>
      <c r="E8" s="71">
        <v>0.73299999999999998</v>
      </c>
      <c r="F8" s="68">
        <v>45075.5</v>
      </c>
      <c r="G8" s="66">
        <f t="shared" si="0"/>
        <v>41463</v>
      </c>
      <c r="H8" s="70">
        <f t="shared" si="2"/>
        <v>-2.0478531343540676E-2</v>
      </c>
      <c r="I8" s="70">
        <f t="shared" si="2"/>
        <v>2.2422464055832307E-2</v>
      </c>
      <c r="J8" s="70">
        <f t="shared" si="2"/>
        <v>-4.9244812961078119E-2</v>
      </c>
      <c r="K8" s="70">
        <f t="shared" si="2"/>
        <v>-2.9902779066243784E-3</v>
      </c>
      <c r="L8" s="69"/>
      <c r="M8" s="66">
        <f t="shared" si="1"/>
        <v>41463</v>
      </c>
      <c r="N8" s="81">
        <f t="shared" si="3"/>
        <v>109.84848484848483</v>
      </c>
      <c r="O8" s="81">
        <f t="shared" si="3"/>
        <v>106.87203791469196</v>
      </c>
      <c r="P8" s="81">
        <f t="shared" si="3"/>
        <v>129.50530035335692</v>
      </c>
      <c r="Q8" s="81">
        <f t="shared" si="3"/>
        <v>95.439109253330358</v>
      </c>
    </row>
    <row r="9" spans="1:18">
      <c r="A9" s="66">
        <v>41465</v>
      </c>
      <c r="B9" s="66">
        <v>41465</v>
      </c>
      <c r="C9" s="67">
        <v>0.41499999999999998</v>
      </c>
      <c r="D9" s="67">
        <v>0.45100000000000001</v>
      </c>
      <c r="E9" s="71">
        <v>0.73299999999999998</v>
      </c>
      <c r="F9" s="68">
        <v>45483.43</v>
      </c>
      <c r="G9" s="66">
        <f t="shared" si="0"/>
        <v>41465</v>
      </c>
      <c r="H9" s="70">
        <f t="shared" si="2"/>
        <v>-4.7067510857985856E-2</v>
      </c>
      <c r="I9" s="70">
        <f t="shared" si="2"/>
        <v>0</v>
      </c>
      <c r="J9" s="70">
        <f t="shared" si="2"/>
        <v>0</v>
      </c>
      <c r="K9" s="70">
        <f t="shared" si="2"/>
        <v>9.009222153345901E-3</v>
      </c>
      <c r="L9" s="69"/>
      <c r="M9" s="66">
        <f t="shared" si="1"/>
        <v>41465</v>
      </c>
      <c r="N9" s="81">
        <f t="shared" si="3"/>
        <v>104.79797979797978</v>
      </c>
      <c r="O9" s="81">
        <f t="shared" si="3"/>
        <v>106.87203791469196</v>
      </c>
      <c r="P9" s="81">
        <f t="shared" si="3"/>
        <v>129.50530035335692</v>
      </c>
      <c r="Q9" s="81">
        <f t="shared" si="3"/>
        <v>96.302826257860787</v>
      </c>
    </row>
    <row r="10" spans="1:18">
      <c r="A10" s="66">
        <v>41466</v>
      </c>
      <c r="B10" s="66">
        <v>41466</v>
      </c>
      <c r="C10" s="67">
        <v>0.40600000000000003</v>
      </c>
      <c r="D10" s="67">
        <v>0.45100000000000001</v>
      </c>
      <c r="E10" s="67">
        <v>0.73299999999999998</v>
      </c>
      <c r="F10" s="68">
        <v>46626.26</v>
      </c>
      <c r="G10" s="66">
        <f t="shared" si="0"/>
        <v>41466</v>
      </c>
      <c r="H10" s="70">
        <f t="shared" si="2"/>
        <v>-2.1925360628965548E-2</v>
      </c>
      <c r="I10" s="70">
        <f t="shared" si="2"/>
        <v>0</v>
      </c>
      <c r="J10" s="70">
        <f t="shared" si="2"/>
        <v>0</v>
      </c>
      <c r="K10" s="70">
        <f t="shared" si="2"/>
        <v>2.4815817922911251E-2</v>
      </c>
      <c r="L10" s="69"/>
      <c r="M10" s="66">
        <f t="shared" si="1"/>
        <v>41466</v>
      </c>
      <c r="N10" s="81">
        <f t="shared" si="3"/>
        <v>102.52525252525251</v>
      </c>
      <c r="O10" s="81">
        <f t="shared" si="3"/>
        <v>106.87203791469196</v>
      </c>
      <c r="P10" s="81">
        <f t="shared" si="3"/>
        <v>129.50530035335692</v>
      </c>
      <c r="Q10" s="81">
        <f t="shared" si="3"/>
        <v>98.722559310804925</v>
      </c>
    </row>
    <row r="11" spans="1:18">
      <c r="A11" s="66">
        <v>41467</v>
      </c>
      <c r="B11" s="66">
        <v>41467</v>
      </c>
      <c r="C11" s="67">
        <v>0.40600000000000003</v>
      </c>
      <c r="D11" s="67">
        <v>0.43099999999999999</v>
      </c>
      <c r="E11" s="71">
        <v>0.73299999999999998</v>
      </c>
      <c r="F11" s="68">
        <v>45533.24</v>
      </c>
      <c r="G11" s="66">
        <f t="shared" si="0"/>
        <v>41467</v>
      </c>
      <c r="H11" s="70">
        <f t="shared" si="2"/>
        <v>0</v>
      </c>
      <c r="I11" s="70">
        <f t="shared" si="2"/>
        <v>-4.5359249398930643E-2</v>
      </c>
      <c r="J11" s="70">
        <f t="shared" si="2"/>
        <v>0</v>
      </c>
      <c r="K11" s="70">
        <f t="shared" si="2"/>
        <v>-2.3721293041422328E-2</v>
      </c>
      <c r="L11" s="69"/>
      <c r="M11" s="66">
        <f t="shared" si="1"/>
        <v>41467</v>
      </c>
      <c r="N11" s="81">
        <f t="shared" si="3"/>
        <v>102.52525252525251</v>
      </c>
      <c r="O11" s="81">
        <f t="shared" si="3"/>
        <v>102.13270142180096</v>
      </c>
      <c r="P11" s="81">
        <f t="shared" si="3"/>
        <v>129.50530035335692</v>
      </c>
      <c r="Q11" s="81">
        <f t="shared" si="3"/>
        <v>96.408289803066225</v>
      </c>
    </row>
    <row r="12" spans="1:18">
      <c r="A12" s="66">
        <v>41470</v>
      </c>
      <c r="B12" s="66">
        <v>41470</v>
      </c>
      <c r="C12" s="67">
        <v>0.40600000000000003</v>
      </c>
      <c r="D12" s="67">
        <v>0.43099999999999999</v>
      </c>
      <c r="E12" s="67">
        <v>0.78</v>
      </c>
      <c r="F12" s="68">
        <v>46738.9</v>
      </c>
      <c r="G12" s="66">
        <f t="shared" si="0"/>
        <v>41470</v>
      </c>
      <c r="H12" s="70">
        <f t="shared" si="2"/>
        <v>0</v>
      </c>
      <c r="I12" s="70">
        <f t="shared" si="2"/>
        <v>0</v>
      </c>
      <c r="J12" s="70">
        <f t="shared" si="2"/>
        <v>6.2148217796986087E-2</v>
      </c>
      <c r="K12" s="70">
        <f t="shared" si="2"/>
        <v>2.6134185701803248E-2</v>
      </c>
      <c r="L12" s="69"/>
      <c r="M12" s="66">
        <f t="shared" si="1"/>
        <v>41470</v>
      </c>
      <c r="N12" s="81">
        <f t="shared" si="3"/>
        <v>102.52525252525251</v>
      </c>
      <c r="O12" s="81">
        <f t="shared" si="3"/>
        <v>102.13270142180096</v>
      </c>
      <c r="P12" s="81">
        <f t="shared" si="3"/>
        <v>137.80918727915198</v>
      </c>
      <c r="Q12" s="81">
        <f t="shared" si="3"/>
        <v>98.961053864748749</v>
      </c>
    </row>
    <row r="13" spans="1:18">
      <c r="A13" s="66">
        <v>41471</v>
      </c>
      <c r="B13" s="66">
        <v>41471</v>
      </c>
      <c r="C13" s="67">
        <v>0.42499999999999999</v>
      </c>
      <c r="D13" s="67">
        <v>0.43099999999999999</v>
      </c>
      <c r="E13" s="67">
        <v>0.69599999999999995</v>
      </c>
      <c r="F13" s="68">
        <v>46869.29</v>
      </c>
      <c r="G13" s="66">
        <f t="shared" si="0"/>
        <v>41471</v>
      </c>
      <c r="H13" s="70">
        <f t="shared" si="2"/>
        <v>4.5736009322684082E-2</v>
      </c>
      <c r="I13" s="70">
        <f t="shared" si="2"/>
        <v>0</v>
      </c>
      <c r="J13" s="70">
        <f t="shared" si="2"/>
        <v>-0.11394425934921784</v>
      </c>
      <c r="K13" s="70">
        <f t="shared" si="2"/>
        <v>2.7858691494931855E-3</v>
      </c>
      <c r="L13" s="69"/>
      <c r="M13" s="66">
        <f t="shared" si="1"/>
        <v>41471</v>
      </c>
      <c r="N13" s="81">
        <f t="shared" si="3"/>
        <v>107.3232323232323</v>
      </c>
      <c r="O13" s="81">
        <f t="shared" si="3"/>
        <v>102.13270142180096</v>
      </c>
      <c r="P13" s="81">
        <f t="shared" si="3"/>
        <v>122.96819787985869</v>
      </c>
      <c r="Q13" s="81">
        <f t="shared" si="3"/>
        <v>99.237130790252436</v>
      </c>
    </row>
    <row r="14" spans="1:18">
      <c r="A14" s="66">
        <v>41472</v>
      </c>
      <c r="B14" s="66">
        <v>41472</v>
      </c>
      <c r="C14" s="71">
        <v>0.44400000000000001</v>
      </c>
      <c r="D14" s="67">
        <v>0.42199999999999999</v>
      </c>
      <c r="E14" s="67">
        <v>0.69599999999999995</v>
      </c>
      <c r="F14" s="68">
        <v>47407.31</v>
      </c>
      <c r="G14" s="66">
        <f t="shared" si="0"/>
        <v>41472</v>
      </c>
      <c r="H14" s="70">
        <f t="shared" si="2"/>
        <v>4.3735393507807897E-2</v>
      </c>
      <c r="I14" s="70">
        <f t="shared" si="2"/>
        <v>-2.1102776067736053E-2</v>
      </c>
      <c r="J14" s="70">
        <f t="shared" si="2"/>
        <v>0</v>
      </c>
      <c r="K14" s="70">
        <f t="shared" si="2"/>
        <v>1.1413772682328009E-2</v>
      </c>
      <c r="L14" s="69"/>
      <c r="M14" s="66">
        <f t="shared" si="1"/>
        <v>41472</v>
      </c>
      <c r="N14" s="81">
        <f t="shared" si="3"/>
        <v>112.1212121212121</v>
      </c>
      <c r="O14" s="81">
        <f t="shared" si="3"/>
        <v>100</v>
      </c>
      <c r="P14" s="81">
        <f t="shared" si="3"/>
        <v>122.96819787985869</v>
      </c>
      <c r="Q14" s="81">
        <f t="shared" si="3"/>
        <v>100.37628952527427</v>
      </c>
    </row>
    <row r="15" spans="1:18">
      <c r="A15" s="66">
        <v>41473</v>
      </c>
      <c r="B15" s="66">
        <v>41473</v>
      </c>
      <c r="C15" s="71">
        <v>0.44400000000000001</v>
      </c>
      <c r="D15" s="67">
        <v>0.43099999999999999</v>
      </c>
      <c r="E15" s="71">
        <v>0.70499999999999996</v>
      </c>
      <c r="F15" s="68">
        <v>47656.92</v>
      </c>
      <c r="G15" s="66">
        <f t="shared" si="0"/>
        <v>41473</v>
      </c>
      <c r="H15" s="70">
        <f t="shared" si="2"/>
        <v>0</v>
      </c>
      <c r="I15" s="70">
        <f t="shared" si="2"/>
        <v>2.1102776067736036E-2</v>
      </c>
      <c r="J15" s="70">
        <f t="shared" si="2"/>
        <v>1.2848142477849059E-2</v>
      </c>
      <c r="K15" s="70">
        <f t="shared" si="2"/>
        <v>5.251408939628905E-3</v>
      </c>
      <c r="L15" s="69"/>
      <c r="M15" s="66">
        <f t="shared" si="1"/>
        <v>41473</v>
      </c>
      <c r="N15" s="81">
        <f t="shared" si="3"/>
        <v>112.1212121212121</v>
      </c>
      <c r="O15" s="81">
        <f t="shared" si="3"/>
        <v>102.13270142180096</v>
      </c>
      <c r="P15" s="81">
        <f t="shared" si="3"/>
        <v>124.55830388692584</v>
      </c>
      <c r="Q15" s="81">
        <f t="shared" si="3"/>
        <v>100.90479294865779</v>
      </c>
    </row>
    <row r="16" spans="1:18">
      <c r="A16" s="66">
        <v>41474</v>
      </c>
      <c r="B16" s="66">
        <v>41474</v>
      </c>
      <c r="C16" s="67">
        <v>0.435</v>
      </c>
      <c r="D16" s="67">
        <v>0.43099999999999999</v>
      </c>
      <c r="E16" s="71">
        <v>0.72399999999999998</v>
      </c>
      <c r="F16" s="68">
        <v>47400.23</v>
      </c>
      <c r="G16" s="66">
        <f t="shared" si="0"/>
        <v>41474</v>
      </c>
      <c r="H16" s="70">
        <f t="shared" si="2"/>
        <v>-2.0478531343540676E-2</v>
      </c>
      <c r="I16" s="70">
        <f t="shared" si="2"/>
        <v>0</v>
      </c>
      <c r="J16" s="70">
        <f t="shared" si="2"/>
        <v>2.6593589573447644E-2</v>
      </c>
      <c r="K16" s="70">
        <f t="shared" si="2"/>
        <v>-5.4007641494182674E-3</v>
      </c>
      <c r="L16" s="69"/>
      <c r="M16" s="66">
        <f t="shared" si="1"/>
        <v>41474</v>
      </c>
      <c r="N16" s="81">
        <f t="shared" si="3"/>
        <v>109.84848484848482</v>
      </c>
      <c r="O16" s="81">
        <f t="shared" si="3"/>
        <v>102.13270142180096</v>
      </c>
      <c r="P16" s="81">
        <f t="shared" si="3"/>
        <v>127.91519434628979</v>
      </c>
      <c r="Q16" s="81">
        <f t="shared" si="3"/>
        <v>100.36129892298449</v>
      </c>
    </row>
    <row r="17" spans="1:17">
      <c r="A17" s="66">
        <v>41477</v>
      </c>
      <c r="B17" s="66">
        <v>41477</v>
      </c>
      <c r="C17" s="67">
        <v>0.435</v>
      </c>
      <c r="D17" s="67">
        <v>0.43099999999999999</v>
      </c>
      <c r="E17" s="67">
        <v>0.78</v>
      </c>
      <c r="F17" s="68">
        <v>48574.09</v>
      </c>
      <c r="G17" s="66">
        <f t="shared" si="0"/>
        <v>41477</v>
      </c>
      <c r="H17" s="70">
        <f t="shared" si="2"/>
        <v>0</v>
      </c>
      <c r="I17" s="70">
        <f t="shared" si="2"/>
        <v>0</v>
      </c>
      <c r="J17" s="70">
        <f t="shared" si="2"/>
        <v>7.4502527297921076E-2</v>
      </c>
      <c r="K17" s="70">
        <f t="shared" si="2"/>
        <v>2.4463180161464305E-2</v>
      </c>
      <c r="L17" s="69"/>
      <c r="M17" s="66">
        <f t="shared" si="1"/>
        <v>41477</v>
      </c>
      <c r="N17" s="81">
        <f t="shared" si="3"/>
        <v>109.84848484848482</v>
      </c>
      <c r="O17" s="81">
        <f t="shared" si="3"/>
        <v>102.13270142180096</v>
      </c>
      <c r="P17" s="81">
        <f t="shared" si="3"/>
        <v>137.80918727915198</v>
      </c>
      <c r="Q17" s="81">
        <f t="shared" si="3"/>
        <v>102.84673231336537</v>
      </c>
    </row>
    <row r="18" spans="1:17">
      <c r="A18" s="66">
        <v>41478</v>
      </c>
      <c r="B18" s="66">
        <v>41478</v>
      </c>
      <c r="C18" s="67">
        <v>0.435</v>
      </c>
      <c r="D18" s="67">
        <v>0.43099999999999999</v>
      </c>
      <c r="E18" s="71">
        <v>0.74299999999999999</v>
      </c>
      <c r="F18" s="68">
        <v>48819.519999999997</v>
      </c>
      <c r="G18" s="66">
        <f t="shared" si="0"/>
        <v>41478</v>
      </c>
      <c r="H18" s="70">
        <f t="shared" si="2"/>
        <v>0</v>
      </c>
      <c r="I18" s="70">
        <f t="shared" si="2"/>
        <v>0</v>
      </c>
      <c r="J18" s="70">
        <f t="shared" si="2"/>
        <v>-4.8597874965878314E-2</v>
      </c>
      <c r="K18" s="70">
        <f t="shared" si="2"/>
        <v>5.0399717090303933E-3</v>
      </c>
      <c r="L18" s="69"/>
      <c r="M18" s="66">
        <f t="shared" si="1"/>
        <v>41478</v>
      </c>
      <c r="N18" s="81">
        <f t="shared" si="3"/>
        <v>109.84848484848482</v>
      </c>
      <c r="O18" s="81">
        <f t="shared" si="3"/>
        <v>102.13270142180096</v>
      </c>
      <c r="P18" s="81">
        <f t="shared" si="3"/>
        <v>131.27208480565375</v>
      </c>
      <c r="Q18" s="81">
        <f t="shared" si="3"/>
        <v>103.36638535291112</v>
      </c>
    </row>
    <row r="19" spans="1:17">
      <c r="A19" s="66">
        <v>41479</v>
      </c>
      <c r="B19" s="66">
        <v>41479</v>
      </c>
      <c r="C19" s="67">
        <v>0.46400000000000002</v>
      </c>
      <c r="D19" s="67">
        <v>0.43099999999999999</v>
      </c>
      <c r="E19" s="67">
        <v>0.74299999999999999</v>
      </c>
      <c r="F19" s="68">
        <v>48374.23</v>
      </c>
      <c r="G19" s="66">
        <f t="shared" si="0"/>
        <v>41479</v>
      </c>
      <c r="H19" s="70">
        <f t="shared" si="2"/>
        <v>6.4538521137571164E-2</v>
      </c>
      <c r="I19" s="70">
        <f t="shared" si="2"/>
        <v>0</v>
      </c>
      <c r="J19" s="70">
        <f t="shared" si="2"/>
        <v>0</v>
      </c>
      <c r="K19" s="70">
        <f t="shared" si="2"/>
        <v>-9.1629989698256819E-3</v>
      </c>
      <c r="L19" s="69"/>
      <c r="M19" s="66">
        <f t="shared" si="1"/>
        <v>41479</v>
      </c>
      <c r="N19" s="81">
        <f t="shared" si="3"/>
        <v>117.17171717171713</v>
      </c>
      <c r="O19" s="81">
        <f t="shared" si="3"/>
        <v>102.13270142180096</v>
      </c>
      <c r="P19" s="81">
        <f t="shared" si="3"/>
        <v>131.27208480565375</v>
      </c>
      <c r="Q19" s="81">
        <f t="shared" si="3"/>
        <v>102.42356539618486</v>
      </c>
    </row>
    <row r="20" spans="1:17">
      <c r="A20" s="66">
        <v>41480</v>
      </c>
      <c r="B20" s="66">
        <v>41480</v>
      </c>
      <c r="C20" s="67">
        <v>0.45400000000000001</v>
      </c>
      <c r="D20" s="67">
        <v>0.43099999999999999</v>
      </c>
      <c r="E20" s="71">
        <v>0.65</v>
      </c>
      <c r="F20" s="68">
        <v>49066.75</v>
      </c>
      <c r="G20" s="66">
        <f t="shared" si="0"/>
        <v>41480</v>
      </c>
      <c r="H20" s="70">
        <f t="shared" si="2"/>
        <v>-2.1787354184907296E-2</v>
      </c>
      <c r="I20" s="70">
        <f t="shared" si="2"/>
        <v>0</v>
      </c>
      <c r="J20" s="70">
        <f t="shared" si="2"/>
        <v>-0.13372368182807637</v>
      </c>
      <c r="K20" s="70">
        <f t="shared" si="2"/>
        <v>1.4214382084186581E-2</v>
      </c>
      <c r="L20" s="69"/>
      <c r="M20" s="66">
        <f t="shared" si="1"/>
        <v>41480</v>
      </c>
      <c r="N20" s="81">
        <f t="shared" si="3"/>
        <v>114.64646464646461</v>
      </c>
      <c r="O20" s="81">
        <f t="shared" si="3"/>
        <v>102.13270142180096</v>
      </c>
      <c r="P20" s="81">
        <f t="shared" si="3"/>
        <v>114.84098939929332</v>
      </c>
      <c r="Q20" s="81">
        <f t="shared" si="3"/>
        <v>103.88984956253057</v>
      </c>
    </row>
    <row r="21" spans="1:17">
      <c r="A21" s="66">
        <v>41481</v>
      </c>
      <c r="B21" s="66">
        <v>41481</v>
      </c>
      <c r="C21" s="67">
        <v>0.44400000000000001</v>
      </c>
      <c r="D21" s="67">
        <v>0.43099999999999999</v>
      </c>
      <c r="E21" s="67">
        <v>0.65900000000000003</v>
      </c>
      <c r="F21" s="68">
        <v>49422.05</v>
      </c>
      <c r="G21" s="66">
        <f t="shared" si="0"/>
        <v>41481</v>
      </c>
      <c r="H21" s="70">
        <f t="shared" si="2"/>
        <v>-2.2272635609123292E-2</v>
      </c>
      <c r="I21" s="70">
        <f t="shared" si="2"/>
        <v>0</v>
      </c>
      <c r="J21" s="70">
        <f t="shared" si="2"/>
        <v>1.3751171612824419E-2</v>
      </c>
      <c r="K21" s="70">
        <f t="shared" si="2"/>
        <v>7.2150648870622112E-3</v>
      </c>
      <c r="L21" s="69"/>
      <c r="M21" s="66">
        <f t="shared" si="1"/>
        <v>41481</v>
      </c>
      <c r="N21" s="81">
        <f t="shared" ref="N21:Q36" si="4">C21/C20*N20</f>
        <v>112.12121212121208</v>
      </c>
      <c r="O21" s="81">
        <f t="shared" si="4"/>
        <v>102.13270142180096</v>
      </c>
      <c r="P21" s="81">
        <f t="shared" si="4"/>
        <v>116.43109540636046</v>
      </c>
      <c r="Q21" s="81">
        <f t="shared" si="4"/>
        <v>104.64213218874011</v>
      </c>
    </row>
    <row r="22" spans="1:17">
      <c r="A22" s="66">
        <v>41484</v>
      </c>
      <c r="B22" s="66">
        <v>41484</v>
      </c>
      <c r="C22" s="67">
        <v>0.46400000000000002</v>
      </c>
      <c r="D22" s="67">
        <v>0.43099999999999999</v>
      </c>
      <c r="E22" s="67">
        <v>0.65</v>
      </c>
      <c r="F22" s="68">
        <v>49212.33</v>
      </c>
      <c r="G22" s="66">
        <f t="shared" si="0"/>
        <v>41484</v>
      </c>
      <c r="H22" s="70">
        <f t="shared" si="2"/>
        <v>4.4059989794030495E-2</v>
      </c>
      <c r="I22" s="70">
        <f t="shared" si="2"/>
        <v>0</v>
      </c>
      <c r="J22" s="70">
        <f t="shared" si="2"/>
        <v>-1.3751171612824409E-2</v>
      </c>
      <c r="K22" s="70">
        <f t="shared" si="2"/>
        <v>-4.252479024870812E-3</v>
      </c>
      <c r="L22" s="69"/>
      <c r="M22" s="66">
        <f t="shared" si="1"/>
        <v>41484</v>
      </c>
      <c r="N22" s="81">
        <f t="shared" si="4"/>
        <v>117.17171717171713</v>
      </c>
      <c r="O22" s="81">
        <f t="shared" si="4"/>
        <v>102.13270142180096</v>
      </c>
      <c r="P22" s="81">
        <f t="shared" si="4"/>
        <v>114.84098939929332</v>
      </c>
      <c r="Q22" s="81">
        <f t="shared" si="4"/>
        <v>104.19808852882267</v>
      </c>
    </row>
    <row r="23" spans="1:17">
      <c r="A23" s="66">
        <v>41485</v>
      </c>
      <c r="B23" s="66">
        <v>41485</v>
      </c>
      <c r="C23" s="67">
        <v>0.45400000000000001</v>
      </c>
      <c r="D23" s="67">
        <v>0.42199999999999999</v>
      </c>
      <c r="E23" s="71">
        <v>0.60299999999999998</v>
      </c>
      <c r="F23" s="68">
        <v>48561.78</v>
      </c>
      <c r="G23" s="66">
        <f t="shared" si="0"/>
        <v>41485</v>
      </c>
      <c r="H23" s="70">
        <f t="shared" si="2"/>
        <v>-2.1787354184907296E-2</v>
      </c>
      <c r="I23" s="70">
        <f t="shared" si="2"/>
        <v>-2.1102776067736053E-2</v>
      </c>
      <c r="J23" s="70">
        <f t="shared" si="2"/>
        <v>-7.5055166162497453E-2</v>
      </c>
      <c r="K23" s="70">
        <f t="shared" si="2"/>
        <v>-1.3307400093850778E-2</v>
      </c>
      <c r="L23" s="69"/>
      <c r="M23" s="66">
        <f t="shared" si="1"/>
        <v>41485</v>
      </c>
      <c r="N23" s="81">
        <f t="shared" si="4"/>
        <v>114.64646464646461</v>
      </c>
      <c r="O23" s="81">
        <f t="shared" si="4"/>
        <v>100</v>
      </c>
      <c r="P23" s="81">
        <f t="shared" si="4"/>
        <v>106.53710247349825</v>
      </c>
      <c r="Q23" s="81">
        <f t="shared" si="4"/>
        <v>102.82066814469482</v>
      </c>
    </row>
    <row r="24" spans="1:17">
      <c r="A24" s="66">
        <v>41486</v>
      </c>
      <c r="B24" s="66">
        <v>41486</v>
      </c>
      <c r="C24" s="67">
        <v>0.45400000000000001</v>
      </c>
      <c r="D24" s="67">
        <v>0.43099999999999999</v>
      </c>
      <c r="E24" s="67">
        <v>0.55700000000000005</v>
      </c>
      <c r="F24" s="68">
        <v>48234.49</v>
      </c>
      <c r="G24" s="66">
        <f t="shared" si="0"/>
        <v>41486</v>
      </c>
      <c r="H24" s="70">
        <f t="shared" si="2"/>
        <v>0</v>
      </c>
      <c r="I24" s="70">
        <f t="shared" si="2"/>
        <v>2.1102776067736036E-2</v>
      </c>
      <c r="J24" s="70">
        <f t="shared" si="2"/>
        <v>-7.9351956799901285E-2</v>
      </c>
      <c r="K24" s="70">
        <f t="shared" si="2"/>
        <v>-6.7624764317127236E-3</v>
      </c>
      <c r="L24" s="69"/>
      <c r="M24" s="66">
        <f t="shared" si="1"/>
        <v>41486</v>
      </c>
      <c r="N24" s="81">
        <f t="shared" si="4"/>
        <v>114.64646464646461</v>
      </c>
      <c r="O24" s="81">
        <f t="shared" si="4"/>
        <v>102.13270142180096</v>
      </c>
      <c r="P24" s="81">
        <f t="shared" si="4"/>
        <v>98.409893992932894</v>
      </c>
      <c r="Q24" s="81">
        <f t="shared" si="4"/>
        <v>102.12769155946509</v>
      </c>
    </row>
    <row r="25" spans="1:17">
      <c r="A25" s="66">
        <v>41487</v>
      </c>
      <c r="B25" s="66">
        <v>41487</v>
      </c>
      <c r="C25" s="67">
        <v>0.45400000000000001</v>
      </c>
      <c r="D25" s="67">
        <v>0.43099999999999999</v>
      </c>
      <c r="E25" s="71">
        <v>0.55700000000000005</v>
      </c>
      <c r="F25" s="68">
        <v>49140.78</v>
      </c>
      <c r="G25" s="66">
        <f t="shared" si="0"/>
        <v>41487</v>
      </c>
      <c r="H25" s="70">
        <f t="shared" si="2"/>
        <v>0</v>
      </c>
      <c r="I25" s="70">
        <f t="shared" si="2"/>
        <v>0</v>
      </c>
      <c r="J25" s="70">
        <f t="shared" si="2"/>
        <v>0</v>
      </c>
      <c r="K25" s="70">
        <f t="shared" si="2"/>
        <v>1.8614914651513836E-2</v>
      </c>
      <c r="L25" s="69"/>
      <c r="M25" s="66">
        <f t="shared" si="1"/>
        <v>41487</v>
      </c>
      <c r="N25" s="81">
        <f t="shared" si="4"/>
        <v>114.64646464646461</v>
      </c>
      <c r="O25" s="81">
        <f t="shared" si="4"/>
        <v>102.13270142180096</v>
      </c>
      <c r="P25" s="81">
        <f t="shared" si="4"/>
        <v>98.409893992932894</v>
      </c>
      <c r="Q25" s="81">
        <f t="shared" si="4"/>
        <v>104.04659451839402</v>
      </c>
    </row>
    <row r="26" spans="1:17">
      <c r="A26" s="66">
        <v>41488</v>
      </c>
      <c r="B26" s="66">
        <v>41488</v>
      </c>
      <c r="C26" s="67">
        <v>0.46400000000000002</v>
      </c>
      <c r="D26" s="67">
        <v>0.42199999999999999</v>
      </c>
      <c r="E26" s="67">
        <v>0.54800000000000004</v>
      </c>
      <c r="F26" s="68">
        <v>48474.04</v>
      </c>
      <c r="G26" s="66">
        <f t="shared" si="0"/>
        <v>41488</v>
      </c>
      <c r="H26" s="70">
        <f t="shared" si="2"/>
        <v>2.178735418490723E-2</v>
      </c>
      <c r="I26" s="70">
        <f t="shared" si="2"/>
        <v>-2.1102776067736053E-2</v>
      </c>
      <c r="J26" s="70">
        <f t="shared" si="2"/>
        <v>-1.6289952979268458E-2</v>
      </c>
      <c r="K26" s="70">
        <f t="shared" si="2"/>
        <v>-1.3660843073009897E-2</v>
      </c>
      <c r="L26" s="69"/>
      <c r="M26" s="66">
        <f t="shared" si="1"/>
        <v>41488</v>
      </c>
      <c r="N26" s="81">
        <f t="shared" si="4"/>
        <v>117.17171717171712</v>
      </c>
      <c r="O26" s="81">
        <f t="shared" si="4"/>
        <v>100</v>
      </c>
      <c r="P26" s="81">
        <f t="shared" si="4"/>
        <v>96.819787985865759</v>
      </c>
      <c r="Q26" s="81">
        <f t="shared" si="4"/>
        <v>102.63489477677018</v>
      </c>
    </row>
    <row r="27" spans="1:17">
      <c r="A27" s="66">
        <v>41491</v>
      </c>
      <c r="B27" s="66">
        <v>41491</v>
      </c>
      <c r="C27" s="67">
        <v>0.51200000000000001</v>
      </c>
      <c r="D27" s="67">
        <v>0.43099999999999999</v>
      </c>
      <c r="E27" s="71">
        <v>0.55700000000000005</v>
      </c>
      <c r="F27" s="68">
        <v>48436.44</v>
      </c>
      <c r="G27" s="66">
        <f t="shared" si="0"/>
        <v>41491</v>
      </c>
      <c r="H27" s="70">
        <f t="shared" si="2"/>
        <v>9.844007281325251E-2</v>
      </c>
      <c r="I27" s="70">
        <f t="shared" si="2"/>
        <v>2.1102776067736036E-2</v>
      </c>
      <c r="J27" s="70">
        <f t="shared" si="2"/>
        <v>1.6289952979268552E-2</v>
      </c>
      <c r="K27" s="70">
        <f t="shared" si="2"/>
        <v>-7.7597390677849377E-4</v>
      </c>
      <c r="L27" s="69"/>
      <c r="M27" s="66">
        <f t="shared" si="1"/>
        <v>41491</v>
      </c>
      <c r="N27" s="81">
        <f t="shared" si="4"/>
        <v>129.29292929292924</v>
      </c>
      <c r="O27" s="81">
        <f t="shared" si="4"/>
        <v>102.13270142180096</v>
      </c>
      <c r="P27" s="81">
        <f t="shared" si="4"/>
        <v>98.409893992932908</v>
      </c>
      <c r="Q27" s="81">
        <f t="shared" si="4"/>
        <v>102.5552836685645</v>
      </c>
    </row>
    <row r="28" spans="1:17">
      <c r="A28" s="66">
        <v>41492</v>
      </c>
      <c r="B28" s="66">
        <v>41492</v>
      </c>
      <c r="C28" s="67">
        <v>0.55100000000000005</v>
      </c>
      <c r="D28" s="67">
        <v>0.43099999999999999</v>
      </c>
      <c r="E28" s="71">
        <v>0.55700000000000005</v>
      </c>
      <c r="F28" s="68">
        <v>47421.85</v>
      </c>
      <c r="G28" s="66">
        <f t="shared" si="0"/>
        <v>41492</v>
      </c>
      <c r="H28" s="70">
        <f t="shared" si="2"/>
        <v>7.3410184113406704E-2</v>
      </c>
      <c r="I28" s="70">
        <f t="shared" si="2"/>
        <v>0</v>
      </c>
      <c r="J28" s="70">
        <f t="shared" si="2"/>
        <v>0</v>
      </c>
      <c r="K28" s="70">
        <f t="shared" si="2"/>
        <v>-2.1169330052221481E-2</v>
      </c>
      <c r="L28" s="69"/>
      <c r="M28" s="66">
        <f t="shared" si="1"/>
        <v>41492</v>
      </c>
      <c r="N28" s="81">
        <f t="shared" si="4"/>
        <v>139.14141414141409</v>
      </c>
      <c r="O28" s="81">
        <f t="shared" si="4"/>
        <v>102.13270142180096</v>
      </c>
      <c r="P28" s="81">
        <f t="shared" si="4"/>
        <v>98.409893992932908</v>
      </c>
      <c r="Q28" s="81">
        <f t="shared" si="4"/>
        <v>100.4070753102027</v>
      </c>
    </row>
    <row r="29" spans="1:17">
      <c r="A29" s="66">
        <v>41493</v>
      </c>
      <c r="B29" s="66">
        <v>41493</v>
      </c>
      <c r="C29" s="71">
        <v>0.54100000000000004</v>
      </c>
      <c r="D29" s="67">
        <v>0.43099999999999999</v>
      </c>
      <c r="E29" s="71">
        <v>0.53800000000000003</v>
      </c>
      <c r="F29" s="68">
        <v>47446.71</v>
      </c>
      <c r="G29" s="66">
        <f t="shared" si="0"/>
        <v>41493</v>
      </c>
      <c r="H29" s="70">
        <f t="shared" si="2"/>
        <v>-1.8315530306432948E-2</v>
      </c>
      <c r="I29" s="70">
        <f t="shared" si="2"/>
        <v>0</v>
      </c>
      <c r="J29" s="70">
        <f t="shared" si="2"/>
        <v>-3.4706679765499647E-2</v>
      </c>
      <c r="K29" s="70">
        <f t="shared" si="2"/>
        <v>5.24093557845457E-4</v>
      </c>
      <c r="L29" s="69"/>
      <c r="M29" s="66">
        <f t="shared" si="1"/>
        <v>41493</v>
      </c>
      <c r="N29" s="81">
        <f t="shared" si="4"/>
        <v>136.61616161616158</v>
      </c>
      <c r="O29" s="81">
        <f t="shared" si="4"/>
        <v>102.13270142180096</v>
      </c>
      <c r="P29" s="81">
        <f t="shared" si="4"/>
        <v>95.05300353356894</v>
      </c>
      <c r="Q29" s="81">
        <f t="shared" si="4"/>
        <v>100.45971180355359</v>
      </c>
    </row>
    <row r="30" spans="1:17">
      <c r="A30" s="66">
        <v>41494</v>
      </c>
      <c r="B30" s="66">
        <v>41494</v>
      </c>
      <c r="C30" s="67">
        <v>0.54100000000000004</v>
      </c>
      <c r="D30" s="67">
        <v>0.45100000000000001</v>
      </c>
      <c r="E30" s="71">
        <v>0.52900000000000003</v>
      </c>
      <c r="F30" s="68">
        <v>48928.82</v>
      </c>
      <c r="G30" s="66">
        <f t="shared" si="0"/>
        <v>41494</v>
      </c>
      <c r="H30" s="70">
        <f t="shared" si="2"/>
        <v>0</v>
      </c>
      <c r="I30" s="70">
        <f t="shared" si="2"/>
        <v>4.5359249398930608E-2</v>
      </c>
      <c r="J30" s="70">
        <f t="shared" si="2"/>
        <v>-1.6870128303485034E-2</v>
      </c>
      <c r="K30" s="70">
        <f t="shared" si="2"/>
        <v>3.0759402417266136E-2</v>
      </c>
      <c r="L30" s="69"/>
      <c r="M30" s="66">
        <f t="shared" si="1"/>
        <v>41494</v>
      </c>
      <c r="N30" s="81">
        <f t="shared" si="4"/>
        <v>136.61616161616158</v>
      </c>
      <c r="O30" s="81">
        <f t="shared" si="4"/>
        <v>106.87203791469196</v>
      </c>
      <c r="P30" s="81">
        <f t="shared" si="4"/>
        <v>93.462897526501806</v>
      </c>
      <c r="Q30" s="81">
        <f t="shared" si="4"/>
        <v>103.59780806905154</v>
      </c>
    </row>
    <row r="31" spans="1:17">
      <c r="A31" s="66">
        <v>41495</v>
      </c>
      <c r="B31" s="66">
        <v>41495</v>
      </c>
      <c r="C31" s="67">
        <v>0.502</v>
      </c>
      <c r="D31" s="67">
        <v>0.45100000000000001</v>
      </c>
      <c r="E31" s="71">
        <v>0.53800000000000003</v>
      </c>
      <c r="F31" s="68">
        <v>49874.9</v>
      </c>
      <c r="G31" s="66">
        <f t="shared" si="0"/>
        <v>41495</v>
      </c>
      <c r="H31" s="70">
        <f t="shared" si="2"/>
        <v>-7.4819159154752346E-2</v>
      </c>
      <c r="I31" s="70">
        <f t="shared" si="2"/>
        <v>0</v>
      </c>
      <c r="J31" s="70">
        <f t="shared" si="2"/>
        <v>1.6870128303484975E-2</v>
      </c>
      <c r="K31" s="70">
        <f t="shared" si="2"/>
        <v>1.9151281269453289E-2</v>
      </c>
      <c r="L31" s="69"/>
      <c r="M31" s="66">
        <f t="shared" si="1"/>
        <v>41495</v>
      </c>
      <c r="N31" s="81">
        <f t="shared" si="4"/>
        <v>126.76767676767673</v>
      </c>
      <c r="O31" s="81">
        <f t="shared" si="4"/>
        <v>106.87203791469196</v>
      </c>
      <c r="P31" s="81">
        <f t="shared" si="4"/>
        <v>95.05300353356894</v>
      </c>
      <c r="Q31" s="81">
        <f t="shared" si="4"/>
        <v>105.60095905977578</v>
      </c>
    </row>
    <row r="32" spans="1:17">
      <c r="A32" s="66">
        <v>41498</v>
      </c>
      <c r="B32" s="66">
        <v>41498</v>
      </c>
      <c r="C32" s="67">
        <v>0.48299999999999998</v>
      </c>
      <c r="D32" s="67">
        <v>0.45100000000000001</v>
      </c>
      <c r="E32" s="71">
        <v>0.54800000000000004</v>
      </c>
      <c r="F32" s="68">
        <v>50299.49</v>
      </c>
      <c r="G32" s="66">
        <f t="shared" si="0"/>
        <v>41498</v>
      </c>
      <c r="H32" s="70">
        <f t="shared" si="2"/>
        <v>-3.8583466039156591E-2</v>
      </c>
      <c r="I32" s="70">
        <f t="shared" si="2"/>
        <v>0</v>
      </c>
      <c r="J32" s="70">
        <f t="shared" si="2"/>
        <v>1.8416726786231068E-2</v>
      </c>
      <c r="K32" s="70">
        <f t="shared" si="2"/>
        <v>8.4770676937957271E-3</v>
      </c>
      <c r="L32" s="69"/>
      <c r="M32" s="66">
        <f t="shared" si="1"/>
        <v>41498</v>
      </c>
      <c r="N32" s="81">
        <f t="shared" si="4"/>
        <v>121.96969696969693</v>
      </c>
      <c r="O32" s="81">
        <f t="shared" si="4"/>
        <v>106.87203791469196</v>
      </c>
      <c r="P32" s="81">
        <f t="shared" si="4"/>
        <v>96.819787985865759</v>
      </c>
      <c r="Q32" s="81">
        <f t="shared" si="4"/>
        <v>106.49995056065478</v>
      </c>
    </row>
    <row r="33" spans="1:17">
      <c r="A33" s="66">
        <v>41499</v>
      </c>
      <c r="B33" s="66">
        <v>41499</v>
      </c>
      <c r="C33" s="67">
        <v>0.502</v>
      </c>
      <c r="D33" s="67">
        <v>0.441</v>
      </c>
      <c r="E33" s="67">
        <v>0.53800000000000003</v>
      </c>
      <c r="F33" s="68">
        <v>50600.55</v>
      </c>
      <c r="G33" s="66">
        <f t="shared" si="0"/>
        <v>41499</v>
      </c>
      <c r="H33" s="70">
        <f t="shared" si="2"/>
        <v>3.8583466039156612E-2</v>
      </c>
      <c r="I33" s="70">
        <f t="shared" si="2"/>
        <v>-2.2422464055832397E-2</v>
      </c>
      <c r="J33" s="70">
        <f t="shared" si="2"/>
        <v>-1.8416726786231151E-2</v>
      </c>
      <c r="K33" s="70">
        <f t="shared" si="2"/>
        <v>5.9675079102820645E-3</v>
      </c>
      <c r="L33" s="69"/>
      <c r="M33" s="66">
        <f t="shared" si="1"/>
        <v>41499</v>
      </c>
      <c r="N33" s="81">
        <f t="shared" si="4"/>
        <v>126.76767676767673</v>
      </c>
      <c r="O33" s="81">
        <f t="shared" si="4"/>
        <v>104.50236966824646</v>
      </c>
      <c r="P33" s="81">
        <f t="shared" si="4"/>
        <v>95.05300353356894</v>
      </c>
      <c r="Q33" s="81">
        <f t="shared" si="4"/>
        <v>107.13738992864421</v>
      </c>
    </row>
    <row r="34" spans="1:17">
      <c r="A34" s="66">
        <v>41500</v>
      </c>
      <c r="B34" s="66">
        <v>41500</v>
      </c>
      <c r="C34" s="71">
        <v>0.49299999999999999</v>
      </c>
      <c r="D34" s="67">
        <v>0.441</v>
      </c>
      <c r="E34" s="71">
        <v>0.54800000000000004</v>
      </c>
      <c r="F34" s="68">
        <v>50895.92</v>
      </c>
      <c r="G34" s="66">
        <f t="shared" si="0"/>
        <v>41500</v>
      </c>
      <c r="H34" s="70">
        <f t="shared" si="2"/>
        <v>-1.8090945649039073E-2</v>
      </c>
      <c r="I34" s="70">
        <f t="shared" si="2"/>
        <v>0</v>
      </c>
      <c r="J34" s="70">
        <f t="shared" si="2"/>
        <v>1.8416726786231068E-2</v>
      </c>
      <c r="K34" s="70">
        <f t="shared" si="2"/>
        <v>5.8203173732319317E-3</v>
      </c>
      <c r="L34" s="69"/>
      <c r="M34" s="66">
        <f t="shared" si="1"/>
        <v>41500</v>
      </c>
      <c r="N34" s="81">
        <f t="shared" si="4"/>
        <v>124.49494949494947</v>
      </c>
      <c r="O34" s="81">
        <f t="shared" si="4"/>
        <v>104.50236966824646</v>
      </c>
      <c r="P34" s="81">
        <f t="shared" si="4"/>
        <v>96.819787985865759</v>
      </c>
      <c r="Q34" s="81">
        <f t="shared" si="4"/>
        <v>107.76278176456741</v>
      </c>
    </row>
    <row r="35" spans="1:17">
      <c r="A35" s="66">
        <v>41501</v>
      </c>
      <c r="B35" s="66">
        <v>41501</v>
      </c>
      <c r="C35" s="67">
        <v>0.47299999999999998</v>
      </c>
      <c r="D35" s="67">
        <v>0.441</v>
      </c>
      <c r="E35" s="71">
        <v>0.54800000000000004</v>
      </c>
      <c r="F35" s="68">
        <v>50908.34</v>
      </c>
      <c r="G35" s="66">
        <f t="shared" si="0"/>
        <v>41501</v>
      </c>
      <c r="H35" s="70">
        <f t="shared" si="2"/>
        <v>-4.1413785550757198E-2</v>
      </c>
      <c r="I35" s="70">
        <f t="shared" si="2"/>
        <v>0</v>
      </c>
      <c r="J35" s="70">
        <f t="shared" si="2"/>
        <v>0</v>
      </c>
      <c r="K35" s="70">
        <f t="shared" si="2"/>
        <v>2.4399764924594602E-4</v>
      </c>
      <c r="L35" s="69"/>
      <c r="M35" s="66">
        <f t="shared" si="1"/>
        <v>41501</v>
      </c>
      <c r="N35" s="81">
        <f t="shared" si="4"/>
        <v>119.44444444444441</v>
      </c>
      <c r="O35" s="81">
        <f t="shared" si="4"/>
        <v>104.50236966824646</v>
      </c>
      <c r="P35" s="81">
        <f t="shared" si="4"/>
        <v>96.819787985865759</v>
      </c>
      <c r="Q35" s="81">
        <f t="shared" si="4"/>
        <v>107.78907883807575</v>
      </c>
    </row>
    <row r="36" spans="1:17">
      <c r="A36" s="66">
        <v>41502</v>
      </c>
      <c r="B36" s="66">
        <v>41502</v>
      </c>
      <c r="C36" s="67">
        <v>0.47299999999999998</v>
      </c>
      <c r="D36" s="67">
        <v>0.46</v>
      </c>
      <c r="E36" s="67">
        <v>0.53800000000000003</v>
      </c>
      <c r="F36" s="68">
        <v>51538.78</v>
      </c>
      <c r="G36" s="66">
        <f t="shared" si="0"/>
        <v>41502</v>
      </c>
      <c r="H36" s="70">
        <f t="shared" si="2"/>
        <v>0</v>
      </c>
      <c r="I36" s="70">
        <f t="shared" si="2"/>
        <v>4.2181614036294668E-2</v>
      </c>
      <c r="J36" s="70">
        <f t="shared" si="2"/>
        <v>-1.8416726786231151E-2</v>
      </c>
      <c r="K36" s="70">
        <f t="shared" si="2"/>
        <v>1.2307773186820036E-2</v>
      </c>
      <c r="L36" s="69"/>
      <c r="M36" s="66">
        <f t="shared" si="1"/>
        <v>41502</v>
      </c>
      <c r="N36" s="81">
        <f t="shared" si="4"/>
        <v>119.44444444444441</v>
      </c>
      <c r="O36" s="81">
        <f t="shared" si="4"/>
        <v>109.0047393364929</v>
      </c>
      <c r="P36" s="81">
        <f t="shared" si="4"/>
        <v>95.05300353356894</v>
      </c>
      <c r="Q36" s="81">
        <f t="shared" si="4"/>
        <v>109.1239199832138</v>
      </c>
    </row>
    <row r="37" spans="1:17">
      <c r="A37" s="66">
        <v>41505</v>
      </c>
      <c r="B37" s="66">
        <v>41505</v>
      </c>
      <c r="C37" s="67">
        <v>0.51200000000000001</v>
      </c>
      <c r="D37" s="67">
        <v>0.46</v>
      </c>
      <c r="E37" s="67">
        <v>0.53800000000000003</v>
      </c>
      <c r="F37" s="68">
        <v>51574.09</v>
      </c>
      <c r="G37" s="66">
        <f t="shared" si="0"/>
        <v>41505</v>
      </c>
      <c r="H37" s="70">
        <f t="shared" si="2"/>
        <v>7.9229236547574855E-2</v>
      </c>
      <c r="I37" s="70">
        <f t="shared" si="2"/>
        <v>0</v>
      </c>
      <c r="J37" s="70">
        <f t="shared" si="2"/>
        <v>0</v>
      </c>
      <c r="K37" s="70">
        <f t="shared" si="2"/>
        <v>6.8488058532771199E-4</v>
      </c>
      <c r="L37" s="69"/>
      <c r="M37" s="66">
        <f t="shared" si="1"/>
        <v>41505</v>
      </c>
      <c r="N37" s="81">
        <f t="shared" ref="N37:Q52" si="5">C37/C36*N36</f>
        <v>129.29292929292927</v>
      </c>
      <c r="O37" s="81">
        <f t="shared" si="5"/>
        <v>109.0047393364929</v>
      </c>
      <c r="P37" s="81">
        <f t="shared" si="5"/>
        <v>95.05300353356894</v>
      </c>
      <c r="Q37" s="81">
        <f t="shared" si="5"/>
        <v>109.19868243615907</v>
      </c>
    </row>
    <row r="38" spans="1:17">
      <c r="A38" s="66">
        <v>41506</v>
      </c>
      <c r="B38" s="66">
        <v>41506</v>
      </c>
      <c r="C38" s="67">
        <v>0.47299999999999998</v>
      </c>
      <c r="D38" s="67">
        <v>0.45100000000000001</v>
      </c>
      <c r="E38" s="71">
        <v>0.53800000000000003</v>
      </c>
      <c r="F38" s="68">
        <v>50507.02</v>
      </c>
      <c r="G38" s="66">
        <f t="shared" si="0"/>
        <v>41506</v>
      </c>
      <c r="H38" s="70">
        <f t="shared" si="2"/>
        <v>-7.9229236547574938E-2</v>
      </c>
      <c r="I38" s="70">
        <f t="shared" si="2"/>
        <v>-1.9759149980462333E-2</v>
      </c>
      <c r="J38" s="70">
        <f t="shared" si="2"/>
        <v>0</v>
      </c>
      <c r="K38" s="70">
        <f t="shared" si="2"/>
        <v>-2.0907078072866528E-2</v>
      </c>
      <c r="L38" s="69"/>
      <c r="M38" s="66">
        <f t="shared" si="1"/>
        <v>41506</v>
      </c>
      <c r="N38" s="81">
        <f t="shared" si="5"/>
        <v>119.44444444444441</v>
      </c>
      <c r="O38" s="81">
        <f t="shared" si="5"/>
        <v>106.87203791469196</v>
      </c>
      <c r="P38" s="81">
        <f t="shared" si="5"/>
        <v>95.05300353356894</v>
      </c>
      <c r="Q38" s="81">
        <f t="shared" si="5"/>
        <v>106.93935729698256</v>
      </c>
    </row>
    <row r="39" spans="1:17">
      <c r="A39" s="66">
        <v>41507</v>
      </c>
      <c r="B39" s="66">
        <v>41507</v>
      </c>
      <c r="C39" s="67">
        <v>0.47299999999999998</v>
      </c>
      <c r="D39" s="67">
        <v>0.45100000000000001</v>
      </c>
      <c r="E39" s="67">
        <v>0.53800000000000003</v>
      </c>
      <c r="F39" s="68">
        <v>50405.2</v>
      </c>
      <c r="G39" s="66">
        <f t="shared" si="0"/>
        <v>41507</v>
      </c>
      <c r="H39" s="70">
        <f t="shared" si="2"/>
        <v>0</v>
      </c>
      <c r="I39" s="70">
        <f t="shared" si="2"/>
        <v>0</v>
      </c>
      <c r="J39" s="70">
        <f t="shared" si="2"/>
        <v>0</v>
      </c>
      <c r="K39" s="70">
        <f t="shared" si="2"/>
        <v>-2.0179921629590344E-3</v>
      </c>
      <c r="L39" s="69"/>
      <c r="M39" s="66">
        <f t="shared" si="1"/>
        <v>41507</v>
      </c>
      <c r="N39" s="81">
        <f t="shared" si="5"/>
        <v>119.44444444444441</v>
      </c>
      <c r="O39" s="81">
        <f t="shared" si="5"/>
        <v>106.87203791469196</v>
      </c>
      <c r="P39" s="81">
        <f t="shared" si="5"/>
        <v>95.05300353356894</v>
      </c>
      <c r="Q39" s="81">
        <f t="shared" si="5"/>
        <v>106.72377210981494</v>
      </c>
    </row>
    <row r="40" spans="1:17">
      <c r="A40" s="66">
        <v>41508</v>
      </c>
      <c r="B40" s="66">
        <v>41508</v>
      </c>
      <c r="C40" s="67">
        <v>0.47299999999999998</v>
      </c>
      <c r="D40" s="67">
        <v>0.45100000000000001</v>
      </c>
      <c r="E40" s="67">
        <v>0.53800000000000003</v>
      </c>
      <c r="F40" s="68">
        <v>51397.66</v>
      </c>
      <c r="G40" s="66">
        <f t="shared" si="0"/>
        <v>41508</v>
      </c>
      <c r="H40" s="70">
        <f t="shared" si="2"/>
        <v>0</v>
      </c>
      <c r="I40" s="70">
        <f t="shared" si="2"/>
        <v>0</v>
      </c>
      <c r="J40" s="70">
        <f t="shared" si="2"/>
        <v>0</v>
      </c>
      <c r="K40" s="70">
        <f t="shared" si="2"/>
        <v>1.9498301774618896E-2</v>
      </c>
      <c r="L40" s="69"/>
      <c r="M40" s="66">
        <f t="shared" si="1"/>
        <v>41508</v>
      </c>
      <c r="N40" s="81">
        <f t="shared" si="5"/>
        <v>119.44444444444441</v>
      </c>
      <c r="O40" s="81">
        <f t="shared" si="5"/>
        <v>106.87203791469196</v>
      </c>
      <c r="P40" s="81">
        <f t="shared" si="5"/>
        <v>95.05300353356894</v>
      </c>
      <c r="Q40" s="81">
        <f t="shared" si="5"/>
        <v>108.82512424943759</v>
      </c>
    </row>
    <row r="41" spans="1:17">
      <c r="A41" s="66">
        <v>41509</v>
      </c>
      <c r="B41" s="66">
        <v>41509</v>
      </c>
      <c r="C41" s="67">
        <v>0.48299999999999998</v>
      </c>
      <c r="D41" s="67">
        <v>0.45100000000000001</v>
      </c>
      <c r="E41" s="71">
        <v>0.53800000000000003</v>
      </c>
      <c r="F41" s="68">
        <v>52197.06</v>
      </c>
      <c r="G41" s="66">
        <f t="shared" si="0"/>
        <v>41509</v>
      </c>
      <c r="H41" s="70">
        <f t="shared" si="2"/>
        <v>2.0921265160639736E-2</v>
      </c>
      <c r="I41" s="70">
        <f t="shared" si="2"/>
        <v>0</v>
      </c>
      <c r="J41" s="70">
        <f t="shared" si="2"/>
        <v>0</v>
      </c>
      <c r="K41" s="70">
        <f t="shared" si="2"/>
        <v>1.5433525330395013E-2</v>
      </c>
      <c r="L41" s="69"/>
      <c r="M41" s="66">
        <f t="shared" si="1"/>
        <v>41509</v>
      </c>
      <c r="N41" s="81">
        <f t="shared" si="5"/>
        <v>121.96969696969694</v>
      </c>
      <c r="O41" s="81">
        <f t="shared" si="5"/>
        <v>106.87203791469196</v>
      </c>
      <c r="P41" s="81">
        <f t="shared" si="5"/>
        <v>95.05300353356894</v>
      </c>
      <c r="Q41" s="81">
        <f t="shared" si="5"/>
        <v>110.51770722549136</v>
      </c>
    </row>
    <row r="42" spans="1:17">
      <c r="A42" s="66">
        <v>41512</v>
      </c>
      <c r="B42" s="66">
        <v>41512</v>
      </c>
      <c r="C42" s="67">
        <v>0.48299999999999998</v>
      </c>
      <c r="D42" s="67">
        <v>0.45100000000000001</v>
      </c>
      <c r="E42" s="67">
        <v>0.501</v>
      </c>
      <c r="F42" s="68">
        <v>51429.48</v>
      </c>
      <c r="G42" s="66">
        <f t="shared" si="0"/>
        <v>41512</v>
      </c>
      <c r="H42" s="70">
        <f t="shared" si="2"/>
        <v>0</v>
      </c>
      <c r="I42" s="70">
        <f t="shared" si="2"/>
        <v>0</v>
      </c>
      <c r="J42" s="70">
        <f t="shared" si="2"/>
        <v>-7.1252459076919669E-2</v>
      </c>
      <c r="K42" s="70">
        <f t="shared" si="2"/>
        <v>-1.4814622557922773E-2</v>
      </c>
      <c r="L42" s="69"/>
      <c r="M42" s="66">
        <f t="shared" si="1"/>
        <v>41512</v>
      </c>
      <c r="N42" s="81">
        <f t="shared" si="5"/>
        <v>121.96969696969694</v>
      </c>
      <c r="O42" s="81">
        <f t="shared" si="5"/>
        <v>106.87203791469196</v>
      </c>
      <c r="P42" s="81">
        <f t="shared" si="5"/>
        <v>88.515901060070703</v>
      </c>
      <c r="Q42" s="81">
        <f t="shared" si="5"/>
        <v>108.89249726707337</v>
      </c>
    </row>
    <row r="43" spans="1:17">
      <c r="A43" s="66">
        <v>41513</v>
      </c>
      <c r="B43" s="66">
        <v>41513</v>
      </c>
      <c r="C43" s="67">
        <v>0.47299999999999998</v>
      </c>
      <c r="D43" s="67">
        <v>0.45100000000000001</v>
      </c>
      <c r="E43" s="67">
        <v>0.501</v>
      </c>
      <c r="F43" s="68">
        <v>50091.55</v>
      </c>
      <c r="G43" s="66">
        <f t="shared" si="0"/>
        <v>41513</v>
      </c>
      <c r="H43" s="70">
        <f t="shared" si="2"/>
        <v>-2.0921265160639684E-2</v>
      </c>
      <c r="I43" s="70">
        <f t="shared" si="2"/>
        <v>0</v>
      </c>
      <c r="J43" s="70">
        <f t="shared" si="2"/>
        <v>0</v>
      </c>
      <c r="K43" s="70">
        <f t="shared" si="2"/>
        <v>-2.6359217714435387E-2</v>
      </c>
      <c r="L43" s="69"/>
      <c r="M43" s="66">
        <f t="shared" si="1"/>
        <v>41513</v>
      </c>
      <c r="N43" s="81">
        <f t="shared" si="5"/>
        <v>119.44444444444441</v>
      </c>
      <c r="O43" s="81">
        <f t="shared" si="5"/>
        <v>106.87203791469196</v>
      </c>
      <c r="P43" s="81">
        <f t="shared" si="5"/>
        <v>88.515901060070703</v>
      </c>
      <c r="Q43" s="81">
        <f t="shared" si="5"/>
        <v>106.05967572447688</v>
      </c>
    </row>
    <row r="44" spans="1:17">
      <c r="A44" s="66">
        <v>41514</v>
      </c>
      <c r="B44" s="66">
        <v>41514</v>
      </c>
      <c r="C44" s="67">
        <v>0.48299999999999998</v>
      </c>
      <c r="D44" s="67">
        <v>0.45100000000000001</v>
      </c>
      <c r="E44" s="67">
        <v>0.51</v>
      </c>
      <c r="F44" s="68">
        <v>49866.92</v>
      </c>
      <c r="G44" s="66">
        <f t="shared" si="0"/>
        <v>41514</v>
      </c>
      <c r="H44" s="70">
        <f t="shared" si="2"/>
        <v>2.0921265160639736E-2</v>
      </c>
      <c r="I44" s="70">
        <f t="shared" si="2"/>
        <v>0</v>
      </c>
      <c r="J44" s="70">
        <f t="shared" si="2"/>
        <v>1.7804624633506686E-2</v>
      </c>
      <c r="K44" s="70">
        <f t="shared" si="2"/>
        <v>-4.494474117753413E-3</v>
      </c>
      <c r="L44" s="69"/>
      <c r="M44" s="66">
        <f t="shared" si="1"/>
        <v>41514</v>
      </c>
      <c r="N44" s="81">
        <f t="shared" si="5"/>
        <v>121.96969696969694</v>
      </c>
      <c r="O44" s="81">
        <f t="shared" si="5"/>
        <v>106.87203791469196</v>
      </c>
      <c r="P44" s="81">
        <f t="shared" si="5"/>
        <v>90.106007067137838</v>
      </c>
      <c r="Q44" s="81">
        <f t="shared" si="5"/>
        <v>105.58406287244914</v>
      </c>
    </row>
    <row r="45" spans="1:17">
      <c r="A45" s="66">
        <v>41515</v>
      </c>
      <c r="B45" s="66">
        <v>41515</v>
      </c>
      <c r="C45" s="67">
        <v>0.46400000000000002</v>
      </c>
      <c r="D45" s="67">
        <v>0.46</v>
      </c>
      <c r="E45" s="67">
        <v>0.501</v>
      </c>
      <c r="F45" s="68">
        <v>49921.88</v>
      </c>
      <c r="G45" s="66">
        <f t="shared" si="0"/>
        <v>41515</v>
      </c>
      <c r="H45" s="70">
        <f t="shared" si="2"/>
        <v>-4.0132101426317304E-2</v>
      </c>
      <c r="I45" s="70">
        <f t="shared" si="2"/>
        <v>1.9759149980462392E-2</v>
      </c>
      <c r="J45" s="70">
        <f t="shared" si="2"/>
        <v>-1.7804624633506707E-2</v>
      </c>
      <c r="K45" s="70">
        <f t="shared" si="2"/>
        <v>1.1015265351860236E-3</v>
      </c>
      <c r="L45" s="69"/>
      <c r="M45" s="66">
        <f t="shared" si="1"/>
        <v>41515</v>
      </c>
      <c r="N45" s="81">
        <f t="shared" si="5"/>
        <v>117.17171717171716</v>
      </c>
      <c r="O45" s="81">
        <f t="shared" si="5"/>
        <v>109.00473933649292</v>
      </c>
      <c r="P45" s="81">
        <f t="shared" si="5"/>
        <v>88.515901060070689</v>
      </c>
      <c r="Q45" s="81">
        <f t="shared" si="5"/>
        <v>105.7004305986987</v>
      </c>
    </row>
    <row r="46" spans="1:17">
      <c r="A46" s="66">
        <v>41516</v>
      </c>
      <c r="B46" s="66">
        <v>41516</v>
      </c>
      <c r="C46" s="67">
        <v>0.47299999999999998</v>
      </c>
      <c r="D46" s="67">
        <v>0.45100000000000001</v>
      </c>
      <c r="E46" s="67">
        <v>0.501</v>
      </c>
      <c r="F46" s="68">
        <v>50011.75</v>
      </c>
      <c r="G46" s="66">
        <f t="shared" si="0"/>
        <v>41516</v>
      </c>
      <c r="H46" s="70">
        <f t="shared" si="2"/>
        <v>1.9210836265677673E-2</v>
      </c>
      <c r="I46" s="70">
        <f t="shared" si="2"/>
        <v>-1.9759149980462333E-2</v>
      </c>
      <c r="J46" s="70">
        <f t="shared" si="2"/>
        <v>0</v>
      </c>
      <c r="K46" s="70">
        <f t="shared" si="2"/>
        <v>1.798594211518388E-3</v>
      </c>
      <c r="L46" s="69"/>
      <c r="M46" s="66">
        <f t="shared" si="1"/>
        <v>41516</v>
      </c>
      <c r="N46" s="81">
        <f t="shared" si="5"/>
        <v>119.44444444444443</v>
      </c>
      <c r="O46" s="81">
        <f t="shared" si="5"/>
        <v>106.87203791469197</v>
      </c>
      <c r="P46" s="81">
        <f t="shared" si="5"/>
        <v>88.515901060070689</v>
      </c>
      <c r="Q46" s="81">
        <f t="shared" si="5"/>
        <v>105.89071385121052</v>
      </c>
    </row>
    <row r="47" spans="1:17">
      <c r="A47" s="66">
        <v>41519</v>
      </c>
      <c r="B47" s="66">
        <v>41519</v>
      </c>
      <c r="C47" s="67">
        <v>0.47299999999999998</v>
      </c>
      <c r="D47" s="67">
        <v>0.46</v>
      </c>
      <c r="E47" s="67">
        <v>0.501</v>
      </c>
      <c r="F47" s="68">
        <v>51835.15</v>
      </c>
      <c r="G47" s="66">
        <f t="shared" si="0"/>
        <v>41519</v>
      </c>
      <c r="H47" s="70">
        <f t="shared" si="2"/>
        <v>0</v>
      </c>
      <c r="I47" s="70">
        <f t="shared" si="2"/>
        <v>1.9759149980462392E-2</v>
      </c>
      <c r="J47" s="70">
        <f t="shared" si="2"/>
        <v>0</v>
      </c>
      <c r="K47" s="70">
        <f t="shared" si="2"/>
        <v>3.5810512748544208E-2</v>
      </c>
      <c r="L47" s="69"/>
      <c r="M47" s="66">
        <f t="shared" si="1"/>
        <v>41519</v>
      </c>
      <c r="N47" s="81">
        <f t="shared" si="5"/>
        <v>119.44444444444443</v>
      </c>
      <c r="O47" s="81">
        <f t="shared" si="5"/>
        <v>109.00473933649293</v>
      </c>
      <c r="P47" s="81">
        <f t="shared" si="5"/>
        <v>88.515901060070689</v>
      </c>
      <c r="Q47" s="81">
        <f t="shared" si="5"/>
        <v>109.75142913584457</v>
      </c>
    </row>
    <row r="48" spans="1:17">
      <c r="A48" s="66">
        <v>41520</v>
      </c>
      <c r="B48" s="66">
        <v>41520</v>
      </c>
      <c r="C48" s="67">
        <v>0.47299999999999998</v>
      </c>
      <c r="D48" s="67">
        <v>0.45100000000000001</v>
      </c>
      <c r="E48" s="67">
        <v>0.501</v>
      </c>
      <c r="F48" s="68">
        <v>51625.5</v>
      </c>
      <c r="G48" s="66">
        <f t="shared" si="0"/>
        <v>41520</v>
      </c>
      <c r="H48" s="70">
        <f t="shared" si="2"/>
        <v>0</v>
      </c>
      <c r="I48" s="70">
        <f t="shared" si="2"/>
        <v>-1.9759149980462333E-2</v>
      </c>
      <c r="J48" s="70">
        <f t="shared" si="2"/>
        <v>0</v>
      </c>
      <c r="K48" s="70">
        <f t="shared" si="2"/>
        <v>-4.0527541041959856E-3</v>
      </c>
      <c r="L48" s="69"/>
      <c r="M48" s="66">
        <f t="shared" si="1"/>
        <v>41520</v>
      </c>
      <c r="N48" s="81">
        <f t="shared" si="5"/>
        <v>119.44444444444443</v>
      </c>
      <c r="O48" s="81">
        <f t="shared" si="5"/>
        <v>106.87203791469199</v>
      </c>
      <c r="P48" s="81">
        <f t="shared" si="5"/>
        <v>88.515901060070689</v>
      </c>
      <c r="Q48" s="81">
        <f t="shared" si="5"/>
        <v>109.30753368809667</v>
      </c>
    </row>
    <row r="49" spans="1:17">
      <c r="A49" s="66">
        <v>41521</v>
      </c>
      <c r="B49" s="66">
        <v>41521</v>
      </c>
      <c r="C49" s="67">
        <v>0.47299999999999998</v>
      </c>
      <c r="D49" s="67">
        <v>0.45100000000000001</v>
      </c>
      <c r="E49" s="67">
        <v>0.49199999999999999</v>
      </c>
      <c r="F49" s="68">
        <v>51716.160000000003</v>
      </c>
      <c r="G49" s="66">
        <f t="shared" si="0"/>
        <v>41521</v>
      </c>
      <c r="H49" s="70">
        <f t="shared" si="2"/>
        <v>0</v>
      </c>
      <c r="I49" s="70">
        <f t="shared" si="2"/>
        <v>0</v>
      </c>
      <c r="J49" s="70">
        <f t="shared" si="2"/>
        <v>-1.8127384592556715E-2</v>
      </c>
      <c r="K49" s="70">
        <f t="shared" si="2"/>
        <v>1.7545687432959816E-3</v>
      </c>
      <c r="L49" s="69"/>
      <c r="M49" s="66">
        <f t="shared" si="1"/>
        <v>41521</v>
      </c>
      <c r="N49" s="81">
        <f t="shared" si="5"/>
        <v>119.44444444444443</v>
      </c>
      <c r="O49" s="81">
        <f t="shared" si="5"/>
        <v>106.87203791469199</v>
      </c>
      <c r="P49" s="81">
        <f t="shared" si="5"/>
        <v>86.925795053003554</v>
      </c>
      <c r="Q49" s="81">
        <f t="shared" si="5"/>
        <v>109.49948962080751</v>
      </c>
    </row>
    <row r="50" spans="1:17">
      <c r="A50" s="66">
        <v>41522</v>
      </c>
      <c r="B50" s="66">
        <v>41522</v>
      </c>
      <c r="C50" s="67">
        <v>0.49299999999999999</v>
      </c>
      <c r="D50" s="67">
        <v>0.46</v>
      </c>
      <c r="E50" s="67">
        <v>0.49199999999999999</v>
      </c>
      <c r="F50" s="68">
        <v>52351.86</v>
      </c>
      <c r="G50" s="66">
        <f t="shared" si="0"/>
        <v>41522</v>
      </c>
      <c r="H50" s="70">
        <f t="shared" si="2"/>
        <v>4.1413785550757171E-2</v>
      </c>
      <c r="I50" s="70">
        <f t="shared" si="2"/>
        <v>1.9759149980462392E-2</v>
      </c>
      <c r="J50" s="70">
        <f t="shared" si="2"/>
        <v>0</v>
      </c>
      <c r="K50" s="70">
        <f t="shared" si="2"/>
        <v>1.2217161563711885E-2</v>
      </c>
      <c r="L50" s="69"/>
      <c r="M50" s="66">
        <f t="shared" si="1"/>
        <v>41522</v>
      </c>
      <c r="N50" s="81">
        <f t="shared" si="5"/>
        <v>124.49494949494948</v>
      </c>
      <c r="O50" s="81">
        <f t="shared" si="5"/>
        <v>109.00473933649295</v>
      </c>
      <c r="P50" s="81">
        <f t="shared" si="5"/>
        <v>86.925795053003554</v>
      </c>
      <c r="Q50" s="81">
        <f t="shared" si="5"/>
        <v>110.84546785182751</v>
      </c>
    </row>
    <row r="51" spans="1:17">
      <c r="A51" s="66">
        <v>41523</v>
      </c>
      <c r="B51" s="66">
        <v>41523</v>
      </c>
      <c r="C51" s="67">
        <v>0.49299999999999999</v>
      </c>
      <c r="D51" s="67">
        <v>0.46</v>
      </c>
      <c r="E51" s="67">
        <v>0.49199999999999999</v>
      </c>
      <c r="F51" s="68">
        <v>53749.42</v>
      </c>
      <c r="G51" s="66">
        <f t="shared" si="0"/>
        <v>41523</v>
      </c>
      <c r="H51" s="70">
        <f t="shared" si="2"/>
        <v>0</v>
      </c>
      <c r="I51" s="70">
        <f t="shared" si="2"/>
        <v>0</v>
      </c>
      <c r="J51" s="70">
        <f t="shared" si="2"/>
        <v>0</v>
      </c>
      <c r="K51" s="70">
        <f t="shared" si="2"/>
        <v>2.6345409480550433E-2</v>
      </c>
      <c r="L51" s="69"/>
      <c r="M51" s="66">
        <f t="shared" si="1"/>
        <v>41523</v>
      </c>
      <c r="N51" s="81">
        <f t="shared" si="5"/>
        <v>124.49494949494948</v>
      </c>
      <c r="O51" s="81">
        <f t="shared" si="5"/>
        <v>109.00473933649295</v>
      </c>
      <c r="P51" s="81">
        <f t="shared" si="5"/>
        <v>86.925795053003554</v>
      </c>
      <c r="Q51" s="81">
        <f t="shared" si="5"/>
        <v>113.80454498969804</v>
      </c>
    </row>
    <row r="52" spans="1:17">
      <c r="A52" s="66">
        <v>41526</v>
      </c>
      <c r="B52" s="66">
        <v>41526</v>
      </c>
      <c r="C52" s="67">
        <v>0.49299999999999999</v>
      </c>
      <c r="D52" s="67">
        <v>0.47</v>
      </c>
      <c r="E52" s="67">
        <v>0.49199999999999999</v>
      </c>
      <c r="F52" s="68">
        <v>54251.85</v>
      </c>
      <c r="G52" s="66">
        <f t="shared" si="0"/>
        <v>41526</v>
      </c>
      <c r="H52" s="70">
        <f t="shared" si="2"/>
        <v>0</v>
      </c>
      <c r="I52" s="70">
        <f t="shared" si="2"/>
        <v>2.1506205220963463E-2</v>
      </c>
      <c r="J52" s="70">
        <f t="shared" si="2"/>
        <v>0</v>
      </c>
      <c r="K52" s="70">
        <f t="shared" si="2"/>
        <v>9.3042169697407501E-3</v>
      </c>
      <c r="L52" s="69"/>
      <c r="M52" s="66">
        <f t="shared" si="1"/>
        <v>41526</v>
      </c>
      <c r="N52" s="81">
        <f t="shared" si="5"/>
        <v>124.49494949494948</v>
      </c>
      <c r="O52" s="81">
        <f t="shared" si="5"/>
        <v>111.37440758293843</v>
      </c>
      <c r="P52" s="81">
        <f t="shared" si="5"/>
        <v>86.925795053003554</v>
      </c>
      <c r="Q52" s="81">
        <f t="shared" si="5"/>
        <v>114.86834842309648</v>
      </c>
    </row>
    <row r="53" spans="1:17">
      <c r="A53" s="66">
        <v>41527</v>
      </c>
      <c r="B53" s="66">
        <v>41527</v>
      </c>
      <c r="C53" s="67">
        <v>0.49299999999999999</v>
      </c>
      <c r="D53" s="67">
        <v>0.46</v>
      </c>
      <c r="E53" s="67">
        <v>0.49199999999999999</v>
      </c>
      <c r="F53" s="68">
        <v>53979.03</v>
      </c>
      <c r="G53" s="66">
        <f t="shared" si="0"/>
        <v>41527</v>
      </c>
      <c r="H53" s="70">
        <f t="shared" si="2"/>
        <v>0</v>
      </c>
      <c r="I53" s="70">
        <f t="shared" si="2"/>
        <v>-2.1506205220963505E-2</v>
      </c>
      <c r="J53" s="70">
        <f t="shared" si="2"/>
        <v>0</v>
      </c>
      <c r="K53" s="70">
        <f t="shared" si="2"/>
        <v>-5.0414554115926274E-3</v>
      </c>
      <c r="L53" s="69"/>
      <c r="M53" s="66">
        <f t="shared" si="1"/>
        <v>41527</v>
      </c>
      <c r="N53" s="81">
        <f t="shared" ref="N53:Q68" si="6">C53/C52*N52</f>
        <v>124.49494949494948</v>
      </c>
      <c r="O53" s="81">
        <f t="shared" si="6"/>
        <v>109.00473933649295</v>
      </c>
      <c r="P53" s="81">
        <f t="shared" si="6"/>
        <v>86.925795053003554</v>
      </c>
      <c r="Q53" s="81">
        <f t="shared" si="6"/>
        <v>114.29070207892961</v>
      </c>
    </row>
    <row r="54" spans="1:17">
      <c r="A54" s="66">
        <v>41528</v>
      </c>
      <c r="B54" s="66">
        <v>41528</v>
      </c>
      <c r="C54" s="67">
        <v>0.49299999999999999</v>
      </c>
      <c r="D54" s="67">
        <v>0.46</v>
      </c>
      <c r="E54" s="67">
        <v>0.49199999999999999</v>
      </c>
      <c r="F54" s="68">
        <v>53570.46</v>
      </c>
      <c r="G54" s="66">
        <f t="shared" si="0"/>
        <v>41528</v>
      </c>
      <c r="H54" s="70">
        <f t="shared" si="2"/>
        <v>0</v>
      </c>
      <c r="I54" s="70">
        <f t="shared" si="2"/>
        <v>0</v>
      </c>
      <c r="J54" s="70">
        <f t="shared" si="2"/>
        <v>0</v>
      </c>
      <c r="K54" s="70">
        <f t="shared" si="2"/>
        <v>-7.5978410583735778E-3</v>
      </c>
      <c r="L54" s="69"/>
      <c r="M54" s="66">
        <f t="shared" si="1"/>
        <v>41528</v>
      </c>
      <c r="N54" s="81">
        <f t="shared" si="6"/>
        <v>124.49494949494948</v>
      </c>
      <c r="O54" s="81">
        <f t="shared" si="6"/>
        <v>109.00473933649295</v>
      </c>
      <c r="P54" s="81">
        <f t="shared" si="6"/>
        <v>86.925795053003554</v>
      </c>
      <c r="Q54" s="81">
        <f t="shared" si="6"/>
        <v>113.42562999170633</v>
      </c>
    </row>
    <row r="55" spans="1:17">
      <c r="A55" s="66">
        <v>41529</v>
      </c>
      <c r="B55" s="66">
        <v>41529</v>
      </c>
      <c r="C55" s="67">
        <v>0.49299999999999999</v>
      </c>
      <c r="D55" s="67">
        <v>0.46</v>
      </c>
      <c r="E55" s="67">
        <v>0.48299999999999998</v>
      </c>
      <c r="F55" s="68">
        <v>53307.09</v>
      </c>
      <c r="G55" s="66">
        <f t="shared" si="0"/>
        <v>41529</v>
      </c>
      <c r="H55" s="70">
        <f t="shared" si="2"/>
        <v>0</v>
      </c>
      <c r="I55" s="70">
        <f t="shared" si="2"/>
        <v>0</v>
      </c>
      <c r="J55" s="70">
        <f t="shared" si="2"/>
        <v>-1.8462062839735442E-2</v>
      </c>
      <c r="K55" s="70">
        <f t="shared" si="2"/>
        <v>-4.9284537884154442E-3</v>
      </c>
      <c r="L55" s="69"/>
      <c r="M55" s="66">
        <f t="shared" si="1"/>
        <v>41529</v>
      </c>
      <c r="N55" s="81">
        <f t="shared" si="6"/>
        <v>124.49494949494948</v>
      </c>
      <c r="O55" s="81">
        <f t="shared" si="6"/>
        <v>109.00473933649295</v>
      </c>
      <c r="P55" s="81">
        <f t="shared" si="6"/>
        <v>85.335689045936419</v>
      </c>
      <c r="Q55" s="81">
        <f t="shared" si="6"/>
        <v>112.86799229042626</v>
      </c>
    </row>
    <row r="56" spans="1:17">
      <c r="A56" s="66">
        <v>41530</v>
      </c>
      <c r="B56" s="66">
        <v>41530</v>
      </c>
      <c r="C56" s="67">
        <v>0.49299999999999999</v>
      </c>
      <c r="D56" s="67">
        <v>0.47</v>
      </c>
      <c r="E56" s="67">
        <v>0.49199999999999999</v>
      </c>
      <c r="F56" s="68">
        <v>53797.51</v>
      </c>
      <c r="G56" s="66">
        <f t="shared" si="0"/>
        <v>41530</v>
      </c>
      <c r="H56" s="70">
        <f t="shared" si="2"/>
        <v>0</v>
      </c>
      <c r="I56" s="70">
        <f t="shared" si="2"/>
        <v>2.1506205220963463E-2</v>
      </c>
      <c r="J56" s="70">
        <f t="shared" si="2"/>
        <v>1.8462062839735352E-2</v>
      </c>
      <c r="K56" s="70">
        <f t="shared" si="2"/>
        <v>9.1578406055515486E-3</v>
      </c>
      <c r="L56" s="69"/>
      <c r="M56" s="66">
        <f t="shared" si="1"/>
        <v>41530</v>
      </c>
      <c r="N56" s="81">
        <f t="shared" si="6"/>
        <v>124.49494949494948</v>
      </c>
      <c r="O56" s="81">
        <f t="shared" si="6"/>
        <v>111.37440758293843</v>
      </c>
      <c r="P56" s="81">
        <f t="shared" si="6"/>
        <v>86.925795053003554</v>
      </c>
      <c r="Q56" s="81">
        <f t="shared" si="6"/>
        <v>113.90636675016644</v>
      </c>
    </row>
    <row r="57" spans="1:17">
      <c r="A57" s="66">
        <v>41533</v>
      </c>
      <c r="B57" s="66">
        <v>41533</v>
      </c>
      <c r="C57" s="67">
        <v>0.49299999999999999</v>
      </c>
      <c r="D57" s="67">
        <v>0.47</v>
      </c>
      <c r="E57" s="67">
        <v>0.52900000000000003</v>
      </c>
      <c r="F57" s="68">
        <v>53821.63</v>
      </c>
      <c r="G57" s="66">
        <f t="shared" si="0"/>
        <v>41533</v>
      </c>
      <c r="H57" s="70">
        <f t="shared" si="2"/>
        <v>0</v>
      </c>
      <c r="I57" s="70">
        <f t="shared" si="2"/>
        <v>0</v>
      </c>
      <c r="J57" s="70">
        <f t="shared" si="2"/>
        <v>7.2509715365991267E-2</v>
      </c>
      <c r="K57" s="70">
        <f t="shared" si="2"/>
        <v>4.482474103371534E-4</v>
      </c>
      <c r="L57" s="69"/>
      <c r="M57" s="66">
        <f t="shared" si="1"/>
        <v>41533</v>
      </c>
      <c r="N57" s="81">
        <f t="shared" si="6"/>
        <v>124.49494949494948</v>
      </c>
      <c r="O57" s="81">
        <f t="shared" si="6"/>
        <v>111.37440758293843</v>
      </c>
      <c r="P57" s="81">
        <f t="shared" si="6"/>
        <v>93.462897526501791</v>
      </c>
      <c r="Q57" s="81">
        <f t="shared" si="6"/>
        <v>113.95743642915369</v>
      </c>
    </row>
    <row r="58" spans="1:17">
      <c r="A58" s="66">
        <v>41534</v>
      </c>
      <c r="B58" s="66">
        <v>41534</v>
      </c>
      <c r="C58" s="67">
        <v>0.49299999999999999</v>
      </c>
      <c r="D58" s="67">
        <v>0.47</v>
      </c>
      <c r="E58" s="67">
        <v>0.52900000000000003</v>
      </c>
      <c r="F58" s="68">
        <v>54271.25</v>
      </c>
      <c r="G58" s="66">
        <f t="shared" si="0"/>
        <v>41534</v>
      </c>
      <c r="H58" s="70">
        <f t="shared" si="2"/>
        <v>0</v>
      </c>
      <c r="I58" s="70">
        <f t="shared" si="2"/>
        <v>0</v>
      </c>
      <c r="J58" s="70">
        <f t="shared" si="2"/>
        <v>0</v>
      </c>
      <c r="K58" s="70">
        <f t="shared" si="2"/>
        <v>8.3191898141646708E-3</v>
      </c>
      <c r="L58" s="69"/>
      <c r="M58" s="66">
        <f t="shared" si="1"/>
        <v>41534</v>
      </c>
      <c r="N58" s="81">
        <f t="shared" si="6"/>
        <v>124.49494949494948</v>
      </c>
      <c r="O58" s="81">
        <f t="shared" si="6"/>
        <v>111.37440758293843</v>
      </c>
      <c r="P58" s="81">
        <f t="shared" si="6"/>
        <v>93.462897526501791</v>
      </c>
      <c r="Q58" s="81">
        <f t="shared" si="6"/>
        <v>114.90942436722386</v>
      </c>
    </row>
    <row r="59" spans="1:17">
      <c r="A59" s="66">
        <v>41535</v>
      </c>
      <c r="B59" s="66">
        <v>41535</v>
      </c>
      <c r="C59" s="71">
        <v>0.51200000000000001</v>
      </c>
      <c r="D59" s="67">
        <v>0.46</v>
      </c>
      <c r="E59" s="67">
        <v>0.51</v>
      </c>
      <c r="F59" s="68">
        <v>55702.9</v>
      </c>
      <c r="G59" s="66">
        <f t="shared" si="0"/>
        <v>41535</v>
      </c>
      <c r="H59" s="70">
        <f t="shared" si="2"/>
        <v>3.7815450996817664E-2</v>
      </c>
      <c r="I59" s="70">
        <f t="shared" si="2"/>
        <v>-2.1506205220963505E-2</v>
      </c>
      <c r="J59" s="70">
        <f t="shared" si="2"/>
        <v>-3.6577706139927939E-2</v>
      </c>
      <c r="K59" s="70">
        <f t="shared" si="2"/>
        <v>2.6037589416589096E-2</v>
      </c>
      <c r="L59" s="69"/>
      <c r="M59" s="66">
        <f t="shared" si="1"/>
        <v>41535</v>
      </c>
      <c r="N59" s="81">
        <f t="shared" si="6"/>
        <v>129.29292929292927</v>
      </c>
      <c r="O59" s="81">
        <f t="shared" si="6"/>
        <v>109.00473933649295</v>
      </c>
      <c r="P59" s="81">
        <f t="shared" si="6"/>
        <v>90.106007067137838</v>
      </c>
      <c r="Q59" s="81">
        <f t="shared" si="6"/>
        <v>117.94068083165645</v>
      </c>
    </row>
    <row r="60" spans="1:17">
      <c r="A60" s="66">
        <v>41536</v>
      </c>
      <c r="B60" s="66">
        <v>41536</v>
      </c>
      <c r="C60" s="67">
        <v>0.51200000000000001</v>
      </c>
      <c r="D60" s="67">
        <v>0.47</v>
      </c>
      <c r="E60" s="71">
        <v>0.52</v>
      </c>
      <c r="F60" s="68">
        <v>55095.69</v>
      </c>
      <c r="G60" s="66">
        <f t="shared" si="0"/>
        <v>41536</v>
      </c>
      <c r="H60" s="70">
        <f t="shared" si="2"/>
        <v>0</v>
      </c>
      <c r="I60" s="70">
        <f t="shared" si="2"/>
        <v>2.1506205220963463E-2</v>
      </c>
      <c r="J60" s="70">
        <f t="shared" si="2"/>
        <v>1.9418085857101516E-2</v>
      </c>
      <c r="K60" s="70">
        <f t="shared" si="2"/>
        <v>-1.0960718526072935E-2</v>
      </c>
      <c r="L60" s="69"/>
      <c r="M60" s="66">
        <f t="shared" si="1"/>
        <v>41536</v>
      </c>
      <c r="N60" s="81">
        <f t="shared" si="6"/>
        <v>129.29292929292927</v>
      </c>
      <c r="O60" s="81">
        <f t="shared" si="6"/>
        <v>111.37440758293843</v>
      </c>
      <c r="P60" s="81">
        <f t="shared" si="6"/>
        <v>91.872791519434656</v>
      </c>
      <c r="Q60" s="81">
        <f t="shared" si="6"/>
        <v>116.65502495363592</v>
      </c>
    </row>
    <row r="61" spans="1:17">
      <c r="A61" s="66">
        <v>41537</v>
      </c>
      <c r="B61" s="66">
        <v>41537</v>
      </c>
      <c r="C61" s="71">
        <v>0.502</v>
      </c>
      <c r="D61" s="67">
        <v>0.46</v>
      </c>
      <c r="E61" s="67">
        <v>0.49199999999999999</v>
      </c>
      <c r="F61" s="68">
        <v>54110.03</v>
      </c>
      <c r="G61" s="66">
        <f t="shared" si="0"/>
        <v>41537</v>
      </c>
      <c r="H61" s="70">
        <f t="shared" si="2"/>
        <v>-1.972450534777859E-2</v>
      </c>
      <c r="I61" s="70">
        <f t="shared" si="2"/>
        <v>-2.1506205220963505E-2</v>
      </c>
      <c r="J61" s="70">
        <f t="shared" si="2"/>
        <v>-5.5350095083164956E-2</v>
      </c>
      <c r="K61" s="70">
        <f t="shared" si="2"/>
        <v>-1.8051925603147296E-2</v>
      </c>
      <c r="L61" s="69"/>
      <c r="M61" s="66">
        <f t="shared" si="1"/>
        <v>41537</v>
      </c>
      <c r="N61" s="81">
        <f t="shared" si="6"/>
        <v>126.76767676767675</v>
      </c>
      <c r="O61" s="81">
        <f t="shared" si="6"/>
        <v>109.00473933649295</v>
      </c>
      <c r="P61" s="81">
        <f t="shared" si="6"/>
        <v>86.925795053003554</v>
      </c>
      <c r="Q61" s="81">
        <f t="shared" si="6"/>
        <v>114.56807056762494</v>
      </c>
    </row>
    <row r="62" spans="1:17">
      <c r="A62" s="66">
        <v>41540</v>
      </c>
      <c r="B62" s="66">
        <v>41540</v>
      </c>
      <c r="C62" s="71">
        <v>0.49299999999999999</v>
      </c>
      <c r="D62" s="67">
        <v>0.46</v>
      </c>
      <c r="E62" s="67">
        <v>0.49199999999999999</v>
      </c>
      <c r="F62" s="68">
        <v>54602.38</v>
      </c>
      <c r="G62" s="66">
        <f t="shared" si="0"/>
        <v>41540</v>
      </c>
      <c r="H62" s="70">
        <f t="shared" si="2"/>
        <v>-1.8090945649039073E-2</v>
      </c>
      <c r="I62" s="70">
        <f t="shared" si="2"/>
        <v>0</v>
      </c>
      <c r="J62" s="70">
        <f t="shared" si="2"/>
        <v>0</v>
      </c>
      <c r="K62" s="70">
        <f t="shared" si="2"/>
        <v>9.0579054637847968E-3</v>
      </c>
      <c r="L62" s="69"/>
      <c r="M62" s="66">
        <f t="shared" si="1"/>
        <v>41540</v>
      </c>
      <c r="N62" s="81">
        <f t="shared" si="6"/>
        <v>124.49494949494948</v>
      </c>
      <c r="O62" s="81">
        <f t="shared" si="6"/>
        <v>109.00473933649295</v>
      </c>
      <c r="P62" s="81">
        <f t="shared" si="6"/>
        <v>86.925795053003554</v>
      </c>
      <c r="Q62" s="81">
        <f t="shared" si="6"/>
        <v>115.61053144861079</v>
      </c>
    </row>
    <row r="63" spans="1:17">
      <c r="A63" s="66">
        <v>41541</v>
      </c>
      <c r="B63" s="66">
        <v>41541</v>
      </c>
      <c r="C63" s="71">
        <v>0.48299999999999998</v>
      </c>
      <c r="D63" s="67">
        <v>0.45100000000000001</v>
      </c>
      <c r="E63" s="67">
        <v>0.49199999999999999</v>
      </c>
      <c r="F63" s="68">
        <v>54431.05</v>
      </c>
      <c r="G63" s="66">
        <f t="shared" si="0"/>
        <v>41541</v>
      </c>
      <c r="H63" s="70">
        <f t="shared" si="2"/>
        <v>-2.0492520390117449E-2</v>
      </c>
      <c r="I63" s="70">
        <f t="shared" si="2"/>
        <v>-1.9759149980462333E-2</v>
      </c>
      <c r="J63" s="70">
        <f t="shared" si="2"/>
        <v>0</v>
      </c>
      <c r="K63" s="70">
        <f t="shared" si="2"/>
        <v>-3.1427084521391943E-3</v>
      </c>
      <c r="L63" s="69"/>
      <c r="M63" s="66">
        <f t="shared" si="1"/>
        <v>41541</v>
      </c>
      <c r="N63" s="81">
        <f t="shared" si="6"/>
        <v>121.96969696969695</v>
      </c>
      <c r="O63" s="81">
        <f t="shared" si="6"/>
        <v>106.872037914692</v>
      </c>
      <c r="P63" s="81">
        <f t="shared" si="6"/>
        <v>86.925795053003554</v>
      </c>
      <c r="Q63" s="81">
        <f t="shared" si="6"/>
        <v>115.24777157709804</v>
      </c>
    </row>
    <row r="64" spans="1:17">
      <c r="A64" s="66">
        <v>41542</v>
      </c>
      <c r="B64" s="66">
        <v>41542</v>
      </c>
      <c r="C64" s="67">
        <v>0.502</v>
      </c>
      <c r="D64" s="67">
        <v>0.46</v>
      </c>
      <c r="E64" s="67">
        <v>0.52</v>
      </c>
      <c r="F64" s="68">
        <v>54261.11</v>
      </c>
      <c r="G64" s="66">
        <f t="shared" si="0"/>
        <v>41542</v>
      </c>
      <c r="H64" s="70">
        <f t="shared" si="2"/>
        <v>3.8583466039156612E-2</v>
      </c>
      <c r="I64" s="70">
        <f t="shared" si="2"/>
        <v>1.9759149980462392E-2</v>
      </c>
      <c r="J64" s="70">
        <f t="shared" si="2"/>
        <v>5.5350095083164901E-2</v>
      </c>
      <c r="K64" s="70">
        <f t="shared" si="2"/>
        <v>-3.1269990121549664E-3</v>
      </c>
      <c r="L64" s="69"/>
      <c r="M64" s="66">
        <f t="shared" si="1"/>
        <v>41542</v>
      </c>
      <c r="N64" s="81">
        <f t="shared" si="6"/>
        <v>126.76767676767676</v>
      </c>
      <c r="O64" s="81">
        <f t="shared" si="6"/>
        <v>109.00473933649296</v>
      </c>
      <c r="P64" s="81">
        <f t="shared" si="6"/>
        <v>91.872791519434642</v>
      </c>
      <c r="Q64" s="81">
        <f t="shared" si="6"/>
        <v>114.88795477580884</v>
      </c>
    </row>
    <row r="65" spans="1:17">
      <c r="A65" s="66">
        <v>41543</v>
      </c>
      <c r="B65" s="66">
        <v>41543</v>
      </c>
      <c r="C65" s="67">
        <v>0.49299999999999999</v>
      </c>
      <c r="D65" s="67">
        <v>0.46</v>
      </c>
      <c r="E65" s="67">
        <v>0.51</v>
      </c>
      <c r="F65" s="68">
        <v>53782.97</v>
      </c>
      <c r="G65" s="66">
        <f t="shared" si="0"/>
        <v>41543</v>
      </c>
      <c r="H65" s="70">
        <f t="shared" si="2"/>
        <v>-1.8090945649039073E-2</v>
      </c>
      <c r="I65" s="70">
        <f t="shared" si="2"/>
        <v>0</v>
      </c>
      <c r="J65" s="70">
        <f t="shared" si="2"/>
        <v>-1.9418085857101627E-2</v>
      </c>
      <c r="K65" s="70">
        <f t="shared" si="2"/>
        <v>-8.8508897735717924E-3</v>
      </c>
      <c r="L65" s="69"/>
      <c r="M65" s="66">
        <f t="shared" si="1"/>
        <v>41543</v>
      </c>
      <c r="N65" s="81">
        <f t="shared" si="6"/>
        <v>124.49494949494949</v>
      </c>
      <c r="O65" s="81">
        <f t="shared" si="6"/>
        <v>109.00473933649296</v>
      </c>
      <c r="P65" s="81">
        <f t="shared" si="6"/>
        <v>90.106007067137824</v>
      </c>
      <c r="Q65" s="81">
        <f t="shared" si="6"/>
        <v>113.87558096523797</v>
      </c>
    </row>
    <row r="66" spans="1:17">
      <c r="A66" s="66">
        <v>41544</v>
      </c>
      <c r="B66" s="66">
        <v>41544</v>
      </c>
      <c r="C66" s="67">
        <v>0.49299999999999999</v>
      </c>
      <c r="D66" s="67">
        <v>0.46</v>
      </c>
      <c r="E66" s="67">
        <v>0.52</v>
      </c>
      <c r="F66" s="68">
        <v>53738.92</v>
      </c>
      <c r="G66" s="66">
        <f t="shared" si="0"/>
        <v>41544</v>
      </c>
      <c r="H66" s="70">
        <f t="shared" si="2"/>
        <v>0</v>
      </c>
      <c r="I66" s="70">
        <f t="shared" si="2"/>
        <v>0</v>
      </c>
      <c r="J66" s="70">
        <f t="shared" si="2"/>
        <v>1.9418085857101516E-2</v>
      </c>
      <c r="K66" s="70">
        <f t="shared" si="2"/>
        <v>-8.1936808336360921E-4</v>
      </c>
      <c r="L66" s="69"/>
      <c r="M66" s="66">
        <f t="shared" si="1"/>
        <v>41544</v>
      </c>
      <c r="N66" s="81">
        <f t="shared" si="6"/>
        <v>124.49494949494949</v>
      </c>
      <c r="O66" s="81">
        <f t="shared" si="6"/>
        <v>109.00473933649296</v>
      </c>
      <c r="P66" s="81">
        <f t="shared" si="6"/>
        <v>91.872791519434642</v>
      </c>
      <c r="Q66" s="81">
        <f t="shared" si="6"/>
        <v>113.78231316426829</v>
      </c>
    </row>
    <row r="67" spans="1:17">
      <c r="A67" s="66">
        <v>41547</v>
      </c>
      <c r="B67" s="66">
        <v>41547</v>
      </c>
      <c r="C67" s="67">
        <v>0.49299999999999999</v>
      </c>
      <c r="D67" s="67">
        <v>0.46</v>
      </c>
      <c r="E67" s="67">
        <v>0.52</v>
      </c>
      <c r="F67" s="68">
        <v>52338.19</v>
      </c>
      <c r="G67" s="66">
        <f t="shared" si="0"/>
        <v>41547</v>
      </c>
      <c r="H67" s="70">
        <f t="shared" si="2"/>
        <v>0</v>
      </c>
      <c r="I67" s="70">
        <f t="shared" si="2"/>
        <v>0</v>
      </c>
      <c r="J67" s="70">
        <f t="shared" si="2"/>
        <v>0</v>
      </c>
      <c r="K67" s="70">
        <f t="shared" si="2"/>
        <v>-2.6411191301135107E-2</v>
      </c>
      <c r="L67" s="69"/>
      <c r="M67" s="66">
        <f t="shared" si="1"/>
        <v>41547</v>
      </c>
      <c r="N67" s="81">
        <f t="shared" si="6"/>
        <v>124.49494949494949</v>
      </c>
      <c r="O67" s="81">
        <f t="shared" si="6"/>
        <v>109.00473933649296</v>
      </c>
      <c r="P67" s="81">
        <f t="shared" si="6"/>
        <v>91.872791519434642</v>
      </c>
      <c r="Q67" s="81">
        <f t="shared" si="6"/>
        <v>110.81652413243465</v>
      </c>
    </row>
    <row r="68" spans="1:17">
      <c r="A68" s="66">
        <v>41548</v>
      </c>
      <c r="B68" s="66">
        <v>41548</v>
      </c>
      <c r="C68" s="67">
        <v>0.502</v>
      </c>
      <c r="D68" s="67">
        <v>0.46</v>
      </c>
      <c r="E68" s="67">
        <v>0.52</v>
      </c>
      <c r="F68" s="68">
        <v>53179.46</v>
      </c>
      <c r="G68" s="66">
        <f t="shared" ref="G68:G131" si="7">A68</f>
        <v>41548</v>
      </c>
      <c r="H68" s="70">
        <f t="shared" si="2"/>
        <v>1.8090945649039045E-2</v>
      </c>
      <c r="I68" s="70">
        <f t="shared" si="2"/>
        <v>0</v>
      </c>
      <c r="J68" s="70">
        <f t="shared" si="2"/>
        <v>0</v>
      </c>
      <c r="K68" s="70">
        <f t="shared" ref="K68:K131" si="8">LN(F68/F67)</f>
        <v>1.5945916647934665E-2</v>
      </c>
      <c r="L68" s="69"/>
      <c r="M68" s="66">
        <f t="shared" ref="M68:M131" si="9">A68</f>
        <v>41548</v>
      </c>
      <c r="N68" s="81">
        <f t="shared" si="6"/>
        <v>126.76767676767676</v>
      </c>
      <c r="O68" s="81">
        <f t="shared" si="6"/>
        <v>109.00473933649296</v>
      </c>
      <c r="P68" s="81">
        <f t="shared" si="6"/>
        <v>91.872791519434642</v>
      </c>
      <c r="Q68" s="81">
        <f t="shared" si="6"/>
        <v>112.59775915903555</v>
      </c>
    </row>
    <row r="69" spans="1:17">
      <c r="A69" s="66">
        <v>41549</v>
      </c>
      <c r="B69" s="66">
        <v>41549</v>
      </c>
      <c r="C69" s="67">
        <v>0.502</v>
      </c>
      <c r="D69" s="67">
        <v>0.46</v>
      </c>
      <c r="E69" s="67">
        <v>0.51</v>
      </c>
      <c r="F69" s="68">
        <v>53100.18</v>
      </c>
      <c r="G69" s="66">
        <f t="shared" si="7"/>
        <v>41549</v>
      </c>
      <c r="H69" s="70">
        <f t="shared" ref="H69:K132" si="10">LN(C69/C68)</f>
        <v>0</v>
      </c>
      <c r="I69" s="70">
        <f t="shared" si="10"/>
        <v>0</v>
      </c>
      <c r="J69" s="70">
        <f t="shared" si="10"/>
        <v>-1.9418085857101627E-2</v>
      </c>
      <c r="K69" s="70">
        <f t="shared" si="8"/>
        <v>-1.4919134973576144E-3</v>
      </c>
      <c r="L69" s="69"/>
      <c r="M69" s="66">
        <f t="shared" si="9"/>
        <v>41549</v>
      </c>
      <c r="N69" s="81">
        <f t="shared" ref="N69:Q84" si="11">C69/C68*N68</f>
        <v>126.76767676767676</v>
      </c>
      <c r="O69" s="81">
        <f t="shared" si="11"/>
        <v>109.00473933649296</v>
      </c>
      <c r="P69" s="81">
        <f t="shared" si="11"/>
        <v>90.106007067137824</v>
      </c>
      <c r="Q69" s="81">
        <f t="shared" si="11"/>
        <v>112.42989829045719</v>
      </c>
    </row>
    <row r="70" spans="1:17">
      <c r="A70" s="66">
        <v>41550</v>
      </c>
      <c r="B70" s="66">
        <v>41550</v>
      </c>
      <c r="C70" s="67">
        <v>0.49299999999999999</v>
      </c>
      <c r="D70" s="67">
        <v>0.45100000000000001</v>
      </c>
      <c r="E70" s="67">
        <v>0.51</v>
      </c>
      <c r="F70" s="68">
        <v>52489.86</v>
      </c>
      <c r="G70" s="66">
        <f t="shared" si="7"/>
        <v>41550</v>
      </c>
      <c r="H70" s="70">
        <f t="shared" si="10"/>
        <v>-1.8090945649039073E-2</v>
      </c>
      <c r="I70" s="70">
        <f t="shared" si="10"/>
        <v>-1.9759149980462333E-2</v>
      </c>
      <c r="J70" s="70">
        <f t="shared" si="10"/>
        <v>0</v>
      </c>
      <c r="K70" s="70">
        <f t="shared" si="8"/>
        <v>-1.1560309986704632E-2</v>
      </c>
      <c r="L70" s="69"/>
      <c r="M70" s="66">
        <f t="shared" si="9"/>
        <v>41550</v>
      </c>
      <c r="N70" s="81">
        <f t="shared" si="11"/>
        <v>124.49494949494949</v>
      </c>
      <c r="O70" s="81">
        <f t="shared" si="11"/>
        <v>106.87203791469202</v>
      </c>
      <c r="P70" s="81">
        <f t="shared" si="11"/>
        <v>90.106007067137824</v>
      </c>
      <c r="Q70" s="81">
        <f t="shared" si="11"/>
        <v>111.13765755747602</v>
      </c>
    </row>
    <row r="71" spans="1:17">
      <c r="A71" s="66">
        <v>41551</v>
      </c>
      <c r="B71" s="66">
        <v>41551</v>
      </c>
      <c r="C71" s="67">
        <v>0.502</v>
      </c>
      <c r="D71" s="67">
        <v>0.45100000000000001</v>
      </c>
      <c r="E71" s="67">
        <v>0.51</v>
      </c>
      <c r="F71" s="68">
        <v>52848.97</v>
      </c>
      <c r="G71" s="66">
        <f t="shared" si="7"/>
        <v>41551</v>
      </c>
      <c r="H71" s="70">
        <f t="shared" si="10"/>
        <v>1.8090945649039045E-2</v>
      </c>
      <c r="I71" s="70">
        <f t="shared" si="10"/>
        <v>0</v>
      </c>
      <c r="J71" s="70">
        <f t="shared" si="10"/>
        <v>0</v>
      </c>
      <c r="K71" s="70">
        <f t="shared" si="8"/>
        <v>6.8182149202283505E-3</v>
      </c>
      <c r="L71" s="69"/>
      <c r="M71" s="66">
        <f t="shared" si="9"/>
        <v>41551</v>
      </c>
      <c r="N71" s="81">
        <f t="shared" si="11"/>
        <v>126.76767676767676</v>
      </c>
      <c r="O71" s="81">
        <f t="shared" si="11"/>
        <v>106.87203791469202</v>
      </c>
      <c r="P71" s="81">
        <f t="shared" si="11"/>
        <v>90.106007067137824</v>
      </c>
      <c r="Q71" s="81">
        <f t="shared" si="11"/>
        <v>111.89800716034151</v>
      </c>
    </row>
    <row r="72" spans="1:17">
      <c r="A72" s="66">
        <v>41554</v>
      </c>
      <c r="B72" s="66">
        <v>41554</v>
      </c>
      <c r="C72" s="67">
        <v>0.51200000000000001</v>
      </c>
      <c r="D72" s="67">
        <v>0.45100000000000001</v>
      </c>
      <c r="E72" s="67">
        <v>0.501</v>
      </c>
      <c r="F72" s="68">
        <v>52417.1</v>
      </c>
      <c r="G72" s="66">
        <f t="shared" si="7"/>
        <v>41554</v>
      </c>
      <c r="H72" s="70">
        <f t="shared" si="10"/>
        <v>1.9724505347778573E-2</v>
      </c>
      <c r="I72" s="70">
        <f t="shared" si="10"/>
        <v>0</v>
      </c>
      <c r="J72" s="70">
        <f t="shared" si="10"/>
        <v>-1.7804624633506707E-2</v>
      </c>
      <c r="K72" s="70">
        <f t="shared" si="8"/>
        <v>-8.2053490372918786E-3</v>
      </c>
      <c r="L72" s="69"/>
      <c r="M72" s="66">
        <f t="shared" si="9"/>
        <v>41554</v>
      </c>
      <c r="N72" s="81">
        <f t="shared" si="11"/>
        <v>129.29292929292927</v>
      </c>
      <c r="O72" s="81">
        <f t="shared" si="11"/>
        <v>106.87203791469202</v>
      </c>
      <c r="P72" s="81">
        <f t="shared" si="11"/>
        <v>88.515901060070675</v>
      </c>
      <c r="Q72" s="81">
        <f t="shared" si="11"/>
        <v>110.9836015938312</v>
      </c>
    </row>
    <row r="73" spans="1:17">
      <c r="A73" s="66">
        <v>41555</v>
      </c>
      <c r="B73" s="66">
        <v>41555</v>
      </c>
      <c r="C73" s="67">
        <v>0.502</v>
      </c>
      <c r="D73" s="67">
        <v>0.45100000000000001</v>
      </c>
      <c r="E73" s="67">
        <v>0.501</v>
      </c>
      <c r="F73" s="68">
        <v>52312.44</v>
      </c>
      <c r="G73" s="66">
        <f t="shared" si="7"/>
        <v>41555</v>
      </c>
      <c r="H73" s="70">
        <f t="shared" si="10"/>
        <v>-1.972450534777859E-2</v>
      </c>
      <c r="I73" s="70">
        <f t="shared" si="10"/>
        <v>0</v>
      </c>
      <c r="J73" s="70">
        <f t="shared" si="10"/>
        <v>0</v>
      </c>
      <c r="K73" s="70">
        <f t="shared" si="8"/>
        <v>-1.998672673256663E-3</v>
      </c>
      <c r="L73" s="69"/>
      <c r="M73" s="66">
        <f t="shared" si="9"/>
        <v>41555</v>
      </c>
      <c r="N73" s="81">
        <f t="shared" si="11"/>
        <v>126.76767676767675</v>
      </c>
      <c r="O73" s="81">
        <f t="shared" si="11"/>
        <v>106.87203791469202</v>
      </c>
      <c r="P73" s="81">
        <f t="shared" si="11"/>
        <v>88.515901060070675</v>
      </c>
      <c r="Q73" s="81">
        <f t="shared" si="11"/>
        <v>110.76200322721401</v>
      </c>
    </row>
    <row r="74" spans="1:17">
      <c r="A74" s="66">
        <v>41556</v>
      </c>
      <c r="B74" s="66">
        <v>41556</v>
      </c>
      <c r="C74" s="67">
        <v>0.502</v>
      </c>
      <c r="D74" s="67">
        <v>0.46</v>
      </c>
      <c r="E74" s="67">
        <v>0.49199999999999999</v>
      </c>
      <c r="F74" s="68">
        <v>52547.71</v>
      </c>
      <c r="G74" s="66">
        <f t="shared" si="7"/>
        <v>41556</v>
      </c>
      <c r="H74" s="70">
        <f t="shared" si="10"/>
        <v>0</v>
      </c>
      <c r="I74" s="70">
        <f t="shared" si="10"/>
        <v>1.9759149980462392E-2</v>
      </c>
      <c r="J74" s="70">
        <f t="shared" si="10"/>
        <v>-1.8127384592556715E-2</v>
      </c>
      <c r="K74" s="70">
        <f t="shared" si="8"/>
        <v>4.4873175326048649E-3</v>
      </c>
      <c r="L74" s="69"/>
      <c r="M74" s="66">
        <f t="shared" si="9"/>
        <v>41556</v>
      </c>
      <c r="N74" s="81">
        <f t="shared" si="11"/>
        <v>126.76767676767675</v>
      </c>
      <c r="O74" s="81">
        <f t="shared" si="11"/>
        <v>109.00473933649297</v>
      </c>
      <c r="P74" s="81">
        <f t="shared" si="11"/>
        <v>86.92579505300354</v>
      </c>
      <c r="Q74" s="81">
        <f t="shared" si="11"/>
        <v>111.26014432901056</v>
      </c>
    </row>
    <row r="75" spans="1:17">
      <c r="A75" s="66">
        <v>41557</v>
      </c>
      <c r="B75" s="66">
        <v>41557</v>
      </c>
      <c r="C75" s="67">
        <v>0.49299999999999999</v>
      </c>
      <c r="D75" s="67">
        <v>0.45100000000000001</v>
      </c>
      <c r="E75" s="67">
        <v>0.49199999999999999</v>
      </c>
      <c r="F75" s="68">
        <v>52996.639999999999</v>
      </c>
      <c r="G75" s="66">
        <f t="shared" si="7"/>
        <v>41557</v>
      </c>
      <c r="H75" s="70">
        <f t="shared" si="10"/>
        <v>-1.8090945649039073E-2</v>
      </c>
      <c r="I75" s="70">
        <f t="shared" si="10"/>
        <v>-1.9759149980462333E-2</v>
      </c>
      <c r="J75" s="70">
        <f t="shared" si="10"/>
        <v>0</v>
      </c>
      <c r="K75" s="70">
        <f t="shared" si="8"/>
        <v>8.5069964878447413E-3</v>
      </c>
      <c r="L75" s="69"/>
      <c r="M75" s="66">
        <f t="shared" si="9"/>
        <v>41557</v>
      </c>
      <c r="N75" s="81">
        <f t="shared" si="11"/>
        <v>124.49494949494948</v>
      </c>
      <c r="O75" s="81">
        <f t="shared" si="11"/>
        <v>106.87203791469203</v>
      </c>
      <c r="P75" s="81">
        <f t="shared" si="11"/>
        <v>86.92579505300354</v>
      </c>
      <c r="Q75" s="81">
        <f t="shared" si="11"/>
        <v>112.21067131855249</v>
      </c>
    </row>
    <row r="76" spans="1:17">
      <c r="A76" s="66">
        <v>41558</v>
      </c>
      <c r="B76" s="66">
        <v>41558</v>
      </c>
      <c r="C76" s="71">
        <v>0.49299999999999999</v>
      </c>
      <c r="D76" s="67">
        <v>0.46</v>
      </c>
      <c r="E76" s="67">
        <v>0.49199999999999999</v>
      </c>
      <c r="F76" s="68">
        <v>53149.62</v>
      </c>
      <c r="G76" s="66">
        <f t="shared" si="7"/>
        <v>41558</v>
      </c>
      <c r="H76" s="70">
        <f t="shared" si="10"/>
        <v>0</v>
      </c>
      <c r="I76" s="70">
        <f t="shared" si="10"/>
        <v>1.9759149980462392E-2</v>
      </c>
      <c r="J76" s="70">
        <f t="shared" si="10"/>
        <v>0</v>
      </c>
      <c r="K76" s="70">
        <f t="shared" si="8"/>
        <v>2.8824398696478135E-3</v>
      </c>
      <c r="L76" s="69"/>
      <c r="M76" s="66">
        <f t="shared" si="9"/>
        <v>41558</v>
      </c>
      <c r="N76" s="81">
        <f t="shared" si="11"/>
        <v>124.49494949494948</v>
      </c>
      <c r="O76" s="81">
        <f t="shared" si="11"/>
        <v>109.00473933649299</v>
      </c>
      <c r="P76" s="81">
        <f t="shared" si="11"/>
        <v>86.92579505300354</v>
      </c>
      <c r="Q76" s="81">
        <f t="shared" si="11"/>
        <v>112.53457842848083</v>
      </c>
    </row>
    <row r="77" spans="1:17">
      <c r="A77" s="66">
        <v>41561</v>
      </c>
      <c r="B77" s="66">
        <v>41561</v>
      </c>
      <c r="C77" s="67">
        <v>0.53100000000000003</v>
      </c>
      <c r="D77" s="67">
        <v>0.45100000000000001</v>
      </c>
      <c r="E77" s="67">
        <v>0.501</v>
      </c>
      <c r="F77" s="68">
        <v>54170.6</v>
      </c>
      <c r="G77" s="66">
        <f t="shared" si="7"/>
        <v>41561</v>
      </c>
      <c r="H77" s="70">
        <f t="shared" si="10"/>
        <v>7.4252847199248698E-2</v>
      </c>
      <c r="I77" s="70">
        <f t="shared" si="10"/>
        <v>-1.9759149980462333E-2</v>
      </c>
      <c r="J77" s="70">
        <f t="shared" si="10"/>
        <v>1.8127384592556701E-2</v>
      </c>
      <c r="K77" s="70">
        <f t="shared" si="8"/>
        <v>1.9027370664199534E-2</v>
      </c>
      <c r="L77" s="69"/>
      <c r="M77" s="66">
        <f t="shared" si="9"/>
        <v>41561</v>
      </c>
      <c r="N77" s="81">
        <f t="shared" si="11"/>
        <v>134.09090909090907</v>
      </c>
      <c r="O77" s="81">
        <f t="shared" si="11"/>
        <v>106.87203791469204</v>
      </c>
      <c r="P77" s="81">
        <f t="shared" si="11"/>
        <v>88.515901060070675</v>
      </c>
      <c r="Q77" s="81">
        <f t="shared" si="11"/>
        <v>114.69631644060414</v>
      </c>
    </row>
    <row r="78" spans="1:17">
      <c r="A78" s="66">
        <v>41562</v>
      </c>
      <c r="B78" s="66">
        <v>41562</v>
      </c>
      <c r="C78" s="67">
        <v>0.51200000000000001</v>
      </c>
      <c r="D78" s="67">
        <v>0.45100000000000001</v>
      </c>
      <c r="E78" s="67">
        <v>0.501</v>
      </c>
      <c r="F78" s="68">
        <v>54980.639999999999</v>
      </c>
      <c r="G78" s="66">
        <f t="shared" si="7"/>
        <v>41562</v>
      </c>
      <c r="H78" s="70">
        <f t="shared" si="10"/>
        <v>-3.643739620243109E-2</v>
      </c>
      <c r="I78" s="70">
        <f t="shared" si="10"/>
        <v>0</v>
      </c>
      <c r="J78" s="70">
        <f t="shared" si="10"/>
        <v>0</v>
      </c>
      <c r="K78" s="70">
        <f t="shared" si="8"/>
        <v>1.4842797416000524E-2</v>
      </c>
      <c r="L78" s="69"/>
      <c r="M78" s="66">
        <f t="shared" si="9"/>
        <v>41562</v>
      </c>
      <c r="N78" s="81">
        <f t="shared" si="11"/>
        <v>129.29292929292927</v>
      </c>
      <c r="O78" s="81">
        <f t="shared" si="11"/>
        <v>106.87203791469204</v>
      </c>
      <c r="P78" s="81">
        <f t="shared" si="11"/>
        <v>88.515901060070675</v>
      </c>
      <c r="Q78" s="81">
        <f t="shared" si="11"/>
        <v>116.41142766642676</v>
      </c>
    </row>
    <row r="79" spans="1:17">
      <c r="A79" s="66">
        <v>41563</v>
      </c>
      <c r="B79" s="66">
        <v>41563</v>
      </c>
      <c r="C79" s="67">
        <v>0.502</v>
      </c>
      <c r="D79" s="67">
        <v>0.45100000000000001</v>
      </c>
      <c r="E79" s="67">
        <v>0.51</v>
      </c>
      <c r="F79" s="68">
        <v>55973.03</v>
      </c>
      <c r="G79" s="66">
        <f t="shared" si="7"/>
        <v>41563</v>
      </c>
      <c r="H79" s="70">
        <f t="shared" si="10"/>
        <v>-1.972450534777859E-2</v>
      </c>
      <c r="I79" s="70">
        <f t="shared" si="10"/>
        <v>0</v>
      </c>
      <c r="J79" s="70">
        <f t="shared" si="10"/>
        <v>1.7804624633506686E-2</v>
      </c>
      <c r="K79" s="70">
        <f t="shared" si="8"/>
        <v>1.788884431639402E-2</v>
      </c>
      <c r="L79" s="69"/>
      <c r="M79" s="66">
        <f t="shared" si="9"/>
        <v>41563</v>
      </c>
      <c r="N79" s="81">
        <f t="shared" si="11"/>
        <v>126.76767676767675</v>
      </c>
      <c r="O79" s="81">
        <f t="shared" si="11"/>
        <v>106.87203791469204</v>
      </c>
      <c r="P79" s="81">
        <f t="shared" si="11"/>
        <v>90.10600706713781</v>
      </c>
      <c r="Q79" s="81">
        <f t="shared" si="11"/>
        <v>118.51263159387986</v>
      </c>
    </row>
    <row r="80" spans="1:17">
      <c r="A80" s="66">
        <v>41564</v>
      </c>
      <c r="B80" s="66">
        <v>41564</v>
      </c>
      <c r="C80" s="67">
        <v>0.53100000000000003</v>
      </c>
      <c r="D80" s="67">
        <v>0.441</v>
      </c>
      <c r="E80" s="67">
        <v>0.52900000000000003</v>
      </c>
      <c r="F80" s="68">
        <v>55358.13</v>
      </c>
      <c r="G80" s="66">
        <f t="shared" si="7"/>
        <v>41564</v>
      </c>
      <c r="H80" s="70">
        <f t="shared" si="10"/>
        <v>5.6161901550209586E-2</v>
      </c>
      <c r="I80" s="70">
        <f t="shared" si="10"/>
        <v>-2.2422464055832397E-2</v>
      </c>
      <c r="J80" s="70">
        <f t="shared" si="10"/>
        <v>3.6577706139928015E-2</v>
      </c>
      <c r="K80" s="70">
        <f t="shared" si="8"/>
        <v>-1.1046435745162992E-2</v>
      </c>
      <c r="L80" s="69"/>
      <c r="M80" s="66">
        <f t="shared" si="9"/>
        <v>41564</v>
      </c>
      <c r="N80" s="81">
        <f t="shared" si="11"/>
        <v>134.09090909090907</v>
      </c>
      <c r="O80" s="81">
        <f t="shared" si="11"/>
        <v>104.50236966824654</v>
      </c>
      <c r="P80" s="81">
        <f t="shared" si="11"/>
        <v>93.462897526501777</v>
      </c>
      <c r="Q80" s="81">
        <f t="shared" si="11"/>
        <v>117.2106935503779</v>
      </c>
    </row>
    <row r="81" spans="1:17">
      <c r="A81" s="66">
        <v>41565</v>
      </c>
      <c r="B81" s="66">
        <v>41565</v>
      </c>
      <c r="C81" s="67">
        <v>0.502</v>
      </c>
      <c r="D81" s="67">
        <v>0.441</v>
      </c>
      <c r="E81" s="67">
        <v>0.53800000000000003</v>
      </c>
      <c r="F81" s="68">
        <v>55378.46</v>
      </c>
      <c r="G81" s="66">
        <f t="shared" si="7"/>
        <v>41565</v>
      </c>
      <c r="H81" s="70">
        <f t="shared" si="10"/>
        <v>-5.6161901550209656E-2</v>
      </c>
      <c r="I81" s="70">
        <f t="shared" si="10"/>
        <v>0</v>
      </c>
      <c r="J81" s="70">
        <f t="shared" si="10"/>
        <v>1.6870128303484975E-2</v>
      </c>
      <c r="K81" s="70">
        <f t="shared" si="8"/>
        <v>3.6717764613146587E-4</v>
      </c>
      <c r="L81" s="69"/>
      <c r="M81" s="66">
        <f t="shared" si="9"/>
        <v>41565</v>
      </c>
      <c r="N81" s="81">
        <f t="shared" si="11"/>
        <v>126.76767676767675</v>
      </c>
      <c r="O81" s="81">
        <f t="shared" si="11"/>
        <v>104.50236966824654</v>
      </c>
      <c r="P81" s="81">
        <f t="shared" si="11"/>
        <v>95.053003533568912</v>
      </c>
      <c r="Q81" s="81">
        <f t="shared" si="11"/>
        <v>117.25373859904337</v>
      </c>
    </row>
    <row r="82" spans="1:17">
      <c r="A82" s="66">
        <v>41568</v>
      </c>
      <c r="B82" s="66">
        <v>41568</v>
      </c>
      <c r="C82" s="67">
        <v>0.502</v>
      </c>
      <c r="D82" s="67">
        <v>0.441</v>
      </c>
      <c r="E82" s="67">
        <v>0.52</v>
      </c>
      <c r="F82" s="68">
        <v>56077.43</v>
      </c>
      <c r="G82" s="66">
        <f t="shared" si="7"/>
        <v>41568</v>
      </c>
      <c r="H82" s="70">
        <f t="shared" si="10"/>
        <v>0</v>
      </c>
      <c r="I82" s="70">
        <f t="shared" si="10"/>
        <v>0</v>
      </c>
      <c r="J82" s="70">
        <f t="shared" si="10"/>
        <v>-3.4029748586311373E-2</v>
      </c>
      <c r="K82" s="70">
        <f t="shared" si="8"/>
        <v>1.2542704803492699E-2</v>
      </c>
      <c r="L82" s="69"/>
      <c r="M82" s="66">
        <f t="shared" si="9"/>
        <v>41568</v>
      </c>
      <c r="N82" s="81">
        <f t="shared" si="11"/>
        <v>126.76767676767675</v>
      </c>
      <c r="O82" s="81">
        <f t="shared" si="11"/>
        <v>104.50236966824654</v>
      </c>
      <c r="P82" s="81">
        <f t="shared" si="11"/>
        <v>91.872791519434642</v>
      </c>
      <c r="Q82" s="81">
        <f t="shared" si="11"/>
        <v>118.73367945815309</v>
      </c>
    </row>
    <row r="83" spans="1:17">
      <c r="A83" s="66">
        <v>41569</v>
      </c>
      <c r="B83" s="66">
        <v>41569</v>
      </c>
      <c r="C83" s="67">
        <v>0.502</v>
      </c>
      <c r="D83" s="67">
        <v>0.441</v>
      </c>
      <c r="E83" s="67">
        <v>0.52900000000000003</v>
      </c>
      <c r="F83" s="68">
        <v>56460.38</v>
      </c>
      <c r="G83" s="66">
        <f t="shared" si="7"/>
        <v>41569</v>
      </c>
      <c r="H83" s="70">
        <f t="shared" si="10"/>
        <v>0</v>
      </c>
      <c r="I83" s="70">
        <f t="shared" si="10"/>
        <v>0</v>
      </c>
      <c r="J83" s="70">
        <f t="shared" si="10"/>
        <v>1.7159620282826284E-2</v>
      </c>
      <c r="K83" s="70">
        <f t="shared" si="8"/>
        <v>6.8057389445319114E-3</v>
      </c>
      <c r="L83" s="69"/>
      <c r="M83" s="66">
        <f t="shared" si="9"/>
        <v>41569</v>
      </c>
      <c r="N83" s="81">
        <f t="shared" si="11"/>
        <v>126.76767676767675</v>
      </c>
      <c r="O83" s="81">
        <f t="shared" si="11"/>
        <v>104.50236966824654</v>
      </c>
      <c r="P83" s="81">
        <f t="shared" si="11"/>
        <v>93.462897526501777</v>
      </c>
      <c r="Q83" s="81">
        <f t="shared" si="11"/>
        <v>119.54450589132772</v>
      </c>
    </row>
    <row r="84" spans="1:17">
      <c r="A84" s="66">
        <v>41570</v>
      </c>
      <c r="B84" s="66">
        <v>41570</v>
      </c>
      <c r="C84" s="67">
        <v>0.48299999999999998</v>
      </c>
      <c r="D84" s="67">
        <v>0.441</v>
      </c>
      <c r="E84" s="67">
        <v>0.49199999999999999</v>
      </c>
      <c r="F84" s="68">
        <v>55440.03</v>
      </c>
      <c r="G84" s="66">
        <f t="shared" si="7"/>
        <v>41570</v>
      </c>
      <c r="H84" s="70">
        <f t="shared" si="10"/>
        <v>-3.8583466039156591E-2</v>
      </c>
      <c r="I84" s="70">
        <f t="shared" si="10"/>
        <v>0</v>
      </c>
      <c r="J84" s="70">
        <f t="shared" si="10"/>
        <v>-7.2509715365991392E-2</v>
      </c>
      <c r="K84" s="70">
        <f t="shared" si="8"/>
        <v>-1.823725722427352E-2</v>
      </c>
      <c r="L84" s="69"/>
      <c r="M84" s="66">
        <f t="shared" si="9"/>
        <v>41570</v>
      </c>
      <c r="N84" s="81">
        <f t="shared" si="11"/>
        <v>121.96969696969694</v>
      </c>
      <c r="O84" s="81">
        <f t="shared" si="11"/>
        <v>104.50236966824654</v>
      </c>
      <c r="P84" s="81">
        <f t="shared" si="11"/>
        <v>86.925795053003526</v>
      </c>
      <c r="Q84" s="81">
        <f t="shared" si="11"/>
        <v>117.38410178873018</v>
      </c>
    </row>
    <row r="85" spans="1:17">
      <c r="A85" s="66">
        <v>41571</v>
      </c>
      <c r="B85" s="66">
        <v>41571</v>
      </c>
      <c r="C85" s="67">
        <v>0.502</v>
      </c>
      <c r="D85" s="67">
        <v>0.441</v>
      </c>
      <c r="E85" s="67">
        <v>0.51</v>
      </c>
      <c r="F85" s="68">
        <v>54877.15</v>
      </c>
      <c r="G85" s="66">
        <f t="shared" si="7"/>
        <v>41571</v>
      </c>
      <c r="H85" s="70">
        <f t="shared" si="10"/>
        <v>3.8583466039156612E-2</v>
      </c>
      <c r="I85" s="70">
        <f t="shared" si="10"/>
        <v>0</v>
      </c>
      <c r="J85" s="70">
        <f t="shared" si="10"/>
        <v>3.593200922606337E-2</v>
      </c>
      <c r="K85" s="70">
        <f t="shared" si="8"/>
        <v>-1.0204845424779511E-2</v>
      </c>
      <c r="L85" s="69"/>
      <c r="M85" s="66">
        <f t="shared" si="9"/>
        <v>41571</v>
      </c>
      <c r="N85" s="81">
        <f t="shared" ref="N85:Q100" si="12">C85/C84*N84</f>
        <v>126.76767676767675</v>
      </c>
      <c r="O85" s="81">
        <f t="shared" si="12"/>
        <v>104.50236966824654</v>
      </c>
      <c r="P85" s="81">
        <f t="shared" si="12"/>
        <v>90.10600706713781</v>
      </c>
      <c r="Q85" s="81">
        <f t="shared" si="12"/>
        <v>116.19230656035747</v>
      </c>
    </row>
    <row r="86" spans="1:17">
      <c r="A86" s="66">
        <v>41572</v>
      </c>
      <c r="B86" s="66">
        <v>41572</v>
      </c>
      <c r="C86" s="67">
        <v>0.502</v>
      </c>
      <c r="D86" s="67">
        <v>0.46</v>
      </c>
      <c r="E86" s="67">
        <v>0.501</v>
      </c>
      <c r="F86" s="68">
        <v>54154.15</v>
      </c>
      <c r="G86" s="66">
        <f t="shared" si="7"/>
        <v>41572</v>
      </c>
      <c r="H86" s="70">
        <f t="shared" si="10"/>
        <v>0</v>
      </c>
      <c r="I86" s="70">
        <f t="shared" si="10"/>
        <v>4.2181614036294668E-2</v>
      </c>
      <c r="J86" s="70">
        <f t="shared" si="10"/>
        <v>-1.7804624633506707E-2</v>
      </c>
      <c r="K86" s="70">
        <f t="shared" si="8"/>
        <v>-1.3262441106043181E-2</v>
      </c>
      <c r="L86" s="69"/>
      <c r="M86" s="66">
        <f t="shared" si="9"/>
        <v>41572</v>
      </c>
      <c r="N86" s="81">
        <f t="shared" si="12"/>
        <v>126.76767676767675</v>
      </c>
      <c r="O86" s="81">
        <f t="shared" si="12"/>
        <v>109.00473933649299</v>
      </c>
      <c r="P86" s="81">
        <f t="shared" si="12"/>
        <v>88.515901060070661</v>
      </c>
      <c r="Q86" s="81">
        <f t="shared" si="12"/>
        <v>114.66148658076418</v>
      </c>
    </row>
    <row r="87" spans="1:17">
      <c r="A87" s="66">
        <v>41575</v>
      </c>
      <c r="B87" s="66">
        <v>41575</v>
      </c>
      <c r="C87" s="71">
        <v>0.502</v>
      </c>
      <c r="D87" s="67">
        <v>0.47</v>
      </c>
      <c r="E87" s="67">
        <v>0.49199999999999999</v>
      </c>
      <c r="F87" s="68">
        <v>55073.37</v>
      </c>
      <c r="G87" s="66">
        <f t="shared" si="7"/>
        <v>41575</v>
      </c>
      <c r="H87" s="70">
        <f t="shared" si="10"/>
        <v>0</v>
      </c>
      <c r="I87" s="70">
        <f t="shared" si="10"/>
        <v>2.1506205220963463E-2</v>
      </c>
      <c r="J87" s="70">
        <f t="shared" si="10"/>
        <v>-1.8127384592556715E-2</v>
      </c>
      <c r="K87" s="70">
        <f t="shared" si="8"/>
        <v>1.6831686768769588E-2</v>
      </c>
      <c r="L87" s="69"/>
      <c r="M87" s="66">
        <f t="shared" si="9"/>
        <v>41575</v>
      </c>
      <c r="N87" s="81">
        <f t="shared" si="12"/>
        <v>126.76767676767675</v>
      </c>
      <c r="O87" s="81">
        <f t="shared" si="12"/>
        <v>111.37440758293847</v>
      </c>
      <c r="P87" s="81">
        <f t="shared" si="12"/>
        <v>86.925795053003526</v>
      </c>
      <c r="Q87" s="81">
        <f t="shared" si="12"/>
        <v>116.60776644472234</v>
      </c>
    </row>
    <row r="88" spans="1:17">
      <c r="A88" s="66">
        <v>41576</v>
      </c>
      <c r="B88" s="66">
        <v>41576</v>
      </c>
      <c r="C88" s="67">
        <v>0.502</v>
      </c>
      <c r="D88" s="67">
        <v>0.47</v>
      </c>
      <c r="E88" s="67">
        <v>0.52900000000000003</v>
      </c>
      <c r="F88" s="68">
        <v>54538.8</v>
      </c>
      <c r="G88" s="66">
        <f t="shared" si="7"/>
        <v>41576</v>
      </c>
      <c r="H88" s="70">
        <f t="shared" si="10"/>
        <v>0</v>
      </c>
      <c r="I88" s="70">
        <f t="shared" si="10"/>
        <v>0</v>
      </c>
      <c r="J88" s="70">
        <f t="shared" si="10"/>
        <v>7.2509715365991267E-2</v>
      </c>
      <c r="K88" s="70">
        <f t="shared" si="8"/>
        <v>-9.7539212698188171E-3</v>
      </c>
      <c r="L88" s="69"/>
      <c r="M88" s="66">
        <f t="shared" si="9"/>
        <v>41576</v>
      </c>
      <c r="N88" s="81">
        <f t="shared" si="12"/>
        <v>126.76767676767675</v>
      </c>
      <c r="O88" s="81">
        <f t="shared" si="12"/>
        <v>111.37440758293847</v>
      </c>
      <c r="P88" s="81">
        <f t="shared" si="12"/>
        <v>93.462897526501763</v>
      </c>
      <c r="Q88" s="81">
        <f t="shared" si="12"/>
        <v>115.47591245234172</v>
      </c>
    </row>
    <row r="89" spans="1:17">
      <c r="A89" s="66">
        <v>41577</v>
      </c>
      <c r="B89" s="66">
        <v>41577</v>
      </c>
      <c r="C89" s="71">
        <v>0.52200000000000002</v>
      </c>
      <c r="D89" s="67">
        <v>0.46</v>
      </c>
      <c r="E89" s="71">
        <v>0.52</v>
      </c>
      <c r="F89" s="68">
        <v>54172.82</v>
      </c>
      <c r="G89" s="66">
        <f t="shared" si="7"/>
        <v>41577</v>
      </c>
      <c r="H89" s="70">
        <f t="shared" si="10"/>
        <v>3.9067468190909491E-2</v>
      </c>
      <c r="I89" s="70">
        <f t="shared" si="10"/>
        <v>-2.1506205220963505E-2</v>
      </c>
      <c r="J89" s="70">
        <f t="shared" si="10"/>
        <v>-1.7159620282826395E-2</v>
      </c>
      <c r="K89" s="70">
        <f t="shared" si="8"/>
        <v>-6.7330683254794264E-3</v>
      </c>
      <c r="L89" s="69"/>
      <c r="M89" s="66">
        <f t="shared" si="9"/>
        <v>41577</v>
      </c>
      <c r="N89" s="81">
        <f t="shared" si="12"/>
        <v>131.81818181818178</v>
      </c>
      <c r="O89" s="81">
        <f t="shared" si="12"/>
        <v>109.00473933649299</v>
      </c>
      <c r="P89" s="81">
        <f t="shared" si="12"/>
        <v>91.872791519434614</v>
      </c>
      <c r="Q89" s="81">
        <f t="shared" si="12"/>
        <v>114.70101688369502</v>
      </c>
    </row>
    <row r="90" spans="1:17">
      <c r="A90" s="66">
        <v>41578</v>
      </c>
      <c r="B90" s="66">
        <v>41578</v>
      </c>
      <c r="C90" s="67">
        <v>0.53100000000000003</v>
      </c>
      <c r="D90" s="67">
        <v>0.46</v>
      </c>
      <c r="E90" s="67">
        <v>0.501</v>
      </c>
      <c r="F90" s="68">
        <v>54256.2</v>
      </c>
      <c r="G90" s="66">
        <f t="shared" si="7"/>
        <v>41578</v>
      </c>
      <c r="H90" s="70">
        <f t="shared" si="10"/>
        <v>1.709443335930004E-2</v>
      </c>
      <c r="I90" s="70">
        <f t="shared" si="10"/>
        <v>0</v>
      </c>
      <c r="J90" s="70">
        <f t="shared" si="10"/>
        <v>-3.722271049060822E-2</v>
      </c>
      <c r="K90" s="70">
        <f t="shared" si="8"/>
        <v>1.537964955048674E-3</v>
      </c>
      <c r="L90" s="69"/>
      <c r="M90" s="66">
        <f t="shared" si="9"/>
        <v>41578</v>
      </c>
      <c r="N90" s="81">
        <f t="shared" si="12"/>
        <v>134.09090909090904</v>
      </c>
      <c r="O90" s="81">
        <f t="shared" si="12"/>
        <v>109.00473933649299</v>
      </c>
      <c r="P90" s="81">
        <f t="shared" si="12"/>
        <v>88.515901060070661</v>
      </c>
      <c r="Q90" s="81">
        <f t="shared" si="12"/>
        <v>114.87755875077451</v>
      </c>
    </row>
    <row r="91" spans="1:17">
      <c r="A91" s="66">
        <v>41579</v>
      </c>
      <c r="B91" s="66">
        <v>41579</v>
      </c>
      <c r="C91" s="67">
        <v>0.56000000000000005</v>
      </c>
      <c r="D91" s="67">
        <v>0.46</v>
      </c>
      <c r="E91" s="67">
        <v>0.51</v>
      </c>
      <c r="F91" s="68">
        <v>54013.24</v>
      </c>
      <c r="G91" s="66">
        <f t="shared" si="7"/>
        <v>41579</v>
      </c>
      <c r="H91" s="70">
        <f t="shared" si="10"/>
        <v>5.3174762487256201E-2</v>
      </c>
      <c r="I91" s="70">
        <f t="shared" si="10"/>
        <v>0</v>
      </c>
      <c r="J91" s="70">
        <f t="shared" si="10"/>
        <v>1.7804624633506686E-2</v>
      </c>
      <c r="K91" s="70">
        <f t="shared" si="8"/>
        <v>-4.4880699082555514E-3</v>
      </c>
      <c r="L91" s="69"/>
      <c r="M91" s="66">
        <f t="shared" si="9"/>
        <v>41579</v>
      </c>
      <c r="N91" s="81">
        <f t="shared" si="12"/>
        <v>141.41414141414137</v>
      </c>
      <c r="O91" s="81">
        <f t="shared" si="12"/>
        <v>109.00473933649299</v>
      </c>
      <c r="P91" s="81">
        <f t="shared" si="12"/>
        <v>90.106007067137796</v>
      </c>
      <c r="Q91" s="81">
        <f t="shared" si="12"/>
        <v>114.36313548349652</v>
      </c>
    </row>
    <row r="92" spans="1:17">
      <c r="A92" s="66">
        <v>41582</v>
      </c>
      <c r="B92" s="66">
        <v>41582</v>
      </c>
      <c r="C92" s="67">
        <v>0.628</v>
      </c>
      <c r="D92" s="67">
        <v>0.46</v>
      </c>
      <c r="E92" s="67">
        <v>0.51</v>
      </c>
      <c r="F92" s="68">
        <v>54436.92</v>
      </c>
      <c r="G92" s="66">
        <f t="shared" si="7"/>
        <v>41582</v>
      </c>
      <c r="H92" s="70">
        <f t="shared" si="10"/>
        <v>0.11460338273900357</v>
      </c>
      <c r="I92" s="70">
        <f t="shared" si="10"/>
        <v>0</v>
      </c>
      <c r="J92" s="70">
        <f t="shared" si="10"/>
        <v>0</v>
      </c>
      <c r="K92" s="70">
        <f t="shared" si="8"/>
        <v>7.813398439271875E-3</v>
      </c>
      <c r="L92" s="69"/>
      <c r="M92" s="66">
        <f t="shared" si="9"/>
        <v>41582</v>
      </c>
      <c r="N92" s="81">
        <f t="shared" si="12"/>
        <v>158.58585858585852</v>
      </c>
      <c r="O92" s="81">
        <f t="shared" si="12"/>
        <v>109.00473933649299</v>
      </c>
      <c r="P92" s="81">
        <f t="shared" si="12"/>
        <v>90.106007067137796</v>
      </c>
      <c r="Q92" s="81">
        <f t="shared" si="12"/>
        <v>115.26020022617162</v>
      </c>
    </row>
    <row r="93" spans="1:17">
      <c r="A93" s="66">
        <v>41583</v>
      </c>
      <c r="B93" s="66">
        <v>41583</v>
      </c>
      <c r="C93" s="67">
        <v>0.59899999999999998</v>
      </c>
      <c r="D93" s="67">
        <v>0.46</v>
      </c>
      <c r="E93" s="67">
        <v>0.51</v>
      </c>
      <c r="F93" s="68">
        <v>53831.85</v>
      </c>
      <c r="G93" s="66">
        <f t="shared" si="7"/>
        <v>41583</v>
      </c>
      <c r="H93" s="70">
        <f t="shared" si="10"/>
        <v>-4.7278568352749378E-2</v>
      </c>
      <c r="I93" s="70">
        <f t="shared" si="10"/>
        <v>0</v>
      </c>
      <c r="J93" s="70">
        <f t="shared" si="10"/>
        <v>0</v>
      </c>
      <c r="K93" s="70">
        <f t="shared" si="8"/>
        <v>-1.1177300700344592E-2</v>
      </c>
      <c r="L93" s="69"/>
      <c r="M93" s="66">
        <f t="shared" si="9"/>
        <v>41583</v>
      </c>
      <c r="N93" s="81">
        <f t="shared" si="12"/>
        <v>151.26262626262618</v>
      </c>
      <c r="O93" s="81">
        <f t="shared" si="12"/>
        <v>109.00473933649299</v>
      </c>
      <c r="P93" s="81">
        <f t="shared" si="12"/>
        <v>90.106007067137796</v>
      </c>
      <c r="Q93" s="81">
        <f t="shared" si="12"/>
        <v>113.97907540590533</v>
      </c>
    </row>
    <row r="94" spans="1:17">
      <c r="A94" s="66">
        <v>41584</v>
      </c>
      <c r="B94" s="66">
        <v>41584</v>
      </c>
      <c r="C94" s="67">
        <v>0.61799999999999999</v>
      </c>
      <c r="D94" s="67">
        <v>0.45100000000000001</v>
      </c>
      <c r="E94" s="67">
        <v>0.52</v>
      </c>
      <c r="F94" s="68">
        <v>53384.6</v>
      </c>
      <c r="G94" s="66">
        <f t="shared" si="7"/>
        <v>41584</v>
      </c>
      <c r="H94" s="70">
        <f t="shared" si="10"/>
        <v>3.1226859342241516E-2</v>
      </c>
      <c r="I94" s="70">
        <f t="shared" si="10"/>
        <v>-1.9759149980462333E-2</v>
      </c>
      <c r="J94" s="70">
        <f t="shared" si="10"/>
        <v>1.9418085857101516E-2</v>
      </c>
      <c r="K94" s="70">
        <f t="shared" si="8"/>
        <v>-8.3429845746234438E-3</v>
      </c>
      <c r="L94" s="69"/>
      <c r="M94" s="66">
        <f t="shared" si="9"/>
        <v>41584</v>
      </c>
      <c r="N94" s="81">
        <f t="shared" si="12"/>
        <v>156.06060606060601</v>
      </c>
      <c r="O94" s="81">
        <f t="shared" si="12"/>
        <v>106.87203791469204</v>
      </c>
      <c r="P94" s="81">
        <f t="shared" si="12"/>
        <v>91.872791519434614</v>
      </c>
      <c r="Q94" s="81">
        <f t="shared" si="12"/>
        <v>113.03210550843215</v>
      </c>
    </row>
    <row r="95" spans="1:17">
      <c r="A95" s="66">
        <v>41585</v>
      </c>
      <c r="B95" s="66">
        <v>41585</v>
      </c>
      <c r="C95" s="67">
        <v>0.58899999999999997</v>
      </c>
      <c r="D95" s="67">
        <v>0.45100000000000001</v>
      </c>
      <c r="E95" s="67">
        <v>0.52</v>
      </c>
      <c r="F95" s="68">
        <v>52740.79</v>
      </c>
      <c r="G95" s="66">
        <f t="shared" si="7"/>
        <v>41585</v>
      </c>
      <c r="H95" s="70">
        <f t="shared" si="10"/>
        <v>-4.8062273806104124E-2</v>
      </c>
      <c r="I95" s="70">
        <f t="shared" si="10"/>
        <v>0</v>
      </c>
      <c r="J95" s="70">
        <f t="shared" si="10"/>
        <v>0</v>
      </c>
      <c r="K95" s="70">
        <f t="shared" si="8"/>
        <v>-1.2133154904868281E-2</v>
      </c>
      <c r="L95" s="69"/>
      <c r="M95" s="66">
        <f t="shared" si="9"/>
        <v>41585</v>
      </c>
      <c r="N95" s="81">
        <f t="shared" si="12"/>
        <v>148.73737373737367</v>
      </c>
      <c r="O95" s="81">
        <f t="shared" si="12"/>
        <v>106.87203791469204</v>
      </c>
      <c r="P95" s="81">
        <f t="shared" si="12"/>
        <v>91.872791519434614</v>
      </c>
      <c r="Q95" s="81">
        <f t="shared" si="12"/>
        <v>111.66895583891353</v>
      </c>
    </row>
    <row r="96" spans="1:17">
      <c r="A96" s="66">
        <v>41586</v>
      </c>
      <c r="B96" s="66">
        <v>41586</v>
      </c>
      <c r="C96" s="67">
        <v>0.57999999999999996</v>
      </c>
      <c r="D96" s="67">
        <v>0.45100000000000001</v>
      </c>
      <c r="E96" s="67">
        <v>0.52</v>
      </c>
      <c r="F96" s="68">
        <v>52248.86</v>
      </c>
      <c r="G96" s="66">
        <f t="shared" si="7"/>
        <v>41586</v>
      </c>
      <c r="H96" s="70">
        <f t="shared" si="10"/>
        <v>-1.5398080111121719E-2</v>
      </c>
      <c r="I96" s="70">
        <f t="shared" si="10"/>
        <v>0</v>
      </c>
      <c r="J96" s="70">
        <f t="shared" si="10"/>
        <v>0</v>
      </c>
      <c r="K96" s="70">
        <f t="shared" si="8"/>
        <v>-9.371087530837683E-3</v>
      </c>
      <c r="L96" s="69"/>
      <c r="M96" s="66">
        <f t="shared" si="9"/>
        <v>41586</v>
      </c>
      <c r="N96" s="81">
        <f t="shared" si="12"/>
        <v>146.46464646464639</v>
      </c>
      <c r="O96" s="81">
        <f t="shared" si="12"/>
        <v>106.87203791469204</v>
      </c>
      <c r="P96" s="81">
        <f t="shared" si="12"/>
        <v>91.872791519434614</v>
      </c>
      <c r="Q96" s="81">
        <f t="shared" si="12"/>
        <v>110.62738423094488</v>
      </c>
    </row>
    <row r="97" spans="1:17">
      <c r="A97" s="66">
        <v>41589</v>
      </c>
      <c r="B97" s="66">
        <v>41589</v>
      </c>
      <c r="C97" s="67">
        <v>0.57999999999999996</v>
      </c>
      <c r="D97" s="67">
        <v>0.46</v>
      </c>
      <c r="E97" s="67">
        <v>0.52900000000000003</v>
      </c>
      <c r="F97" s="68">
        <v>52623.87</v>
      </c>
      <c r="G97" s="66">
        <f t="shared" si="7"/>
        <v>41589</v>
      </c>
      <c r="H97" s="70">
        <f t="shared" si="10"/>
        <v>0</v>
      </c>
      <c r="I97" s="70">
        <f t="shared" si="10"/>
        <v>1.9759149980462392E-2</v>
      </c>
      <c r="J97" s="70">
        <f t="shared" si="10"/>
        <v>1.7159620282826284E-2</v>
      </c>
      <c r="K97" s="70">
        <f t="shared" si="8"/>
        <v>7.1517466628364442E-3</v>
      </c>
      <c r="L97" s="69"/>
      <c r="M97" s="66">
        <f t="shared" si="9"/>
        <v>41589</v>
      </c>
      <c r="N97" s="81">
        <f t="shared" si="12"/>
        <v>146.46464646464639</v>
      </c>
      <c r="O97" s="81">
        <f t="shared" si="12"/>
        <v>109.004739336493</v>
      </c>
      <c r="P97" s="81">
        <f t="shared" si="12"/>
        <v>93.462897526501749</v>
      </c>
      <c r="Q97" s="81">
        <f t="shared" si="12"/>
        <v>111.42139916946118</v>
      </c>
    </row>
    <row r="98" spans="1:17">
      <c r="A98" s="66">
        <v>41590</v>
      </c>
      <c r="B98" s="66">
        <v>41590</v>
      </c>
      <c r="C98" s="67">
        <v>0.56999999999999995</v>
      </c>
      <c r="D98" s="67">
        <v>0.45100000000000001</v>
      </c>
      <c r="E98" s="67">
        <v>0.52900000000000003</v>
      </c>
      <c r="F98" s="68">
        <v>51804.33</v>
      </c>
      <c r="G98" s="66">
        <f t="shared" si="7"/>
        <v>41590</v>
      </c>
      <c r="H98" s="70">
        <f t="shared" si="10"/>
        <v>-1.7391742711869222E-2</v>
      </c>
      <c r="I98" s="70">
        <f t="shared" si="10"/>
        <v>-1.9759149980462333E-2</v>
      </c>
      <c r="J98" s="70">
        <f t="shared" si="10"/>
        <v>0</v>
      </c>
      <c r="K98" s="70">
        <f t="shared" si="8"/>
        <v>-1.5696082582401238E-2</v>
      </c>
      <c r="L98" s="69"/>
      <c r="M98" s="66">
        <f t="shared" si="9"/>
        <v>41590</v>
      </c>
      <c r="N98" s="81">
        <f t="shared" si="12"/>
        <v>143.93939393939385</v>
      </c>
      <c r="O98" s="81">
        <f t="shared" si="12"/>
        <v>106.87203791469206</v>
      </c>
      <c r="P98" s="81">
        <f t="shared" si="12"/>
        <v>93.462897526501749</v>
      </c>
      <c r="Q98" s="81">
        <f t="shared" si="12"/>
        <v>109.68617343491637</v>
      </c>
    </row>
    <row r="99" spans="1:17">
      <c r="A99" s="66">
        <v>41591</v>
      </c>
      <c r="B99" s="66">
        <v>41591</v>
      </c>
      <c r="C99" s="67">
        <v>0.58899999999999997</v>
      </c>
      <c r="D99" s="67">
        <v>0.46</v>
      </c>
      <c r="E99" s="67">
        <v>0.52900000000000003</v>
      </c>
      <c r="F99" s="68">
        <v>52230.29</v>
      </c>
      <c r="G99" s="66">
        <f t="shared" si="7"/>
        <v>41591</v>
      </c>
      <c r="H99" s="70">
        <f t="shared" si="10"/>
        <v>3.278982282299097E-2</v>
      </c>
      <c r="I99" s="70">
        <f t="shared" si="10"/>
        <v>1.9759149980462392E-2</v>
      </c>
      <c r="J99" s="70">
        <f t="shared" si="10"/>
        <v>0</v>
      </c>
      <c r="K99" s="70">
        <f t="shared" si="8"/>
        <v>8.1888582918170135E-3</v>
      </c>
      <c r="L99" s="69"/>
      <c r="M99" s="66">
        <f t="shared" si="9"/>
        <v>41591</v>
      </c>
      <c r="N99" s="81">
        <f t="shared" si="12"/>
        <v>148.73737373737367</v>
      </c>
      <c r="O99" s="81">
        <f t="shared" si="12"/>
        <v>109.00473933649302</v>
      </c>
      <c r="P99" s="81">
        <f t="shared" si="12"/>
        <v>93.462897526501749</v>
      </c>
      <c r="Q99" s="81">
        <f t="shared" si="12"/>
        <v>110.58806565968477</v>
      </c>
    </row>
    <row r="100" spans="1:17">
      <c r="A100" s="66">
        <v>41592</v>
      </c>
      <c r="B100" s="66">
        <v>41592</v>
      </c>
      <c r="C100" s="67">
        <v>0.58899999999999997</v>
      </c>
      <c r="D100" s="67">
        <v>0.47899999999999998</v>
      </c>
      <c r="E100" s="67">
        <v>0.52</v>
      </c>
      <c r="F100" s="68">
        <v>53451.6</v>
      </c>
      <c r="G100" s="66">
        <f t="shared" si="7"/>
        <v>41592</v>
      </c>
      <c r="H100" s="70">
        <f t="shared" si="10"/>
        <v>0</v>
      </c>
      <c r="I100" s="70">
        <f t="shared" si="10"/>
        <v>4.0474107927774429E-2</v>
      </c>
      <c r="J100" s="70">
        <f t="shared" si="10"/>
        <v>-1.7159620282826395E-2</v>
      </c>
      <c r="K100" s="70">
        <f t="shared" si="8"/>
        <v>2.3113976743932365E-2</v>
      </c>
      <c r="L100" s="69"/>
      <c r="M100" s="66">
        <f t="shared" si="9"/>
        <v>41592</v>
      </c>
      <c r="N100" s="81">
        <f t="shared" si="12"/>
        <v>148.73737373737367</v>
      </c>
      <c r="O100" s="81">
        <f t="shared" si="12"/>
        <v>113.50710900473945</v>
      </c>
      <c r="P100" s="81">
        <f t="shared" si="12"/>
        <v>91.8727915194346</v>
      </c>
      <c r="Q100" s="81">
        <f t="shared" si="12"/>
        <v>113.17396572784119</v>
      </c>
    </row>
    <row r="101" spans="1:17">
      <c r="A101" s="66">
        <v>41596</v>
      </c>
      <c r="B101" s="66">
        <v>41596</v>
      </c>
      <c r="C101" s="67">
        <v>0.56999999999999995</v>
      </c>
      <c r="D101" s="67">
        <v>0.50800000000000001</v>
      </c>
      <c r="E101" s="67">
        <v>0.57499999999999996</v>
      </c>
      <c r="F101" s="68">
        <v>54307.040000000001</v>
      </c>
      <c r="G101" s="66">
        <f t="shared" si="7"/>
        <v>41596</v>
      </c>
      <c r="H101" s="70">
        <f t="shared" si="10"/>
        <v>-3.2789822822990956E-2</v>
      </c>
      <c r="I101" s="70">
        <f t="shared" si="10"/>
        <v>5.8780850167566616E-2</v>
      </c>
      <c r="J101" s="70">
        <f t="shared" si="10"/>
        <v>0.10054122922187726</v>
      </c>
      <c r="K101" s="70">
        <f t="shared" si="8"/>
        <v>1.5877297086857159E-2</v>
      </c>
      <c r="L101" s="69"/>
      <c r="M101" s="66">
        <f t="shared" si="9"/>
        <v>41596</v>
      </c>
      <c r="N101" s="81">
        <f t="shared" ref="N101:Q116" si="13">C101/C100*N100</f>
        <v>143.93939393939385</v>
      </c>
      <c r="O101" s="81">
        <f t="shared" si="13"/>
        <v>120.37914691943139</v>
      </c>
      <c r="P101" s="81">
        <f t="shared" si="13"/>
        <v>101.59010600706709</v>
      </c>
      <c r="Q101" s="81">
        <f t="shared" si="13"/>
        <v>114.98520313218876</v>
      </c>
    </row>
    <row r="102" spans="1:17">
      <c r="A102" s="66">
        <v>41597</v>
      </c>
      <c r="B102" s="66">
        <v>41597</v>
      </c>
      <c r="C102" s="67">
        <v>0.57999999999999996</v>
      </c>
      <c r="D102" s="67">
        <v>0.51800000000000002</v>
      </c>
      <c r="E102" s="67">
        <v>0.60299999999999998</v>
      </c>
      <c r="F102" s="68">
        <v>53032.91</v>
      </c>
      <c r="G102" s="66">
        <f t="shared" si="7"/>
        <v>41597</v>
      </c>
      <c r="H102" s="70">
        <f t="shared" si="10"/>
        <v>1.7391742711869239E-2</v>
      </c>
      <c r="I102" s="70">
        <f t="shared" si="10"/>
        <v>1.9493794681001132E-2</v>
      </c>
      <c r="J102" s="70">
        <f t="shared" si="10"/>
        <v>4.7547155929834987E-2</v>
      </c>
      <c r="K102" s="70">
        <f t="shared" si="8"/>
        <v>-2.3741204385357616E-2</v>
      </c>
      <c r="L102" s="69"/>
      <c r="M102" s="66">
        <f t="shared" si="9"/>
        <v>41597</v>
      </c>
      <c r="N102" s="81">
        <f t="shared" si="13"/>
        <v>146.46464646464639</v>
      </c>
      <c r="O102" s="81">
        <f t="shared" si="13"/>
        <v>122.74881516587689</v>
      </c>
      <c r="P102" s="81">
        <f t="shared" si="13"/>
        <v>106.53710247349818</v>
      </c>
      <c r="Q102" s="81">
        <f t="shared" si="13"/>
        <v>112.28746639553702</v>
      </c>
    </row>
    <row r="103" spans="1:17">
      <c r="A103" s="66">
        <v>41599</v>
      </c>
      <c r="B103" s="66">
        <v>41599</v>
      </c>
      <c r="C103" s="67">
        <v>0.56000000000000005</v>
      </c>
      <c r="D103" s="67">
        <v>0.52700000000000002</v>
      </c>
      <c r="E103" s="67">
        <v>0.59399999999999997</v>
      </c>
      <c r="F103" s="68">
        <v>52688.02</v>
      </c>
      <c r="G103" s="66">
        <f t="shared" si="7"/>
        <v>41599</v>
      </c>
      <c r="H103" s="70">
        <f t="shared" si="10"/>
        <v>-3.5091319811269943E-2</v>
      </c>
      <c r="I103" s="70">
        <f t="shared" si="10"/>
        <v>1.7225306281879342E-2</v>
      </c>
      <c r="J103" s="70">
        <f t="shared" si="10"/>
        <v>-1.5037877364540559E-2</v>
      </c>
      <c r="K103" s="70">
        <f t="shared" si="8"/>
        <v>-6.5245590157538107E-3</v>
      </c>
      <c r="L103" s="69"/>
      <c r="M103" s="66">
        <f t="shared" si="9"/>
        <v>41599</v>
      </c>
      <c r="N103" s="81">
        <f t="shared" si="13"/>
        <v>141.41414141414137</v>
      </c>
      <c r="O103" s="81">
        <f t="shared" si="13"/>
        <v>124.88151658767785</v>
      </c>
      <c r="P103" s="81">
        <f t="shared" si="13"/>
        <v>104.94699646643105</v>
      </c>
      <c r="Q103" s="81">
        <f t="shared" si="13"/>
        <v>111.55722503625356</v>
      </c>
    </row>
    <row r="104" spans="1:17">
      <c r="A104" s="66">
        <v>41600</v>
      </c>
      <c r="B104" s="66">
        <v>41600</v>
      </c>
      <c r="C104" s="67">
        <v>0.57999999999999996</v>
      </c>
      <c r="D104" s="67">
        <v>0.53700000000000003</v>
      </c>
      <c r="E104" s="67">
        <v>0.622</v>
      </c>
      <c r="F104" s="68">
        <v>52800.74</v>
      </c>
      <c r="G104" s="66">
        <f t="shared" si="7"/>
        <v>41600</v>
      </c>
      <c r="H104" s="70">
        <f t="shared" si="10"/>
        <v>3.5091319811269978E-2</v>
      </c>
      <c r="I104" s="70">
        <f t="shared" si="10"/>
        <v>1.8797545967502421E-2</v>
      </c>
      <c r="J104" s="70">
        <f t="shared" si="10"/>
        <v>4.6060773376534525E-2</v>
      </c>
      <c r="K104" s="70">
        <f t="shared" si="8"/>
        <v>2.1371005385069503E-3</v>
      </c>
      <c r="L104" s="69"/>
      <c r="M104" s="66">
        <f t="shared" si="9"/>
        <v>41600</v>
      </c>
      <c r="N104" s="81">
        <f t="shared" si="13"/>
        <v>146.46464646464639</v>
      </c>
      <c r="O104" s="81">
        <f t="shared" si="13"/>
        <v>127.25118483412336</v>
      </c>
      <c r="P104" s="81">
        <f t="shared" si="13"/>
        <v>109.89399293286213</v>
      </c>
      <c r="Q104" s="81">
        <f t="shared" si="13"/>
        <v>111.79588897553398</v>
      </c>
    </row>
    <row r="105" spans="1:17">
      <c r="A105" s="66">
        <v>41603</v>
      </c>
      <c r="B105" s="66">
        <v>41603</v>
      </c>
      <c r="C105" s="67">
        <v>0.56999999999999995</v>
      </c>
      <c r="D105" s="67">
        <v>0.53700000000000003</v>
      </c>
      <c r="E105" s="67">
        <v>0.58499999999999996</v>
      </c>
      <c r="F105" s="68">
        <v>52263.51</v>
      </c>
      <c r="G105" s="66">
        <f t="shared" si="7"/>
        <v>41603</v>
      </c>
      <c r="H105" s="70">
        <f t="shared" si="10"/>
        <v>-1.7391742711869222E-2</v>
      </c>
      <c r="I105" s="70">
        <f t="shared" si="10"/>
        <v>0</v>
      </c>
      <c r="J105" s="70">
        <f t="shared" si="10"/>
        <v>-6.1328245507323027E-2</v>
      </c>
      <c r="K105" s="70">
        <f t="shared" si="8"/>
        <v>-1.0226783749361087E-2</v>
      </c>
      <c r="L105" s="69"/>
      <c r="M105" s="66">
        <f t="shared" si="9"/>
        <v>41603</v>
      </c>
      <c r="N105" s="81">
        <f t="shared" si="13"/>
        <v>143.93939393939385</v>
      </c>
      <c r="O105" s="81">
        <f t="shared" si="13"/>
        <v>127.25118483412336</v>
      </c>
      <c r="P105" s="81">
        <f t="shared" si="13"/>
        <v>103.3568904593639</v>
      </c>
      <c r="Q105" s="81">
        <f t="shared" si="13"/>
        <v>110.65840292071117</v>
      </c>
    </row>
    <row r="106" spans="1:17">
      <c r="A106" s="66">
        <v>41604</v>
      </c>
      <c r="B106" s="66">
        <v>41604</v>
      </c>
      <c r="C106" s="67">
        <v>0.56999999999999995</v>
      </c>
      <c r="D106" s="67">
        <v>0.51800000000000002</v>
      </c>
      <c r="E106" s="67">
        <v>0.58499999999999996</v>
      </c>
      <c r="F106" s="68">
        <v>51446.91</v>
      </c>
      <c r="G106" s="66">
        <f t="shared" si="7"/>
        <v>41604</v>
      </c>
      <c r="H106" s="70">
        <f t="shared" si="10"/>
        <v>0</v>
      </c>
      <c r="I106" s="70">
        <f t="shared" si="10"/>
        <v>-3.6022852249381648E-2</v>
      </c>
      <c r="J106" s="70">
        <f t="shared" si="10"/>
        <v>0</v>
      </c>
      <c r="K106" s="70">
        <f t="shared" si="8"/>
        <v>-1.5748019848710142E-2</v>
      </c>
      <c r="L106" s="69"/>
      <c r="M106" s="66">
        <f t="shared" si="9"/>
        <v>41604</v>
      </c>
      <c r="N106" s="81">
        <f t="shared" si="13"/>
        <v>143.93939393939385</v>
      </c>
      <c r="O106" s="81">
        <f t="shared" si="13"/>
        <v>122.74881516587691</v>
      </c>
      <c r="P106" s="81">
        <f t="shared" si="13"/>
        <v>103.3568904593639</v>
      </c>
      <c r="Q106" s="81">
        <f t="shared" si="13"/>
        <v>108.92940209728671</v>
      </c>
    </row>
    <row r="107" spans="1:17">
      <c r="A107" s="66">
        <v>41605</v>
      </c>
      <c r="B107" s="66">
        <v>41605</v>
      </c>
      <c r="C107" s="67">
        <v>0.56999999999999995</v>
      </c>
      <c r="D107" s="67">
        <v>0.51800000000000002</v>
      </c>
      <c r="E107" s="67">
        <v>0.58499999999999996</v>
      </c>
      <c r="F107" s="68">
        <v>51861.21</v>
      </c>
      <c r="G107" s="66">
        <f t="shared" si="7"/>
        <v>41605</v>
      </c>
      <c r="H107" s="70">
        <f t="shared" si="10"/>
        <v>0</v>
      </c>
      <c r="I107" s="70">
        <f t="shared" si="10"/>
        <v>0</v>
      </c>
      <c r="J107" s="70">
        <f t="shared" si="10"/>
        <v>0</v>
      </c>
      <c r="K107" s="70">
        <f t="shared" si="8"/>
        <v>8.0207097187030528E-3</v>
      </c>
      <c r="L107" s="69"/>
      <c r="M107" s="66">
        <f t="shared" si="9"/>
        <v>41605</v>
      </c>
      <c r="N107" s="81">
        <f t="shared" si="13"/>
        <v>143.93939393939385</v>
      </c>
      <c r="O107" s="81">
        <f t="shared" si="13"/>
        <v>122.74881516587691</v>
      </c>
      <c r="P107" s="81">
        <f t="shared" si="13"/>
        <v>103.3568904593639</v>
      </c>
      <c r="Q107" s="81">
        <f t="shared" si="13"/>
        <v>109.80660640924452</v>
      </c>
    </row>
    <row r="108" spans="1:17">
      <c r="A108" s="66">
        <v>41606</v>
      </c>
      <c r="B108" s="66">
        <v>41606</v>
      </c>
      <c r="C108" s="67">
        <v>0.55100000000000005</v>
      </c>
      <c r="D108" s="67">
        <v>0.50800000000000001</v>
      </c>
      <c r="E108" s="67">
        <v>0.59399999999999997</v>
      </c>
      <c r="F108" s="68">
        <v>51846.83</v>
      </c>
      <c r="G108" s="66">
        <f t="shared" si="7"/>
        <v>41606</v>
      </c>
      <c r="H108" s="70">
        <f t="shared" si="10"/>
        <v>-3.3901551675681228E-2</v>
      </c>
      <c r="I108" s="70">
        <f t="shared" si="10"/>
        <v>-1.9493794681001129E-2</v>
      </c>
      <c r="J108" s="70">
        <f t="shared" si="10"/>
        <v>1.5267472130788381E-2</v>
      </c>
      <c r="K108" s="70">
        <f t="shared" si="8"/>
        <v>-2.7731697739455098E-4</v>
      </c>
      <c r="L108" s="69"/>
      <c r="M108" s="66">
        <f t="shared" si="9"/>
        <v>41606</v>
      </c>
      <c r="N108" s="81">
        <f t="shared" si="13"/>
        <v>139.14141414141406</v>
      </c>
      <c r="O108" s="81">
        <f t="shared" si="13"/>
        <v>120.37914691943141</v>
      </c>
      <c r="P108" s="81">
        <f t="shared" si="13"/>
        <v>104.94699646643103</v>
      </c>
      <c r="Q108" s="81">
        <f t="shared" si="13"/>
        <v>109.77615939498926</v>
      </c>
    </row>
    <row r="109" spans="1:17">
      <c r="A109" s="66">
        <v>41607</v>
      </c>
      <c r="B109" s="66">
        <v>41607</v>
      </c>
      <c r="C109" s="67">
        <v>0.56999999999999995</v>
      </c>
      <c r="D109" s="67">
        <v>0.51800000000000002</v>
      </c>
      <c r="E109" s="67">
        <v>0.61299999999999999</v>
      </c>
      <c r="F109" s="68">
        <v>52482.49</v>
      </c>
      <c r="G109" s="66">
        <f t="shared" si="7"/>
        <v>41607</v>
      </c>
      <c r="H109" s="70">
        <f t="shared" si="10"/>
        <v>3.39015516756812E-2</v>
      </c>
      <c r="I109" s="70">
        <f t="shared" si="10"/>
        <v>1.9493794681001132E-2</v>
      </c>
      <c r="J109" s="70">
        <f t="shared" si="10"/>
        <v>3.1485616573566494E-2</v>
      </c>
      <c r="K109" s="70">
        <f t="shared" si="8"/>
        <v>1.2185795247861567E-2</v>
      </c>
      <c r="L109" s="69"/>
      <c r="M109" s="66">
        <f t="shared" si="9"/>
        <v>41607</v>
      </c>
      <c r="N109" s="81">
        <f t="shared" si="13"/>
        <v>143.93939393939382</v>
      </c>
      <c r="O109" s="81">
        <f t="shared" si="13"/>
        <v>122.74881516587691</v>
      </c>
      <c r="P109" s="81">
        <f t="shared" si="13"/>
        <v>108.30388692579498</v>
      </c>
      <c r="Q109" s="81">
        <f t="shared" si="13"/>
        <v>111.12205293334094</v>
      </c>
    </row>
    <row r="110" spans="1:17">
      <c r="A110" s="66">
        <v>41610</v>
      </c>
      <c r="B110" s="66">
        <v>41610</v>
      </c>
      <c r="C110" s="67">
        <v>0.56999999999999995</v>
      </c>
      <c r="D110" s="67">
        <v>0.50800000000000001</v>
      </c>
      <c r="E110" s="67">
        <v>0.57499999999999996</v>
      </c>
      <c r="F110" s="68">
        <v>51244.87</v>
      </c>
      <c r="G110" s="66">
        <f t="shared" si="7"/>
        <v>41610</v>
      </c>
      <c r="H110" s="70">
        <f t="shared" si="10"/>
        <v>0</v>
      </c>
      <c r="I110" s="70">
        <f t="shared" si="10"/>
        <v>-1.9493794681001129E-2</v>
      </c>
      <c r="J110" s="70">
        <f t="shared" si="10"/>
        <v>-6.3994895138861072E-2</v>
      </c>
      <c r="K110" s="70">
        <f t="shared" si="8"/>
        <v>-2.3864074709171644E-2</v>
      </c>
      <c r="L110" s="69"/>
      <c r="M110" s="66">
        <f t="shared" si="9"/>
        <v>41610</v>
      </c>
      <c r="N110" s="81">
        <f t="shared" si="13"/>
        <v>143.93939393939382</v>
      </c>
      <c r="O110" s="81">
        <f t="shared" si="13"/>
        <v>120.37914691943141</v>
      </c>
      <c r="P110" s="81">
        <f t="shared" si="13"/>
        <v>101.59010600706706</v>
      </c>
      <c r="Q110" s="81">
        <f t="shared" si="13"/>
        <v>108.50161942968361</v>
      </c>
    </row>
    <row r="111" spans="1:17">
      <c r="A111" s="66">
        <v>41611</v>
      </c>
      <c r="B111" s="66">
        <v>41611</v>
      </c>
      <c r="C111" s="71">
        <v>0.57999999999999996</v>
      </c>
      <c r="D111" s="67">
        <v>0.499</v>
      </c>
      <c r="E111" s="67">
        <v>0.59399999999999997</v>
      </c>
      <c r="F111" s="68">
        <v>50348.89</v>
      </c>
      <c r="G111" s="66">
        <f t="shared" si="7"/>
        <v>41611</v>
      </c>
      <c r="H111" s="70">
        <f t="shared" si="10"/>
        <v>1.7391742711869239E-2</v>
      </c>
      <c r="I111" s="70">
        <f t="shared" si="10"/>
        <v>-1.7875351826963193E-2</v>
      </c>
      <c r="J111" s="70">
        <f t="shared" si="10"/>
        <v>3.2509278565294432E-2</v>
      </c>
      <c r="K111" s="70">
        <f t="shared" si="8"/>
        <v>-1.7638942206123404E-2</v>
      </c>
      <c r="L111" s="69"/>
      <c r="M111" s="66">
        <f t="shared" si="9"/>
        <v>41611</v>
      </c>
      <c r="N111" s="81">
        <f t="shared" si="13"/>
        <v>146.46464646464636</v>
      </c>
      <c r="O111" s="81">
        <f t="shared" si="13"/>
        <v>118.24644549763046</v>
      </c>
      <c r="P111" s="81">
        <f t="shared" si="13"/>
        <v>104.94699646643102</v>
      </c>
      <c r="Q111" s="81">
        <f t="shared" si="13"/>
        <v>106.60454600601003</v>
      </c>
    </row>
    <row r="112" spans="1:17">
      <c r="A112" s="66">
        <v>41612</v>
      </c>
      <c r="B112" s="66">
        <v>41612</v>
      </c>
      <c r="C112" s="67">
        <v>0.56999999999999995</v>
      </c>
      <c r="D112" s="67">
        <v>0.50800000000000001</v>
      </c>
      <c r="E112" s="67">
        <v>0.59399999999999997</v>
      </c>
      <c r="F112" s="68">
        <v>50215.79</v>
      </c>
      <c r="G112" s="66">
        <f t="shared" si="7"/>
        <v>41612</v>
      </c>
      <c r="H112" s="70">
        <f t="shared" si="10"/>
        <v>-1.7391742711869222E-2</v>
      </c>
      <c r="I112" s="70">
        <f t="shared" si="10"/>
        <v>1.7875351826963135E-2</v>
      </c>
      <c r="J112" s="70">
        <f t="shared" si="10"/>
        <v>0</v>
      </c>
      <c r="K112" s="70">
        <f t="shared" si="8"/>
        <v>-2.6470541688819603E-3</v>
      </c>
      <c r="L112" s="69"/>
      <c r="M112" s="66">
        <f t="shared" si="9"/>
        <v>41612</v>
      </c>
      <c r="N112" s="81">
        <f t="shared" si="13"/>
        <v>143.93939393939382</v>
      </c>
      <c r="O112" s="81">
        <f t="shared" si="13"/>
        <v>120.37914691943141</v>
      </c>
      <c r="P112" s="81">
        <f t="shared" si="13"/>
        <v>104.94699646643102</v>
      </c>
      <c r="Q112" s="81">
        <f t="shared" si="13"/>
        <v>106.32273115222876</v>
      </c>
    </row>
    <row r="113" spans="1:17">
      <c r="A113" s="66">
        <v>41613</v>
      </c>
      <c r="B113" s="66">
        <v>41613</v>
      </c>
      <c r="C113" s="71">
        <v>0.56000000000000005</v>
      </c>
      <c r="D113" s="67">
        <v>0.50800000000000001</v>
      </c>
      <c r="E113" s="67">
        <v>0.60299999999999998</v>
      </c>
      <c r="F113" s="68">
        <v>50787.63</v>
      </c>
      <c r="G113" s="66">
        <f t="shared" si="7"/>
        <v>41613</v>
      </c>
      <c r="H113" s="70">
        <f t="shared" si="10"/>
        <v>-1.7699577099400749E-2</v>
      </c>
      <c r="I113" s="70">
        <f t="shared" si="10"/>
        <v>0</v>
      </c>
      <c r="J113" s="70">
        <f t="shared" si="10"/>
        <v>1.5037877364540502E-2</v>
      </c>
      <c r="K113" s="70">
        <f t="shared" si="8"/>
        <v>1.1323301923089519E-2</v>
      </c>
      <c r="L113" s="69"/>
      <c r="M113" s="66">
        <f t="shared" si="9"/>
        <v>41613</v>
      </c>
      <c r="N113" s="81">
        <f t="shared" si="13"/>
        <v>141.41414141414131</v>
      </c>
      <c r="O113" s="81">
        <f t="shared" si="13"/>
        <v>120.37914691943141</v>
      </c>
      <c r="P113" s="81">
        <f t="shared" si="13"/>
        <v>106.53710247349815</v>
      </c>
      <c r="Q113" s="81">
        <f t="shared" si="13"/>
        <v>107.53349753830155</v>
      </c>
    </row>
    <row r="114" spans="1:17">
      <c r="A114" s="66">
        <v>41614</v>
      </c>
      <c r="B114" s="66">
        <v>41614</v>
      </c>
      <c r="C114" s="71">
        <v>0.56999999999999995</v>
      </c>
      <c r="D114" s="67">
        <v>0.50800000000000001</v>
      </c>
      <c r="E114" s="67">
        <v>0.61299999999999999</v>
      </c>
      <c r="F114" s="68">
        <v>50944.27</v>
      </c>
      <c r="G114" s="66">
        <f t="shared" si="7"/>
        <v>41614</v>
      </c>
      <c r="H114" s="70">
        <f t="shared" si="10"/>
        <v>1.7699577099400638E-2</v>
      </c>
      <c r="I114" s="70">
        <f t="shared" si="10"/>
        <v>0</v>
      </c>
      <c r="J114" s="70">
        <f t="shared" si="10"/>
        <v>1.6447739209025883E-2</v>
      </c>
      <c r="K114" s="70">
        <f t="shared" si="8"/>
        <v>3.0794691495281512E-3</v>
      </c>
      <c r="L114" s="69"/>
      <c r="M114" s="66">
        <f t="shared" si="9"/>
        <v>41614</v>
      </c>
      <c r="N114" s="81">
        <f t="shared" si="13"/>
        <v>143.9393939393938</v>
      </c>
      <c r="O114" s="81">
        <f t="shared" si="13"/>
        <v>120.37914691943141</v>
      </c>
      <c r="P114" s="81">
        <f t="shared" si="13"/>
        <v>108.30388692579496</v>
      </c>
      <c r="Q114" s="81">
        <f t="shared" si="13"/>
        <v>107.86515402737969</v>
      </c>
    </row>
    <row r="115" spans="1:17">
      <c r="A115" s="66">
        <v>41617</v>
      </c>
      <c r="B115" s="66">
        <v>41617</v>
      </c>
      <c r="C115" s="67">
        <v>0.55100000000000005</v>
      </c>
      <c r="D115" s="67">
        <v>0.50800000000000001</v>
      </c>
      <c r="E115" s="67">
        <v>0.61299999999999999</v>
      </c>
      <c r="F115" s="68">
        <v>51165.38</v>
      </c>
      <c r="G115" s="66">
        <f t="shared" si="7"/>
        <v>41617</v>
      </c>
      <c r="H115" s="70">
        <f t="shared" si="10"/>
        <v>-3.3901551675681228E-2</v>
      </c>
      <c r="I115" s="70">
        <f t="shared" si="10"/>
        <v>0</v>
      </c>
      <c r="J115" s="70">
        <f t="shared" si="10"/>
        <v>0</v>
      </c>
      <c r="K115" s="70">
        <f t="shared" si="8"/>
        <v>4.3308413180980134E-3</v>
      </c>
      <c r="L115" s="69"/>
      <c r="M115" s="66">
        <f t="shared" si="9"/>
        <v>41617</v>
      </c>
      <c r="N115" s="81">
        <f t="shared" si="13"/>
        <v>139.14141414141403</v>
      </c>
      <c r="O115" s="81">
        <f t="shared" si="13"/>
        <v>120.37914691943141</v>
      </c>
      <c r="P115" s="81">
        <f t="shared" si="13"/>
        <v>108.30388692579496</v>
      </c>
      <c r="Q115" s="81">
        <f t="shared" si="13"/>
        <v>108.33331392459668</v>
      </c>
    </row>
    <row r="116" spans="1:17">
      <c r="A116" s="66">
        <v>41618</v>
      </c>
      <c r="B116" s="66">
        <v>41618</v>
      </c>
      <c r="C116" s="67">
        <v>0.56999999999999995</v>
      </c>
      <c r="D116" s="67">
        <v>0.50800000000000001</v>
      </c>
      <c r="E116" s="67">
        <v>0.60299999999999998</v>
      </c>
      <c r="F116" s="68">
        <v>50993.02</v>
      </c>
      <c r="G116" s="66">
        <f t="shared" si="7"/>
        <v>41618</v>
      </c>
      <c r="H116" s="70">
        <f t="shared" si="10"/>
        <v>3.39015516756812E-2</v>
      </c>
      <c r="I116" s="70">
        <f t="shared" si="10"/>
        <v>0</v>
      </c>
      <c r="J116" s="70">
        <f t="shared" si="10"/>
        <v>-1.6447739209026018E-2</v>
      </c>
      <c r="K116" s="70">
        <f t="shared" si="8"/>
        <v>-3.3743708504894174E-3</v>
      </c>
      <c r="L116" s="69"/>
      <c r="M116" s="66">
        <f t="shared" si="9"/>
        <v>41618</v>
      </c>
      <c r="N116" s="81">
        <f t="shared" si="13"/>
        <v>143.9393939393938</v>
      </c>
      <c r="O116" s="81">
        <f t="shared" si="13"/>
        <v>120.37914691943141</v>
      </c>
      <c r="P116" s="81">
        <f t="shared" si="13"/>
        <v>106.53710247349814</v>
      </c>
      <c r="Q116" s="81">
        <f t="shared" si="13"/>
        <v>107.96837321687511</v>
      </c>
    </row>
    <row r="117" spans="1:17">
      <c r="A117" s="66">
        <v>41619</v>
      </c>
      <c r="B117" s="66">
        <v>41619</v>
      </c>
      <c r="C117" s="67">
        <v>0.56999999999999995</v>
      </c>
      <c r="D117" s="67">
        <v>0.499</v>
      </c>
      <c r="E117" s="67">
        <v>0.622</v>
      </c>
      <c r="F117" s="68">
        <v>50067.99</v>
      </c>
      <c r="G117" s="66">
        <f t="shared" si="7"/>
        <v>41619</v>
      </c>
      <c r="H117" s="70">
        <f t="shared" si="10"/>
        <v>0</v>
      </c>
      <c r="I117" s="70">
        <f t="shared" si="10"/>
        <v>-1.7875351826963193E-2</v>
      </c>
      <c r="J117" s="70">
        <f t="shared" si="10"/>
        <v>3.102289601199397E-2</v>
      </c>
      <c r="K117" s="70">
        <f t="shared" si="8"/>
        <v>-1.8306878875279899E-2</v>
      </c>
      <c r="L117" s="69"/>
      <c r="M117" s="66">
        <f t="shared" si="9"/>
        <v>41619</v>
      </c>
      <c r="N117" s="81">
        <f t="shared" ref="N117:Q132" si="14">C117/C116*N116</f>
        <v>143.9393939393938</v>
      </c>
      <c r="O117" s="81">
        <f t="shared" si="14"/>
        <v>118.24644549763046</v>
      </c>
      <c r="P117" s="81">
        <f t="shared" si="14"/>
        <v>109.89399293286209</v>
      </c>
      <c r="Q117" s="81">
        <f t="shared" si="14"/>
        <v>106.00979174284581</v>
      </c>
    </row>
    <row r="118" spans="1:17">
      <c r="A118" s="66">
        <v>41620</v>
      </c>
      <c r="B118" s="66">
        <v>41620</v>
      </c>
      <c r="C118" s="67">
        <v>0.55100000000000005</v>
      </c>
      <c r="D118" s="67">
        <v>0.499</v>
      </c>
      <c r="E118" s="67">
        <v>0.64</v>
      </c>
      <c r="F118" s="68">
        <v>50121.61</v>
      </c>
      <c r="G118" s="66">
        <f t="shared" si="7"/>
        <v>41620</v>
      </c>
      <c r="H118" s="70">
        <f t="shared" si="10"/>
        <v>-3.3901551675681228E-2</v>
      </c>
      <c r="I118" s="70">
        <f t="shared" si="10"/>
        <v>0</v>
      </c>
      <c r="J118" s="70">
        <f t="shared" si="10"/>
        <v>2.8528083614538031E-2</v>
      </c>
      <c r="K118" s="70">
        <f t="shared" si="8"/>
        <v>1.0703706795783781E-3</v>
      </c>
      <c r="L118" s="69"/>
      <c r="M118" s="66">
        <f t="shared" si="9"/>
        <v>41620</v>
      </c>
      <c r="N118" s="81">
        <f t="shared" si="14"/>
        <v>139.14141414141403</v>
      </c>
      <c r="O118" s="81">
        <f t="shared" si="14"/>
        <v>118.24644549763046</v>
      </c>
      <c r="P118" s="81">
        <f t="shared" si="14"/>
        <v>113.07420494699636</v>
      </c>
      <c r="Q118" s="81">
        <f t="shared" si="14"/>
        <v>106.12332226470721</v>
      </c>
    </row>
    <row r="119" spans="1:17">
      <c r="A119" s="66">
        <v>41621</v>
      </c>
      <c r="B119" s="66">
        <v>41621</v>
      </c>
      <c r="C119" s="71">
        <v>0.56999999999999995</v>
      </c>
      <c r="D119" s="67">
        <v>0.499</v>
      </c>
      <c r="E119" s="67">
        <v>0.622</v>
      </c>
      <c r="F119" s="68">
        <v>50051.18</v>
      </c>
      <c r="G119" s="66">
        <f t="shared" si="7"/>
        <v>41621</v>
      </c>
      <c r="H119" s="70">
        <f t="shared" si="10"/>
        <v>3.39015516756812E-2</v>
      </c>
      <c r="I119" s="70">
        <f t="shared" si="10"/>
        <v>0</v>
      </c>
      <c r="J119" s="70">
        <f t="shared" si="10"/>
        <v>-2.8528083614538166E-2</v>
      </c>
      <c r="K119" s="70">
        <f t="shared" si="8"/>
        <v>-1.4061705100795185E-3</v>
      </c>
      <c r="L119" s="69"/>
      <c r="M119" s="66">
        <f t="shared" si="9"/>
        <v>41621</v>
      </c>
      <c r="N119" s="81">
        <f t="shared" si="14"/>
        <v>143.9393939393938</v>
      </c>
      <c r="O119" s="81">
        <f t="shared" si="14"/>
        <v>118.24644549763046</v>
      </c>
      <c r="P119" s="81">
        <f t="shared" si="14"/>
        <v>109.89399293286208</v>
      </c>
      <c r="Q119" s="81">
        <f t="shared" si="14"/>
        <v>105.97419964899109</v>
      </c>
    </row>
    <row r="120" spans="1:17">
      <c r="A120" s="66">
        <v>41624</v>
      </c>
      <c r="B120" s="66">
        <v>41624</v>
      </c>
      <c r="C120" s="71">
        <v>0.55100000000000005</v>
      </c>
      <c r="D120" s="67">
        <v>0.499</v>
      </c>
      <c r="E120" s="67">
        <v>0.622</v>
      </c>
      <c r="F120" s="68">
        <v>50279.61</v>
      </c>
      <c r="G120" s="66">
        <f t="shared" si="7"/>
        <v>41624</v>
      </c>
      <c r="H120" s="70">
        <f t="shared" si="10"/>
        <v>-3.3901551675681228E-2</v>
      </c>
      <c r="I120" s="70">
        <f t="shared" si="10"/>
        <v>0</v>
      </c>
      <c r="J120" s="70">
        <f t="shared" si="10"/>
        <v>0</v>
      </c>
      <c r="K120" s="70">
        <f t="shared" si="8"/>
        <v>4.5535452218320796E-3</v>
      </c>
      <c r="L120" s="69"/>
      <c r="M120" s="66">
        <f t="shared" si="9"/>
        <v>41624</v>
      </c>
      <c r="N120" s="81">
        <f t="shared" si="14"/>
        <v>139.14141414141403</v>
      </c>
      <c r="O120" s="81">
        <f t="shared" si="14"/>
        <v>118.24644549763046</v>
      </c>
      <c r="P120" s="81">
        <f t="shared" si="14"/>
        <v>109.89399293286208</v>
      </c>
      <c r="Q120" s="81">
        <f t="shared" si="14"/>
        <v>106.45785830450768</v>
      </c>
    </row>
    <row r="121" spans="1:17">
      <c r="A121" s="66">
        <v>41625</v>
      </c>
      <c r="B121" s="66">
        <v>41625</v>
      </c>
      <c r="C121" s="67">
        <v>0.56000000000000005</v>
      </c>
      <c r="D121" s="67">
        <v>0.50800000000000001</v>
      </c>
      <c r="E121" s="67">
        <v>0.61299999999999999</v>
      </c>
      <c r="F121" s="68">
        <v>50090.35</v>
      </c>
      <c r="G121" s="66">
        <f t="shared" si="7"/>
        <v>41625</v>
      </c>
      <c r="H121" s="70">
        <f t="shared" si="10"/>
        <v>1.6201974576280406E-2</v>
      </c>
      <c r="I121" s="70">
        <f t="shared" si="10"/>
        <v>1.7875351826963135E-2</v>
      </c>
      <c r="J121" s="70">
        <f t="shared" si="10"/>
        <v>-1.457515680296801E-2</v>
      </c>
      <c r="K121" s="70">
        <f t="shared" si="8"/>
        <v>-3.7712523609658498E-3</v>
      </c>
      <c r="L121" s="69"/>
      <c r="M121" s="66">
        <f t="shared" si="9"/>
        <v>41625</v>
      </c>
      <c r="N121" s="81">
        <f t="shared" si="14"/>
        <v>141.41414141414131</v>
      </c>
      <c r="O121" s="81">
        <f t="shared" si="14"/>
        <v>120.37914691943141</v>
      </c>
      <c r="P121" s="81">
        <f t="shared" si="14"/>
        <v>108.30388692579494</v>
      </c>
      <c r="Q121" s="81">
        <f t="shared" si="14"/>
        <v>106.05713494442769</v>
      </c>
    </row>
    <row r="122" spans="1:17">
      <c r="A122" s="66">
        <v>41626</v>
      </c>
      <c r="B122" s="66">
        <v>41626</v>
      </c>
      <c r="C122" s="67">
        <v>0.56999999999999995</v>
      </c>
      <c r="D122" s="67">
        <v>0.50800000000000001</v>
      </c>
      <c r="E122" s="67">
        <v>0.622</v>
      </c>
      <c r="F122" s="68">
        <v>50563.43</v>
      </c>
      <c r="G122" s="66">
        <f t="shared" si="7"/>
        <v>41626</v>
      </c>
      <c r="H122" s="70">
        <f t="shared" si="10"/>
        <v>1.7699577099400638E-2</v>
      </c>
      <c r="I122" s="70">
        <f t="shared" si="10"/>
        <v>0</v>
      </c>
      <c r="J122" s="70">
        <f t="shared" si="10"/>
        <v>1.4575156802968087E-2</v>
      </c>
      <c r="K122" s="70">
        <f t="shared" si="8"/>
        <v>9.4002129596811035E-3</v>
      </c>
      <c r="L122" s="69"/>
      <c r="M122" s="66">
        <f t="shared" si="9"/>
        <v>41626</v>
      </c>
      <c r="N122" s="81">
        <f t="shared" si="14"/>
        <v>143.9393939393938</v>
      </c>
      <c r="O122" s="81">
        <f t="shared" si="14"/>
        <v>120.37914691943141</v>
      </c>
      <c r="P122" s="81">
        <f t="shared" si="14"/>
        <v>109.89399293286208</v>
      </c>
      <c r="Q122" s="81">
        <f t="shared" si="14"/>
        <v>107.05879513245812</v>
      </c>
    </row>
    <row r="123" spans="1:17">
      <c r="A123" s="66">
        <v>41627</v>
      </c>
      <c r="B123" s="66">
        <v>41627</v>
      </c>
      <c r="C123" s="67">
        <v>0.56000000000000005</v>
      </c>
      <c r="D123" s="67">
        <v>0.51800000000000002</v>
      </c>
      <c r="E123" s="67">
        <v>0.59399999999999997</v>
      </c>
      <c r="F123" s="68">
        <v>51633.43</v>
      </c>
      <c r="G123" s="66">
        <f t="shared" si="7"/>
        <v>41627</v>
      </c>
      <c r="H123" s="70">
        <f t="shared" si="10"/>
        <v>-1.7699577099400749E-2</v>
      </c>
      <c r="I123" s="70">
        <f t="shared" si="10"/>
        <v>1.9493794681001132E-2</v>
      </c>
      <c r="J123" s="70">
        <f t="shared" si="10"/>
        <v>-4.6060773376534511E-2</v>
      </c>
      <c r="K123" s="70">
        <f t="shared" si="8"/>
        <v>2.0940743201124216E-2</v>
      </c>
      <c r="L123" s="69"/>
      <c r="M123" s="66">
        <f t="shared" si="9"/>
        <v>41627</v>
      </c>
      <c r="N123" s="81">
        <f t="shared" si="14"/>
        <v>141.41414141414128</v>
      </c>
      <c r="O123" s="81">
        <f t="shared" si="14"/>
        <v>122.74881516587691</v>
      </c>
      <c r="P123" s="81">
        <f t="shared" si="14"/>
        <v>104.94699646643099</v>
      </c>
      <c r="Q123" s="81">
        <f t="shared" si="14"/>
        <v>109.32432400958791</v>
      </c>
    </row>
    <row r="124" spans="1:17">
      <c r="A124" s="66">
        <v>41628</v>
      </c>
      <c r="B124" s="66">
        <v>41628</v>
      </c>
      <c r="C124" s="71">
        <v>0.54100000000000004</v>
      </c>
      <c r="D124" s="67">
        <v>0.50800000000000001</v>
      </c>
      <c r="E124" s="67">
        <v>0.61299999999999999</v>
      </c>
      <c r="F124" s="68">
        <v>51185.74</v>
      </c>
      <c r="G124" s="66">
        <f t="shared" si="7"/>
        <v>41628</v>
      </c>
      <c r="H124" s="70">
        <f t="shared" si="10"/>
        <v>-3.4517504882713386E-2</v>
      </c>
      <c r="I124" s="70">
        <f t="shared" si="10"/>
        <v>-1.9493794681001129E-2</v>
      </c>
      <c r="J124" s="70">
        <f t="shared" si="10"/>
        <v>3.1485616573566494E-2</v>
      </c>
      <c r="K124" s="70">
        <f t="shared" si="8"/>
        <v>-8.7083533007756096E-3</v>
      </c>
      <c r="L124" s="69"/>
      <c r="M124" s="66">
        <f t="shared" si="9"/>
        <v>41628</v>
      </c>
      <c r="N124" s="81">
        <f t="shared" si="14"/>
        <v>136.61616161616149</v>
      </c>
      <c r="O124" s="81">
        <f t="shared" si="14"/>
        <v>120.37914691943141</v>
      </c>
      <c r="P124" s="81">
        <f t="shared" si="14"/>
        <v>108.30388692579494</v>
      </c>
      <c r="Q124" s="81">
        <f t="shared" si="14"/>
        <v>108.3764224927634</v>
      </c>
    </row>
    <row r="125" spans="1:17">
      <c r="A125" s="66">
        <v>41631</v>
      </c>
      <c r="B125" s="66">
        <v>41631</v>
      </c>
      <c r="C125" s="67">
        <v>0.51200000000000001</v>
      </c>
      <c r="D125" s="67">
        <v>0.50800000000000001</v>
      </c>
      <c r="E125" s="67">
        <v>0.63100000000000001</v>
      </c>
      <c r="F125" s="68">
        <v>51356.1</v>
      </c>
      <c r="G125" s="66">
        <f t="shared" si="7"/>
        <v>41631</v>
      </c>
      <c r="H125" s="70">
        <f t="shared" si="10"/>
        <v>-5.5094653806973752E-2</v>
      </c>
      <c r="I125" s="70">
        <f t="shared" si="10"/>
        <v>0</v>
      </c>
      <c r="J125" s="70">
        <f t="shared" si="10"/>
        <v>2.8940926605001843E-2</v>
      </c>
      <c r="K125" s="70">
        <f t="shared" si="8"/>
        <v>3.3227442913079629E-3</v>
      </c>
      <c r="L125" s="69"/>
      <c r="M125" s="66">
        <f t="shared" si="9"/>
        <v>41631</v>
      </c>
      <c r="N125" s="81">
        <f t="shared" si="14"/>
        <v>129.29292929292916</v>
      </c>
      <c r="O125" s="81">
        <f t="shared" si="14"/>
        <v>120.37914691943141</v>
      </c>
      <c r="P125" s="81">
        <f t="shared" si="14"/>
        <v>111.48409893992923</v>
      </c>
      <c r="Q125" s="81">
        <f t="shared" si="14"/>
        <v>108.73712856706977</v>
      </c>
    </row>
    <row r="126" spans="1:17">
      <c r="A126" s="66">
        <v>41634</v>
      </c>
      <c r="B126" s="66">
        <v>41634</v>
      </c>
      <c r="C126" s="67">
        <v>0.55100000000000005</v>
      </c>
      <c r="D126" s="67">
        <v>0.499</v>
      </c>
      <c r="E126" s="67">
        <v>0.622</v>
      </c>
      <c r="F126" s="68">
        <v>51221.01</v>
      </c>
      <c r="G126" s="66">
        <f t="shared" si="7"/>
        <v>41634</v>
      </c>
      <c r="H126" s="70">
        <f t="shared" si="10"/>
        <v>7.3410184113406704E-2</v>
      </c>
      <c r="I126" s="70">
        <f t="shared" si="10"/>
        <v>-1.7875351826963193E-2</v>
      </c>
      <c r="J126" s="70">
        <f t="shared" si="10"/>
        <v>-1.4365769802033752E-2</v>
      </c>
      <c r="K126" s="70">
        <f t="shared" si="8"/>
        <v>-2.6339224823048852E-3</v>
      </c>
      <c r="L126" s="69"/>
      <c r="M126" s="66">
        <f t="shared" si="9"/>
        <v>41634</v>
      </c>
      <c r="N126" s="81">
        <f t="shared" si="14"/>
        <v>139.141414141414</v>
      </c>
      <c r="O126" s="81">
        <f t="shared" si="14"/>
        <v>118.24644549763046</v>
      </c>
      <c r="P126" s="81">
        <f t="shared" si="14"/>
        <v>109.89399293286209</v>
      </c>
      <c r="Q126" s="81">
        <f t="shared" si="14"/>
        <v>108.45110025304038</v>
      </c>
    </row>
    <row r="127" spans="1:17">
      <c r="A127" s="66">
        <v>41635</v>
      </c>
      <c r="B127" s="66">
        <v>41635</v>
      </c>
      <c r="C127" s="67">
        <v>0.48299999999999998</v>
      </c>
      <c r="D127" s="67">
        <v>0.50800000000000001</v>
      </c>
      <c r="E127" s="67">
        <v>0.63100000000000001</v>
      </c>
      <c r="F127" s="68">
        <v>51266.559999999998</v>
      </c>
      <c r="G127" s="66">
        <f t="shared" si="7"/>
        <v>41635</v>
      </c>
      <c r="H127" s="70">
        <f t="shared" si="10"/>
        <v>-0.13171815550034191</v>
      </c>
      <c r="I127" s="70">
        <f t="shared" si="10"/>
        <v>1.7875351826963135E-2</v>
      </c>
      <c r="J127" s="70">
        <f t="shared" si="10"/>
        <v>1.4365769802033681E-2</v>
      </c>
      <c r="K127" s="70">
        <f t="shared" si="8"/>
        <v>8.8888834029661533E-4</v>
      </c>
      <c r="L127" s="69"/>
      <c r="M127" s="66">
        <f t="shared" si="9"/>
        <v>41635</v>
      </c>
      <c r="N127" s="81">
        <f t="shared" si="14"/>
        <v>121.96969696969684</v>
      </c>
      <c r="O127" s="81">
        <f t="shared" si="14"/>
        <v>120.37914691943141</v>
      </c>
      <c r="P127" s="81">
        <f t="shared" si="14"/>
        <v>111.48409893992923</v>
      </c>
      <c r="Q127" s="81">
        <f t="shared" si="14"/>
        <v>108.54754402907145</v>
      </c>
    </row>
    <row r="128" spans="1:17">
      <c r="A128" s="66">
        <v>41638</v>
      </c>
      <c r="B128" s="66">
        <v>41638</v>
      </c>
      <c r="C128" s="67">
        <v>0.55100000000000005</v>
      </c>
      <c r="D128" s="67">
        <v>0.50800000000000001</v>
      </c>
      <c r="E128" s="67">
        <v>0.622</v>
      </c>
      <c r="F128" s="68">
        <v>51507.16</v>
      </c>
      <c r="G128" s="66">
        <f t="shared" si="7"/>
        <v>41638</v>
      </c>
      <c r="H128" s="70">
        <f t="shared" si="10"/>
        <v>0.13171815550034191</v>
      </c>
      <c r="I128" s="70">
        <f t="shared" si="10"/>
        <v>0</v>
      </c>
      <c r="J128" s="70">
        <f t="shared" si="10"/>
        <v>-1.4365769802033752E-2</v>
      </c>
      <c r="K128" s="70">
        <f t="shared" si="8"/>
        <v>4.6821393551686897E-3</v>
      </c>
      <c r="L128" s="69"/>
      <c r="M128" s="66">
        <f t="shared" si="9"/>
        <v>41638</v>
      </c>
      <c r="N128" s="81">
        <f t="shared" si="14"/>
        <v>139.141414141414</v>
      </c>
      <c r="O128" s="81">
        <f t="shared" si="14"/>
        <v>120.37914691943141</v>
      </c>
      <c r="P128" s="81">
        <f t="shared" si="14"/>
        <v>109.89399293286209</v>
      </c>
      <c r="Q128" s="81">
        <f t="shared" si="14"/>
        <v>109.05697042891951</v>
      </c>
    </row>
    <row r="129" spans="1:17">
      <c r="A129" s="66">
        <v>41641</v>
      </c>
      <c r="B129" s="66">
        <v>41641</v>
      </c>
      <c r="C129" s="67">
        <v>0.54100000000000004</v>
      </c>
      <c r="D129" s="67">
        <v>0.50800000000000001</v>
      </c>
      <c r="E129" s="67">
        <v>0.61299999999999999</v>
      </c>
      <c r="F129" s="68">
        <v>50341.25</v>
      </c>
      <c r="G129" s="66">
        <f t="shared" si="7"/>
        <v>41641</v>
      </c>
      <c r="H129" s="70">
        <f t="shared" si="10"/>
        <v>-1.8315530306432948E-2</v>
      </c>
      <c r="I129" s="70">
        <f t="shared" si="10"/>
        <v>0</v>
      </c>
      <c r="J129" s="70">
        <f t="shared" si="10"/>
        <v>-1.457515680296801E-2</v>
      </c>
      <c r="K129" s="70">
        <f t="shared" si="8"/>
        <v>-2.2896006585176598E-2</v>
      </c>
      <c r="L129" s="69"/>
      <c r="M129" s="66">
        <f t="shared" si="9"/>
        <v>41641</v>
      </c>
      <c r="N129" s="81">
        <f t="shared" si="14"/>
        <v>136.61616161616149</v>
      </c>
      <c r="O129" s="81">
        <f t="shared" si="14"/>
        <v>120.37914691943141</v>
      </c>
      <c r="P129" s="81">
        <f t="shared" si="14"/>
        <v>108.30388692579496</v>
      </c>
      <c r="Q129" s="81">
        <f t="shared" si="14"/>
        <v>106.58836970636401</v>
      </c>
    </row>
    <row r="130" spans="1:17">
      <c r="A130" s="66">
        <v>41642</v>
      </c>
      <c r="B130" s="66">
        <v>41642</v>
      </c>
      <c r="C130" s="67">
        <v>0.56000000000000005</v>
      </c>
      <c r="D130" s="67">
        <v>0.50800000000000001</v>
      </c>
      <c r="E130" s="67">
        <v>0.60299999999999998</v>
      </c>
      <c r="F130" s="68">
        <v>50981.09</v>
      </c>
      <c r="G130" s="66">
        <f t="shared" si="7"/>
        <v>41642</v>
      </c>
      <c r="H130" s="70">
        <f t="shared" si="10"/>
        <v>3.4517504882713393E-2</v>
      </c>
      <c r="I130" s="70">
        <f t="shared" si="10"/>
        <v>0</v>
      </c>
      <c r="J130" s="70">
        <f t="shared" si="10"/>
        <v>-1.6447739209026018E-2</v>
      </c>
      <c r="K130" s="70">
        <f t="shared" si="8"/>
        <v>1.2629959106025651E-2</v>
      </c>
      <c r="L130" s="69"/>
      <c r="M130" s="66">
        <f t="shared" si="9"/>
        <v>41642</v>
      </c>
      <c r="N130" s="81">
        <f t="shared" si="14"/>
        <v>141.41414141414128</v>
      </c>
      <c r="O130" s="81">
        <f t="shared" si="14"/>
        <v>120.37914691943141</v>
      </c>
      <c r="P130" s="81">
        <f t="shared" si="14"/>
        <v>106.53710247349814</v>
      </c>
      <c r="Q130" s="81">
        <f t="shared" si="14"/>
        <v>107.94311362855345</v>
      </c>
    </row>
    <row r="131" spans="1:17">
      <c r="A131" s="66">
        <v>41645</v>
      </c>
      <c r="B131" s="66">
        <v>41645</v>
      </c>
      <c r="C131" s="67">
        <v>0.60899999999999999</v>
      </c>
      <c r="D131" s="67">
        <v>0.50800000000000001</v>
      </c>
      <c r="E131" s="67">
        <v>0.57499999999999996</v>
      </c>
      <c r="F131" s="68">
        <v>50973.62</v>
      </c>
      <c r="G131" s="66">
        <f t="shared" si="7"/>
        <v>41645</v>
      </c>
      <c r="H131" s="70">
        <f t="shared" si="10"/>
        <v>8.3881483980702026E-2</v>
      </c>
      <c r="I131" s="70">
        <f t="shared" si="10"/>
        <v>0</v>
      </c>
      <c r="J131" s="70">
        <f t="shared" si="10"/>
        <v>-4.7547155929835015E-2</v>
      </c>
      <c r="K131" s="70">
        <f t="shared" si="8"/>
        <v>-1.4653565320053012E-4</v>
      </c>
      <c r="L131" s="69"/>
      <c r="M131" s="66">
        <f t="shared" si="9"/>
        <v>41645</v>
      </c>
      <c r="N131" s="81">
        <f t="shared" si="14"/>
        <v>153.78787878787864</v>
      </c>
      <c r="O131" s="81">
        <f t="shared" si="14"/>
        <v>120.37914691943141</v>
      </c>
      <c r="P131" s="81">
        <f t="shared" si="14"/>
        <v>101.59010600706705</v>
      </c>
      <c r="Q131" s="81">
        <f t="shared" si="14"/>
        <v>107.92729727274771</v>
      </c>
    </row>
    <row r="132" spans="1:17">
      <c r="A132" s="66">
        <v>41646</v>
      </c>
      <c r="B132" s="66">
        <v>41646</v>
      </c>
      <c r="C132" s="67">
        <v>0.54100000000000004</v>
      </c>
      <c r="D132" s="67">
        <v>0.499</v>
      </c>
      <c r="E132" s="67">
        <v>0.58499999999999996</v>
      </c>
      <c r="F132" s="68">
        <v>50430.02</v>
      </c>
      <c r="G132" s="66">
        <f t="shared" ref="G132:G195" si="15">A132</f>
        <v>41646</v>
      </c>
      <c r="H132" s="70">
        <f t="shared" si="10"/>
        <v>-0.11839898886341547</v>
      </c>
      <c r="I132" s="70">
        <f t="shared" si="10"/>
        <v>-1.7875351826963193E-2</v>
      </c>
      <c r="J132" s="70">
        <f t="shared" si="10"/>
        <v>1.7241806434506173E-2</v>
      </c>
      <c r="K132" s="70">
        <f t="shared" si="10"/>
        <v>-1.0721611322012405E-2</v>
      </c>
      <c r="L132" s="69"/>
      <c r="M132" s="66">
        <f t="shared" ref="M132:M195" si="16">A132</f>
        <v>41646</v>
      </c>
      <c r="N132" s="81">
        <f t="shared" si="14"/>
        <v>136.61616161616149</v>
      </c>
      <c r="O132" s="81">
        <f t="shared" si="14"/>
        <v>118.24644549763046</v>
      </c>
      <c r="P132" s="81">
        <f t="shared" si="14"/>
        <v>103.35689045936388</v>
      </c>
      <c r="Q132" s="81">
        <f t="shared" si="14"/>
        <v>106.77632391049747</v>
      </c>
    </row>
    <row r="133" spans="1:17">
      <c r="A133" s="66">
        <v>41647</v>
      </c>
      <c r="B133" s="66">
        <v>41647</v>
      </c>
      <c r="C133" s="67">
        <v>0.61799999999999999</v>
      </c>
      <c r="D133" s="67">
        <v>0.499</v>
      </c>
      <c r="E133" s="67">
        <v>0.57499999999999996</v>
      </c>
      <c r="F133" s="68">
        <v>50576.639999999999</v>
      </c>
      <c r="G133" s="66">
        <f t="shared" si="15"/>
        <v>41647</v>
      </c>
      <c r="H133" s="70">
        <f t="shared" ref="H133:K196" si="17">LN(C133/C132)</f>
        <v>0.13306917861120907</v>
      </c>
      <c r="I133" s="70">
        <f t="shared" si="17"/>
        <v>0</v>
      </c>
      <c r="J133" s="70">
        <f t="shared" si="17"/>
        <v>-1.7241806434506103E-2</v>
      </c>
      <c r="K133" s="70">
        <f t="shared" si="17"/>
        <v>2.9031769386579772E-3</v>
      </c>
      <c r="L133" s="69"/>
      <c r="M133" s="66">
        <f t="shared" si="16"/>
        <v>41647</v>
      </c>
      <c r="N133" s="81">
        <f t="shared" ref="N133:Q148" si="18">C133/C132*N132</f>
        <v>156.06060606060589</v>
      </c>
      <c r="O133" s="81">
        <f t="shared" si="18"/>
        <v>118.24644549763046</v>
      </c>
      <c r="P133" s="81">
        <f t="shared" si="18"/>
        <v>101.59010600706706</v>
      </c>
      <c r="Q133" s="81">
        <f t="shared" si="18"/>
        <v>107.08676488616548</v>
      </c>
    </row>
    <row r="134" spans="1:17">
      <c r="A134" s="66">
        <v>41648</v>
      </c>
      <c r="B134" s="66">
        <v>41648</v>
      </c>
      <c r="C134" s="71">
        <v>0.61799999999999999</v>
      </c>
      <c r="D134" s="67">
        <v>0.48899999999999999</v>
      </c>
      <c r="E134" s="67">
        <v>0.59399999999999997</v>
      </c>
      <c r="F134" s="68">
        <v>49321.68</v>
      </c>
      <c r="G134" s="66">
        <f t="shared" si="15"/>
        <v>41648</v>
      </c>
      <c r="H134" s="70">
        <f t="shared" si="17"/>
        <v>0</v>
      </c>
      <c r="I134" s="70">
        <f t="shared" si="17"/>
        <v>-2.0243606276646661E-2</v>
      </c>
      <c r="J134" s="70">
        <f t="shared" si="17"/>
        <v>3.2509278565294432E-2</v>
      </c>
      <c r="K134" s="70">
        <f t="shared" si="17"/>
        <v>-2.5126068640200405E-2</v>
      </c>
      <c r="L134" s="69"/>
      <c r="M134" s="66">
        <f t="shared" si="16"/>
        <v>41648</v>
      </c>
      <c r="N134" s="81">
        <f t="shared" si="18"/>
        <v>156.06060606060589</v>
      </c>
      <c r="O134" s="81">
        <f t="shared" si="18"/>
        <v>115.87677725118496</v>
      </c>
      <c r="P134" s="81">
        <f t="shared" si="18"/>
        <v>104.94699646643102</v>
      </c>
      <c r="Q134" s="81">
        <f t="shared" si="18"/>
        <v>104.42961711079839</v>
      </c>
    </row>
    <row r="135" spans="1:17">
      <c r="A135" s="66">
        <v>41649</v>
      </c>
      <c r="B135" s="66">
        <v>41649</v>
      </c>
      <c r="C135" s="67">
        <v>0.58899999999999997</v>
      </c>
      <c r="D135" s="67">
        <v>0.47899999999999998</v>
      </c>
      <c r="E135" s="67">
        <v>0.57499999999999996</v>
      </c>
      <c r="F135" s="68">
        <v>49696.45</v>
      </c>
      <c r="G135" s="66">
        <f t="shared" si="15"/>
        <v>41649</v>
      </c>
      <c r="H135" s="70">
        <f t="shared" si="17"/>
        <v>-4.8062273806104124E-2</v>
      </c>
      <c r="I135" s="70">
        <f t="shared" si="17"/>
        <v>-2.0661892063956858E-2</v>
      </c>
      <c r="J135" s="70">
        <f t="shared" si="17"/>
        <v>-3.2509278565294508E-2</v>
      </c>
      <c r="K135" s="70">
        <f t="shared" si="17"/>
        <v>7.5697610036680229E-3</v>
      </c>
      <c r="L135" s="69"/>
      <c r="M135" s="66">
        <f t="shared" si="16"/>
        <v>41649</v>
      </c>
      <c r="N135" s="81">
        <f t="shared" si="18"/>
        <v>148.73737373737356</v>
      </c>
      <c r="O135" s="81">
        <f t="shared" si="18"/>
        <v>113.50710900473945</v>
      </c>
      <c r="P135" s="81">
        <f t="shared" si="18"/>
        <v>101.59010600706706</v>
      </c>
      <c r="Q135" s="81">
        <f t="shared" si="18"/>
        <v>105.22312389330486</v>
      </c>
    </row>
    <row r="136" spans="1:17">
      <c r="A136" s="66">
        <v>41652</v>
      </c>
      <c r="B136" s="66">
        <v>41652</v>
      </c>
      <c r="C136" s="67">
        <v>0.61799999999999999</v>
      </c>
      <c r="D136" s="67">
        <v>0.48899999999999999</v>
      </c>
      <c r="E136" s="67">
        <v>0.57499999999999996</v>
      </c>
      <c r="F136" s="68">
        <v>49426.9</v>
      </c>
      <c r="G136" s="66">
        <f t="shared" si="15"/>
        <v>41652</v>
      </c>
      <c r="H136" s="70">
        <f t="shared" si="17"/>
        <v>4.8062273806104193E-2</v>
      </c>
      <c r="I136" s="70">
        <f t="shared" si="17"/>
        <v>2.0661892063956844E-2</v>
      </c>
      <c r="J136" s="70">
        <f t="shared" si="17"/>
        <v>0</v>
      </c>
      <c r="K136" s="70">
        <f t="shared" si="17"/>
        <v>-5.4386915782442423E-3</v>
      </c>
      <c r="L136" s="69"/>
      <c r="M136" s="66">
        <f t="shared" si="16"/>
        <v>41652</v>
      </c>
      <c r="N136" s="81">
        <f t="shared" si="18"/>
        <v>156.06060606060589</v>
      </c>
      <c r="O136" s="81">
        <f t="shared" si="18"/>
        <v>115.87677725118495</v>
      </c>
      <c r="P136" s="81">
        <f t="shared" si="18"/>
        <v>101.59010600706706</v>
      </c>
      <c r="Q136" s="81">
        <f t="shared" si="18"/>
        <v>104.65240117477185</v>
      </c>
    </row>
    <row r="137" spans="1:17">
      <c r="A137" s="66">
        <v>41653</v>
      </c>
      <c r="B137" s="66">
        <v>41653</v>
      </c>
      <c r="C137" s="67">
        <v>0.59899999999999998</v>
      </c>
      <c r="D137" s="67">
        <v>0.47899999999999998</v>
      </c>
      <c r="E137" s="67">
        <v>0.56599999999999995</v>
      </c>
      <c r="F137" s="68">
        <v>49703.1</v>
      </c>
      <c r="G137" s="66">
        <f t="shared" si="15"/>
        <v>41653</v>
      </c>
      <c r="H137" s="70">
        <f t="shared" si="17"/>
        <v>-3.1226859342241446E-2</v>
      </c>
      <c r="I137" s="70">
        <f t="shared" si="17"/>
        <v>-2.0661892063956858E-2</v>
      </c>
      <c r="J137" s="70">
        <f t="shared" si="17"/>
        <v>-1.577596259416755E-2</v>
      </c>
      <c r="K137" s="70">
        <f t="shared" si="17"/>
        <v>5.5724950010951234E-3</v>
      </c>
      <c r="L137" s="69"/>
      <c r="M137" s="66">
        <f t="shared" si="16"/>
        <v>41653</v>
      </c>
      <c r="N137" s="81">
        <f t="shared" si="18"/>
        <v>151.2626262626261</v>
      </c>
      <c r="O137" s="81">
        <f t="shared" si="18"/>
        <v>113.50710900473943</v>
      </c>
      <c r="P137" s="81">
        <f t="shared" si="18"/>
        <v>99.999999999999929</v>
      </c>
      <c r="Q137" s="81">
        <f t="shared" si="18"/>
        <v>105.23720404941038</v>
      </c>
    </row>
    <row r="138" spans="1:17">
      <c r="A138" s="66">
        <v>41654</v>
      </c>
      <c r="B138" s="66">
        <v>41654</v>
      </c>
      <c r="C138" s="67">
        <v>0.57999999999999996</v>
      </c>
      <c r="D138" s="67">
        <v>0.48899999999999999</v>
      </c>
      <c r="E138" s="67">
        <v>0.56599999999999995</v>
      </c>
      <c r="F138" s="68">
        <v>50105.37</v>
      </c>
      <c r="G138" s="66">
        <f t="shared" si="15"/>
        <v>41654</v>
      </c>
      <c r="H138" s="70">
        <f t="shared" si="17"/>
        <v>-3.2233494574984312E-2</v>
      </c>
      <c r="I138" s="70">
        <f t="shared" si="17"/>
        <v>2.0661892063956844E-2</v>
      </c>
      <c r="J138" s="70">
        <f t="shared" si="17"/>
        <v>0</v>
      </c>
      <c r="K138" s="70">
        <f t="shared" si="17"/>
        <v>8.0608825727291958E-3</v>
      </c>
      <c r="L138" s="69"/>
      <c r="M138" s="66">
        <f t="shared" si="16"/>
        <v>41654</v>
      </c>
      <c r="N138" s="81">
        <f t="shared" si="18"/>
        <v>146.46464646464631</v>
      </c>
      <c r="O138" s="81">
        <f t="shared" si="18"/>
        <v>115.87677725118493</v>
      </c>
      <c r="P138" s="81">
        <f t="shared" si="18"/>
        <v>99.999999999999929</v>
      </c>
      <c r="Q138" s="81">
        <f t="shared" si="18"/>
        <v>106.08893704137581</v>
      </c>
    </row>
    <row r="139" spans="1:17">
      <c r="A139" s="66">
        <v>41655</v>
      </c>
      <c r="B139" s="66">
        <v>41655</v>
      </c>
      <c r="C139" s="67">
        <v>0.58899999999999997</v>
      </c>
      <c r="D139" s="67">
        <v>0.48899999999999999</v>
      </c>
      <c r="E139" s="67">
        <v>0.56599999999999995</v>
      </c>
      <c r="F139" s="68">
        <v>49696.28</v>
      </c>
      <c r="G139" s="66">
        <f t="shared" si="15"/>
        <v>41655</v>
      </c>
      <c r="H139" s="70">
        <f t="shared" si="17"/>
        <v>1.5398080111121662E-2</v>
      </c>
      <c r="I139" s="70">
        <f t="shared" si="17"/>
        <v>0</v>
      </c>
      <c r="J139" s="70">
        <f t="shared" si="17"/>
        <v>0</v>
      </c>
      <c r="K139" s="70">
        <f t="shared" si="17"/>
        <v>-8.1981067689102741E-3</v>
      </c>
      <c r="L139" s="69"/>
      <c r="M139" s="66">
        <f t="shared" si="16"/>
        <v>41655</v>
      </c>
      <c r="N139" s="81">
        <f t="shared" si="18"/>
        <v>148.73737373737359</v>
      </c>
      <c r="O139" s="81">
        <f t="shared" si="18"/>
        <v>115.87677725118493</v>
      </c>
      <c r="P139" s="81">
        <f t="shared" si="18"/>
        <v>99.999999999999929</v>
      </c>
      <c r="Q139" s="81">
        <f t="shared" si="18"/>
        <v>105.22276394946456</v>
      </c>
    </row>
    <row r="140" spans="1:17">
      <c r="A140" s="66">
        <v>41656</v>
      </c>
      <c r="B140" s="66">
        <v>41656</v>
      </c>
      <c r="C140" s="71">
        <v>0.58899999999999997</v>
      </c>
      <c r="D140" s="67">
        <v>0.47899999999999998</v>
      </c>
      <c r="E140" s="67">
        <v>0.56599999999999995</v>
      </c>
      <c r="F140" s="68">
        <v>49181.86</v>
      </c>
      <c r="G140" s="66">
        <f t="shared" si="15"/>
        <v>41656</v>
      </c>
      <c r="H140" s="70">
        <f t="shared" si="17"/>
        <v>0</v>
      </c>
      <c r="I140" s="70">
        <f t="shared" si="17"/>
        <v>-2.0661892063956858E-2</v>
      </c>
      <c r="J140" s="70">
        <f t="shared" si="17"/>
        <v>0</v>
      </c>
      <c r="K140" s="70">
        <f t="shared" si="17"/>
        <v>-1.040522488166854E-2</v>
      </c>
      <c r="L140" s="69"/>
      <c r="M140" s="66">
        <f t="shared" si="16"/>
        <v>41656</v>
      </c>
      <c r="N140" s="81">
        <f t="shared" si="18"/>
        <v>148.73737373737359</v>
      </c>
      <c r="O140" s="81">
        <f t="shared" si="18"/>
        <v>113.50710900473942</v>
      </c>
      <c r="P140" s="81">
        <f t="shared" si="18"/>
        <v>99.999999999999929</v>
      </c>
      <c r="Q140" s="81">
        <f t="shared" si="18"/>
        <v>104.13357388874205</v>
      </c>
    </row>
    <row r="141" spans="1:17">
      <c r="A141" s="66">
        <v>41659</v>
      </c>
      <c r="B141" s="66">
        <v>41659</v>
      </c>
      <c r="C141" s="67">
        <v>0.57999999999999996</v>
      </c>
      <c r="D141" s="67">
        <v>0.47899999999999998</v>
      </c>
      <c r="E141" s="67">
        <v>0.56599999999999995</v>
      </c>
      <c r="F141" s="68">
        <v>48708.41</v>
      </c>
      <c r="G141" s="66">
        <f t="shared" si="15"/>
        <v>41659</v>
      </c>
      <c r="H141" s="70">
        <f t="shared" si="17"/>
        <v>-1.5398080111121719E-2</v>
      </c>
      <c r="I141" s="70">
        <f t="shared" si="17"/>
        <v>0</v>
      </c>
      <c r="J141" s="70">
        <f t="shared" si="17"/>
        <v>0</v>
      </c>
      <c r="K141" s="70">
        <f t="shared" si="17"/>
        <v>-9.6731512072622469E-3</v>
      </c>
      <c r="L141" s="69"/>
      <c r="M141" s="66">
        <f t="shared" si="16"/>
        <v>41659</v>
      </c>
      <c r="N141" s="81">
        <f t="shared" si="18"/>
        <v>146.46464646464631</v>
      </c>
      <c r="O141" s="81">
        <f t="shared" si="18"/>
        <v>113.50710900473942</v>
      </c>
      <c r="P141" s="81">
        <f t="shared" si="18"/>
        <v>99.999999999999929</v>
      </c>
      <c r="Q141" s="81">
        <f t="shared" si="18"/>
        <v>103.13113029352982</v>
      </c>
    </row>
    <row r="142" spans="1:17">
      <c r="A142" s="66">
        <v>41660</v>
      </c>
      <c r="B142" s="66">
        <v>41660</v>
      </c>
      <c r="C142" s="67">
        <v>0.56999999999999995</v>
      </c>
      <c r="D142" s="67">
        <v>0.47899999999999998</v>
      </c>
      <c r="E142" s="67">
        <v>0.55700000000000005</v>
      </c>
      <c r="F142" s="68">
        <v>48542.07</v>
      </c>
      <c r="G142" s="66">
        <f t="shared" si="15"/>
        <v>41660</v>
      </c>
      <c r="H142" s="70">
        <f t="shared" si="17"/>
        <v>-1.7391742711869222E-2</v>
      </c>
      <c r="I142" s="70">
        <f t="shared" si="17"/>
        <v>0</v>
      </c>
      <c r="J142" s="70">
        <f t="shared" si="17"/>
        <v>-1.6028838275898689E-2</v>
      </c>
      <c r="K142" s="70">
        <f t="shared" si="17"/>
        <v>-3.4208604875403661E-3</v>
      </c>
      <c r="L142" s="69"/>
      <c r="M142" s="66">
        <f t="shared" si="16"/>
        <v>41660</v>
      </c>
      <c r="N142" s="81">
        <f t="shared" si="18"/>
        <v>143.93939393939377</v>
      </c>
      <c r="O142" s="81">
        <f t="shared" si="18"/>
        <v>113.50710900473942</v>
      </c>
      <c r="P142" s="81">
        <f t="shared" si="18"/>
        <v>98.409893992932808</v>
      </c>
      <c r="Q142" s="81">
        <f t="shared" si="18"/>
        <v>102.77893583238797</v>
      </c>
    </row>
    <row r="143" spans="1:17">
      <c r="A143" s="66">
        <v>41661</v>
      </c>
      <c r="B143" s="66">
        <v>41661</v>
      </c>
      <c r="C143" s="67">
        <v>0.56999999999999995</v>
      </c>
      <c r="D143" s="67">
        <v>0.47899999999999998</v>
      </c>
      <c r="E143" s="67">
        <v>0.56599999999999995</v>
      </c>
      <c r="F143" s="68">
        <v>49299.66</v>
      </c>
      <c r="G143" s="66">
        <f t="shared" si="15"/>
        <v>41661</v>
      </c>
      <c r="H143" s="70">
        <f t="shared" si="17"/>
        <v>0</v>
      </c>
      <c r="I143" s="70">
        <f t="shared" si="17"/>
        <v>0</v>
      </c>
      <c r="J143" s="70">
        <f t="shared" si="17"/>
        <v>1.6028838275898776E-2</v>
      </c>
      <c r="K143" s="70">
        <f t="shared" si="17"/>
        <v>1.5486339842927742E-2</v>
      </c>
      <c r="L143" s="69"/>
      <c r="M143" s="66">
        <f t="shared" si="16"/>
        <v>41661</v>
      </c>
      <c r="N143" s="81">
        <f t="shared" si="18"/>
        <v>143.93939393939377</v>
      </c>
      <c r="O143" s="81">
        <f t="shared" si="18"/>
        <v>113.50710900473942</v>
      </c>
      <c r="P143" s="81">
        <f t="shared" si="18"/>
        <v>99.999999999999929</v>
      </c>
      <c r="Q143" s="81">
        <f t="shared" si="18"/>
        <v>104.38299379689708</v>
      </c>
    </row>
    <row r="144" spans="1:17">
      <c r="A144" s="66">
        <v>41662</v>
      </c>
      <c r="B144" s="66">
        <v>41662</v>
      </c>
      <c r="C144" s="67">
        <v>0.57999999999999996</v>
      </c>
      <c r="D144" s="67">
        <v>0.47</v>
      </c>
      <c r="E144" s="67">
        <v>0.56599999999999995</v>
      </c>
      <c r="F144" s="68">
        <v>48320.639999999999</v>
      </c>
      <c r="G144" s="66">
        <f t="shared" si="15"/>
        <v>41662</v>
      </c>
      <c r="H144" s="70">
        <f t="shared" si="17"/>
        <v>1.7391742711869239E-2</v>
      </c>
      <c r="I144" s="70">
        <f t="shared" si="17"/>
        <v>-1.8967902706811039E-2</v>
      </c>
      <c r="J144" s="70">
        <f t="shared" si="17"/>
        <v>0</v>
      </c>
      <c r="K144" s="70">
        <f t="shared" si="17"/>
        <v>-2.0058385901181659E-2</v>
      </c>
      <c r="L144" s="69"/>
      <c r="M144" s="66">
        <f t="shared" si="16"/>
        <v>41662</v>
      </c>
      <c r="N144" s="81">
        <f t="shared" si="18"/>
        <v>146.46464646464631</v>
      </c>
      <c r="O144" s="81">
        <f t="shared" si="18"/>
        <v>111.37440758293846</v>
      </c>
      <c r="P144" s="81">
        <f t="shared" si="18"/>
        <v>99.999999999999929</v>
      </c>
      <c r="Q144" s="81">
        <f t="shared" si="18"/>
        <v>102.31009839382455</v>
      </c>
    </row>
    <row r="145" spans="1:17">
      <c r="A145" s="66">
        <v>41663</v>
      </c>
      <c r="B145" s="66">
        <v>41663</v>
      </c>
      <c r="C145" s="67">
        <v>0.59899999999999998</v>
      </c>
      <c r="D145" s="67">
        <v>0.47899999999999998</v>
      </c>
      <c r="E145" s="67">
        <v>0.56599999999999995</v>
      </c>
      <c r="F145" s="68">
        <v>47787.38</v>
      </c>
      <c r="G145" s="66">
        <f t="shared" si="15"/>
        <v>41663</v>
      </c>
      <c r="H145" s="70">
        <f t="shared" si="17"/>
        <v>3.2233494574984443E-2</v>
      </c>
      <c r="I145" s="70">
        <f t="shared" si="17"/>
        <v>1.8967902706811045E-2</v>
      </c>
      <c r="J145" s="70">
        <f t="shared" si="17"/>
        <v>0</v>
      </c>
      <c r="K145" s="70">
        <f t="shared" si="17"/>
        <v>-1.1097210669503052E-2</v>
      </c>
      <c r="L145" s="69"/>
      <c r="M145" s="66">
        <f t="shared" si="16"/>
        <v>41663</v>
      </c>
      <c r="N145" s="81">
        <f t="shared" si="18"/>
        <v>151.26262626262613</v>
      </c>
      <c r="O145" s="81">
        <f t="shared" si="18"/>
        <v>113.50710900473942</v>
      </c>
      <c r="P145" s="81">
        <f t="shared" si="18"/>
        <v>99.999999999999929</v>
      </c>
      <c r="Q145" s="81">
        <f t="shared" si="18"/>
        <v>101.18101808633087</v>
      </c>
    </row>
    <row r="146" spans="1:17">
      <c r="A146" s="66">
        <v>41666</v>
      </c>
      <c r="B146" s="66">
        <v>41666</v>
      </c>
      <c r="C146" s="67">
        <v>0.57999999999999996</v>
      </c>
      <c r="D146" s="67">
        <v>0.47</v>
      </c>
      <c r="E146" s="67">
        <v>0.58499999999999996</v>
      </c>
      <c r="F146" s="68">
        <v>47701.05</v>
      </c>
      <c r="G146" s="66">
        <f t="shared" si="15"/>
        <v>41666</v>
      </c>
      <c r="H146" s="70">
        <f t="shared" si="17"/>
        <v>-3.2233494574984312E-2</v>
      </c>
      <c r="I146" s="70">
        <f t="shared" si="17"/>
        <v>-1.8967902706811039E-2</v>
      </c>
      <c r="J146" s="70">
        <f t="shared" si="17"/>
        <v>3.3017769028673573E-2</v>
      </c>
      <c r="K146" s="70">
        <f t="shared" si="17"/>
        <v>-1.8081776718157183E-3</v>
      </c>
      <c r="L146" s="69"/>
      <c r="M146" s="66">
        <f t="shared" si="16"/>
        <v>41666</v>
      </c>
      <c r="N146" s="81">
        <f t="shared" si="18"/>
        <v>146.46464646464634</v>
      </c>
      <c r="O146" s="81">
        <f t="shared" si="18"/>
        <v>111.37440758293846</v>
      </c>
      <c r="P146" s="81">
        <f t="shared" si="18"/>
        <v>103.35689045936388</v>
      </c>
      <c r="Q146" s="81">
        <f t="shared" si="18"/>
        <v>100.99823013496395</v>
      </c>
    </row>
    <row r="147" spans="1:17">
      <c r="A147" s="66">
        <v>41667</v>
      </c>
      <c r="B147" s="66">
        <v>41667</v>
      </c>
      <c r="C147" s="71">
        <v>0.58899999999999997</v>
      </c>
      <c r="D147" s="67">
        <v>0.47899999999999998</v>
      </c>
      <c r="E147" s="67">
        <v>0.58499999999999996</v>
      </c>
      <c r="F147" s="68">
        <v>47840.93</v>
      </c>
      <c r="G147" s="66">
        <f t="shared" si="15"/>
        <v>41667</v>
      </c>
      <c r="H147" s="70">
        <f t="shared" si="17"/>
        <v>1.5398080111121662E-2</v>
      </c>
      <c r="I147" s="70">
        <f t="shared" si="17"/>
        <v>1.8967902706811045E-2</v>
      </c>
      <c r="J147" s="70">
        <f t="shared" si="17"/>
        <v>0</v>
      </c>
      <c r="K147" s="70">
        <f t="shared" si="17"/>
        <v>2.9281390221183455E-3</v>
      </c>
      <c r="L147" s="69"/>
      <c r="M147" s="66">
        <f t="shared" si="16"/>
        <v>41667</v>
      </c>
      <c r="N147" s="81">
        <f t="shared" si="18"/>
        <v>148.73737373737362</v>
      </c>
      <c r="O147" s="81">
        <f t="shared" si="18"/>
        <v>113.50710900473942</v>
      </c>
      <c r="P147" s="81">
        <f t="shared" si="18"/>
        <v>103.35689045936388</v>
      </c>
      <c r="Q147" s="81">
        <f t="shared" si="18"/>
        <v>101.29440039602275</v>
      </c>
    </row>
    <row r="148" spans="1:17">
      <c r="A148" s="66">
        <v>41668</v>
      </c>
      <c r="B148" s="66">
        <v>41668</v>
      </c>
      <c r="C148" s="67">
        <v>0.57999999999999996</v>
      </c>
      <c r="D148" s="67">
        <v>0.47899999999999998</v>
      </c>
      <c r="E148" s="67">
        <v>0.58499999999999996</v>
      </c>
      <c r="F148" s="68">
        <v>47556.78</v>
      </c>
      <c r="G148" s="66">
        <f t="shared" si="15"/>
        <v>41668</v>
      </c>
      <c r="H148" s="70">
        <f t="shared" si="17"/>
        <v>-1.5398080111121719E-2</v>
      </c>
      <c r="I148" s="70">
        <f t="shared" si="17"/>
        <v>0</v>
      </c>
      <c r="J148" s="70">
        <f t="shared" si="17"/>
        <v>0</v>
      </c>
      <c r="K148" s="70">
        <f t="shared" si="17"/>
        <v>-5.9571836750936073E-3</v>
      </c>
      <c r="L148" s="69"/>
      <c r="M148" s="66">
        <f t="shared" si="16"/>
        <v>41668</v>
      </c>
      <c r="N148" s="81">
        <f t="shared" si="18"/>
        <v>146.46464646464634</v>
      </c>
      <c r="O148" s="81">
        <f t="shared" si="18"/>
        <v>113.50710900473942</v>
      </c>
      <c r="P148" s="81">
        <f t="shared" si="18"/>
        <v>103.35689045936388</v>
      </c>
      <c r="Q148" s="81">
        <f t="shared" si="18"/>
        <v>100.6927648535588</v>
      </c>
    </row>
    <row r="149" spans="1:17">
      <c r="A149" s="66">
        <v>41669</v>
      </c>
      <c r="B149" s="66">
        <v>41669</v>
      </c>
      <c r="C149" s="71">
        <v>0.53100000000000003</v>
      </c>
      <c r="D149" s="67">
        <v>0.47</v>
      </c>
      <c r="E149" s="67">
        <v>0.55700000000000005</v>
      </c>
      <c r="F149" s="68">
        <v>47244.26</v>
      </c>
      <c r="G149" s="66">
        <f t="shared" si="15"/>
        <v>41669</v>
      </c>
      <c r="H149" s="70">
        <f t="shared" si="17"/>
        <v>-8.8266082298526075E-2</v>
      </c>
      <c r="I149" s="70">
        <f t="shared" si="17"/>
        <v>-1.8967902706811039E-2</v>
      </c>
      <c r="J149" s="70">
        <f t="shared" si="17"/>
        <v>-4.904660730457229E-2</v>
      </c>
      <c r="K149" s="70">
        <f t="shared" si="17"/>
        <v>-6.5932004988658753E-3</v>
      </c>
      <c r="L149" s="69"/>
      <c r="M149" s="66">
        <f t="shared" si="16"/>
        <v>41669</v>
      </c>
      <c r="N149" s="81">
        <f t="shared" ref="N149:Q164" si="19">C149/C148*N148</f>
        <v>134.09090909090898</v>
      </c>
      <c r="O149" s="81">
        <f t="shared" si="19"/>
        <v>111.37440758293846</v>
      </c>
      <c r="P149" s="81">
        <f t="shared" si="19"/>
        <v>98.409893992932808</v>
      </c>
      <c r="Q149" s="81">
        <f t="shared" si="19"/>
        <v>100.0310610361003</v>
      </c>
    </row>
    <row r="150" spans="1:17">
      <c r="A150" s="66">
        <v>41670</v>
      </c>
      <c r="B150" s="66">
        <v>41670</v>
      </c>
      <c r="C150" s="71">
        <v>0.56000000000000005</v>
      </c>
      <c r="D150" s="67">
        <v>0.46</v>
      </c>
      <c r="E150" s="67">
        <v>0.58499999999999996</v>
      </c>
      <c r="F150" s="68">
        <v>47638.99</v>
      </c>
      <c r="G150" s="66">
        <f t="shared" si="15"/>
        <v>41670</v>
      </c>
      <c r="H150" s="70">
        <f t="shared" si="17"/>
        <v>5.3174762487256201E-2</v>
      </c>
      <c r="I150" s="70">
        <f t="shared" si="17"/>
        <v>-2.1506205220963505E-2</v>
      </c>
      <c r="J150" s="70">
        <f t="shared" si="17"/>
        <v>4.9046607304572269E-2</v>
      </c>
      <c r="K150" s="70">
        <f t="shared" si="17"/>
        <v>8.320378511859846E-3</v>
      </c>
      <c r="L150" s="69"/>
      <c r="M150" s="66">
        <f t="shared" si="16"/>
        <v>41670</v>
      </c>
      <c r="N150" s="81">
        <f t="shared" si="19"/>
        <v>141.41414141414131</v>
      </c>
      <c r="O150" s="81">
        <f t="shared" si="19"/>
        <v>109.00473933649297</v>
      </c>
      <c r="P150" s="81">
        <f t="shared" si="19"/>
        <v>103.35689045936388</v>
      </c>
      <c r="Q150" s="81">
        <f t="shared" si="19"/>
        <v>100.8668294600904</v>
      </c>
    </row>
    <row r="151" spans="1:17">
      <c r="A151" s="66">
        <v>41673</v>
      </c>
      <c r="B151" s="66">
        <v>41673</v>
      </c>
      <c r="C151" s="67">
        <v>0.56000000000000005</v>
      </c>
      <c r="D151" s="67">
        <v>0.441</v>
      </c>
      <c r="E151" s="67">
        <v>0.58499999999999996</v>
      </c>
      <c r="F151" s="68">
        <v>46147.519999999997</v>
      </c>
      <c r="G151" s="66">
        <f t="shared" si="15"/>
        <v>41673</v>
      </c>
      <c r="H151" s="70">
        <f t="shared" si="17"/>
        <v>0</v>
      </c>
      <c r="I151" s="70">
        <f t="shared" si="17"/>
        <v>-4.2181614036294675E-2</v>
      </c>
      <c r="J151" s="70">
        <f t="shared" si="17"/>
        <v>0</v>
      </c>
      <c r="K151" s="70">
        <f t="shared" si="17"/>
        <v>-3.1808321897208586E-2</v>
      </c>
      <c r="L151" s="69"/>
      <c r="M151" s="66">
        <f t="shared" si="16"/>
        <v>41673</v>
      </c>
      <c r="N151" s="81">
        <f t="shared" si="19"/>
        <v>141.41414141414131</v>
      </c>
      <c r="O151" s="81">
        <f t="shared" si="19"/>
        <v>104.50236966824653</v>
      </c>
      <c r="P151" s="81">
        <f t="shared" si="19"/>
        <v>103.35689045936388</v>
      </c>
      <c r="Q151" s="81">
        <f t="shared" si="19"/>
        <v>97.708915110209318</v>
      </c>
    </row>
    <row r="152" spans="1:17">
      <c r="A152" s="66">
        <v>41674</v>
      </c>
      <c r="B152" s="66">
        <v>41674</v>
      </c>
      <c r="C152" s="67">
        <v>0.56000000000000005</v>
      </c>
      <c r="D152" s="67">
        <v>0.46</v>
      </c>
      <c r="E152" s="67">
        <v>0.59399999999999997</v>
      </c>
      <c r="F152" s="68">
        <v>46964.22</v>
      </c>
      <c r="G152" s="66">
        <f t="shared" si="15"/>
        <v>41674</v>
      </c>
      <c r="H152" s="70">
        <f t="shared" si="17"/>
        <v>0</v>
      </c>
      <c r="I152" s="70">
        <f t="shared" si="17"/>
        <v>4.2181614036294668E-2</v>
      </c>
      <c r="J152" s="70">
        <f t="shared" si="17"/>
        <v>1.5267472130788381E-2</v>
      </c>
      <c r="K152" s="70">
        <f t="shared" si="17"/>
        <v>1.7542813502689492E-2</v>
      </c>
      <c r="L152" s="69"/>
      <c r="M152" s="66">
        <f t="shared" si="16"/>
        <v>41674</v>
      </c>
      <c r="N152" s="81">
        <f t="shared" si="19"/>
        <v>141.41414141414131</v>
      </c>
      <c r="O152" s="81">
        <f t="shared" si="19"/>
        <v>109.00473933649297</v>
      </c>
      <c r="P152" s="81">
        <f t="shared" si="19"/>
        <v>104.94699646643102</v>
      </c>
      <c r="Q152" s="81">
        <f t="shared" si="19"/>
        <v>99.438127665304549</v>
      </c>
    </row>
    <row r="153" spans="1:17">
      <c r="A153" s="66">
        <v>41675</v>
      </c>
      <c r="B153" s="66">
        <v>41675</v>
      </c>
      <c r="C153" s="67">
        <v>0.56000000000000005</v>
      </c>
      <c r="D153" s="67">
        <v>0.45100000000000001</v>
      </c>
      <c r="E153" s="67">
        <v>0.59399999999999997</v>
      </c>
      <c r="F153" s="68">
        <v>46624.39</v>
      </c>
      <c r="G153" s="66">
        <f t="shared" si="15"/>
        <v>41675</v>
      </c>
      <c r="H153" s="70">
        <f t="shared" si="17"/>
        <v>0</v>
      </c>
      <c r="I153" s="70">
        <f t="shared" si="17"/>
        <v>-1.9759149980462333E-2</v>
      </c>
      <c r="J153" s="70">
        <f t="shared" si="17"/>
        <v>0</v>
      </c>
      <c r="K153" s="70">
        <f t="shared" si="17"/>
        <v>-7.2622404276629785E-3</v>
      </c>
      <c r="L153" s="69"/>
      <c r="M153" s="66">
        <f t="shared" si="16"/>
        <v>41675</v>
      </c>
      <c r="N153" s="81">
        <f t="shared" si="19"/>
        <v>141.41414141414131</v>
      </c>
      <c r="O153" s="81">
        <f t="shared" si="19"/>
        <v>106.87203791469203</v>
      </c>
      <c r="P153" s="81">
        <f t="shared" si="19"/>
        <v>104.94699646643102</v>
      </c>
      <c r="Q153" s="81">
        <f t="shared" si="19"/>
        <v>98.718599928561545</v>
      </c>
    </row>
    <row r="154" spans="1:17">
      <c r="A154" s="66">
        <v>41676</v>
      </c>
      <c r="B154" s="66">
        <v>41676</v>
      </c>
      <c r="C154" s="71">
        <v>0.56000000000000005</v>
      </c>
      <c r="D154" s="67">
        <v>0.45100000000000001</v>
      </c>
      <c r="E154" s="67">
        <v>0.59399999999999997</v>
      </c>
      <c r="F154" s="68">
        <v>47738.09</v>
      </c>
      <c r="G154" s="66">
        <f t="shared" si="15"/>
        <v>41676</v>
      </c>
      <c r="H154" s="70">
        <f t="shared" si="17"/>
        <v>0</v>
      </c>
      <c r="I154" s="70">
        <f t="shared" si="17"/>
        <v>0</v>
      </c>
      <c r="J154" s="70">
        <f t="shared" si="17"/>
        <v>0</v>
      </c>
      <c r="K154" s="70">
        <f t="shared" si="17"/>
        <v>2.3605816963134081E-2</v>
      </c>
      <c r="L154" s="69"/>
      <c r="M154" s="66">
        <f t="shared" si="16"/>
        <v>41676</v>
      </c>
      <c r="N154" s="81">
        <f t="shared" si="19"/>
        <v>141.41414141414131</v>
      </c>
      <c r="O154" s="81">
        <f t="shared" si="19"/>
        <v>106.87203791469203</v>
      </c>
      <c r="P154" s="81">
        <f t="shared" si="19"/>
        <v>104.94699646643102</v>
      </c>
      <c r="Q154" s="81">
        <f t="shared" si="19"/>
        <v>101.07665554581335</v>
      </c>
    </row>
    <row r="155" spans="1:17">
      <c r="A155" s="66">
        <v>41677</v>
      </c>
      <c r="B155" s="66">
        <v>41677</v>
      </c>
      <c r="C155" s="71">
        <v>0.56000000000000005</v>
      </c>
      <c r="D155" s="67">
        <v>0.45100000000000001</v>
      </c>
      <c r="E155" s="67">
        <v>0.58499999999999996</v>
      </c>
      <c r="F155" s="68">
        <v>48073.599999999999</v>
      </c>
      <c r="G155" s="66">
        <f t="shared" si="15"/>
        <v>41677</v>
      </c>
      <c r="H155" s="70">
        <f t="shared" si="17"/>
        <v>0</v>
      </c>
      <c r="I155" s="70">
        <f t="shared" si="17"/>
        <v>0</v>
      </c>
      <c r="J155" s="70">
        <f t="shared" si="17"/>
        <v>-1.5267472130788421E-2</v>
      </c>
      <c r="K155" s="70">
        <f t="shared" si="17"/>
        <v>7.0035581543581599E-3</v>
      </c>
      <c r="L155" s="69"/>
      <c r="M155" s="66">
        <f t="shared" si="16"/>
        <v>41677</v>
      </c>
      <c r="N155" s="81">
        <f t="shared" si="19"/>
        <v>141.41414141414131</v>
      </c>
      <c r="O155" s="81">
        <f t="shared" si="19"/>
        <v>106.87203791469203</v>
      </c>
      <c r="P155" s="81">
        <f t="shared" si="19"/>
        <v>103.35689045936388</v>
      </c>
      <c r="Q155" s="81">
        <f t="shared" si="19"/>
        <v>101.78703647437955</v>
      </c>
    </row>
    <row r="156" spans="1:17">
      <c r="A156" s="66">
        <v>41680</v>
      </c>
      <c r="B156" s="66">
        <v>41680</v>
      </c>
      <c r="C156" s="71">
        <v>0.56000000000000005</v>
      </c>
      <c r="D156" s="67">
        <v>0.45100000000000001</v>
      </c>
      <c r="E156" s="67">
        <v>0.61299999999999999</v>
      </c>
      <c r="F156" s="68">
        <v>47710.82</v>
      </c>
      <c r="G156" s="66">
        <f t="shared" si="15"/>
        <v>41680</v>
      </c>
      <c r="H156" s="70">
        <f t="shared" si="17"/>
        <v>0</v>
      </c>
      <c r="I156" s="70">
        <f t="shared" si="17"/>
        <v>0</v>
      </c>
      <c r="J156" s="70">
        <f t="shared" si="17"/>
        <v>4.6753088704354955E-2</v>
      </c>
      <c r="K156" s="70">
        <f t="shared" si="17"/>
        <v>-7.5749633331490219E-3</v>
      </c>
      <c r="L156" s="69"/>
      <c r="M156" s="66">
        <f t="shared" si="16"/>
        <v>41680</v>
      </c>
      <c r="N156" s="81">
        <f t="shared" si="19"/>
        <v>141.41414141414131</v>
      </c>
      <c r="O156" s="81">
        <f t="shared" si="19"/>
        <v>106.87203791469203</v>
      </c>
      <c r="P156" s="81">
        <f t="shared" si="19"/>
        <v>108.30388692579498</v>
      </c>
      <c r="Q156" s="81">
        <f t="shared" si="19"/>
        <v>101.01891631919717</v>
      </c>
    </row>
    <row r="157" spans="1:17">
      <c r="A157" s="66">
        <v>41681</v>
      </c>
      <c r="B157" s="66">
        <v>41681</v>
      </c>
      <c r="C157" s="67">
        <v>0.56999999999999995</v>
      </c>
      <c r="D157" s="67">
        <v>0.45100000000000001</v>
      </c>
      <c r="E157" s="67">
        <v>0.60299999999999998</v>
      </c>
      <c r="F157" s="68">
        <v>48462.79</v>
      </c>
      <c r="G157" s="66">
        <f t="shared" si="15"/>
        <v>41681</v>
      </c>
      <c r="H157" s="70">
        <f t="shared" si="17"/>
        <v>1.7699577099400638E-2</v>
      </c>
      <c r="I157" s="70">
        <f t="shared" si="17"/>
        <v>0</v>
      </c>
      <c r="J157" s="70">
        <f t="shared" si="17"/>
        <v>-1.6447739209026018E-2</v>
      </c>
      <c r="K157" s="70">
        <f t="shared" si="17"/>
        <v>1.5638080434578892E-2</v>
      </c>
      <c r="L157" s="69"/>
      <c r="M157" s="66">
        <f t="shared" si="16"/>
        <v>41681</v>
      </c>
      <c r="N157" s="81">
        <f t="shared" si="19"/>
        <v>143.9393939393938</v>
      </c>
      <c r="O157" s="81">
        <f t="shared" si="19"/>
        <v>106.87203791469203</v>
      </c>
      <c r="P157" s="81">
        <f t="shared" si="19"/>
        <v>106.53710247349815</v>
      </c>
      <c r="Q157" s="81">
        <f t="shared" si="19"/>
        <v>102.6110749638096</v>
      </c>
    </row>
    <row r="158" spans="1:17">
      <c r="A158" s="66">
        <v>41682</v>
      </c>
      <c r="B158" s="66">
        <v>41682</v>
      </c>
      <c r="C158" s="71">
        <v>0.56999999999999995</v>
      </c>
      <c r="D158" s="67">
        <v>0.441</v>
      </c>
      <c r="E158" s="67">
        <v>0.59399999999999997</v>
      </c>
      <c r="F158" s="68">
        <v>48216.89</v>
      </c>
      <c r="G158" s="66">
        <f t="shared" si="15"/>
        <v>41682</v>
      </c>
      <c r="H158" s="70">
        <f t="shared" si="17"/>
        <v>0</v>
      </c>
      <c r="I158" s="70">
        <f t="shared" si="17"/>
        <v>-2.2422464055832397E-2</v>
      </c>
      <c r="J158" s="70">
        <f t="shared" si="17"/>
        <v>-1.5037877364540559E-2</v>
      </c>
      <c r="K158" s="70">
        <f t="shared" si="17"/>
        <v>-5.0869123740587838E-3</v>
      </c>
      <c r="L158" s="69"/>
      <c r="M158" s="66">
        <f t="shared" si="16"/>
        <v>41682</v>
      </c>
      <c r="N158" s="81">
        <f t="shared" si="19"/>
        <v>143.9393939393938</v>
      </c>
      <c r="O158" s="81">
        <f t="shared" si="19"/>
        <v>104.50236966824653</v>
      </c>
      <c r="P158" s="81">
        <f t="shared" si="19"/>
        <v>104.94699646643102</v>
      </c>
      <c r="Q158" s="81">
        <f t="shared" si="19"/>
        <v>102.09042678541127</v>
      </c>
    </row>
    <row r="159" spans="1:17">
      <c r="A159" s="66">
        <v>41683</v>
      </c>
      <c r="B159" s="66">
        <v>41683</v>
      </c>
      <c r="C159" s="71">
        <v>0.55100000000000005</v>
      </c>
      <c r="D159" s="67">
        <v>0.441</v>
      </c>
      <c r="E159" s="67">
        <v>0.59399999999999997</v>
      </c>
      <c r="F159" s="68">
        <v>47812.83</v>
      </c>
      <c r="G159" s="66">
        <f t="shared" si="15"/>
        <v>41683</v>
      </c>
      <c r="H159" s="70">
        <f t="shared" si="17"/>
        <v>-3.3901551675681228E-2</v>
      </c>
      <c r="I159" s="70">
        <f t="shared" si="17"/>
        <v>0</v>
      </c>
      <c r="J159" s="70">
        <f t="shared" si="17"/>
        <v>0</v>
      </c>
      <c r="K159" s="70">
        <f t="shared" si="17"/>
        <v>-8.4153610896179516E-3</v>
      </c>
      <c r="L159" s="69"/>
      <c r="M159" s="66">
        <f t="shared" si="16"/>
        <v>41683</v>
      </c>
      <c r="N159" s="81">
        <f t="shared" si="19"/>
        <v>139.14141414141403</v>
      </c>
      <c r="O159" s="81">
        <f t="shared" si="19"/>
        <v>104.50236966824653</v>
      </c>
      <c r="P159" s="81">
        <f t="shared" si="19"/>
        <v>104.94699646643102</v>
      </c>
      <c r="Q159" s="81">
        <f t="shared" si="19"/>
        <v>101.23490379653926</v>
      </c>
    </row>
    <row r="160" spans="1:17">
      <c r="A160" s="66">
        <v>41684</v>
      </c>
      <c r="B160" s="66">
        <v>41684</v>
      </c>
      <c r="C160" s="67">
        <v>0.54100000000000004</v>
      </c>
      <c r="D160" s="67">
        <v>0.441</v>
      </c>
      <c r="E160" s="67">
        <v>0.57499999999999996</v>
      </c>
      <c r="F160" s="68">
        <v>48201.11</v>
      </c>
      <c r="G160" s="66">
        <f t="shared" si="15"/>
        <v>41684</v>
      </c>
      <c r="H160" s="70">
        <f t="shared" si="17"/>
        <v>-1.8315530306432948E-2</v>
      </c>
      <c r="I160" s="70">
        <f t="shared" si="17"/>
        <v>0</v>
      </c>
      <c r="J160" s="70">
        <f t="shared" si="17"/>
        <v>-3.2509278565294508E-2</v>
      </c>
      <c r="K160" s="70">
        <f t="shared" si="17"/>
        <v>8.0880363133128356E-3</v>
      </c>
      <c r="L160" s="69"/>
      <c r="M160" s="66">
        <f t="shared" si="16"/>
        <v>41684</v>
      </c>
      <c r="N160" s="81">
        <f t="shared" si="19"/>
        <v>136.61616161616152</v>
      </c>
      <c r="O160" s="81">
        <f t="shared" si="19"/>
        <v>104.50236966824653</v>
      </c>
      <c r="P160" s="81">
        <f t="shared" si="19"/>
        <v>101.59010600706706</v>
      </c>
      <c r="Q160" s="81">
        <f t="shared" si="19"/>
        <v>102.05701552776537</v>
      </c>
    </row>
    <row r="161" spans="1:17">
      <c r="A161" s="66">
        <v>41687</v>
      </c>
      <c r="B161" s="66">
        <v>41687</v>
      </c>
      <c r="C161" s="67">
        <v>0.51200000000000001</v>
      </c>
      <c r="D161" s="67">
        <v>0.441</v>
      </c>
      <c r="E161" s="67">
        <v>0.60299999999999998</v>
      </c>
      <c r="F161" s="68">
        <v>47576.33</v>
      </c>
      <c r="G161" s="66">
        <f t="shared" si="15"/>
        <v>41687</v>
      </c>
      <c r="H161" s="70">
        <f t="shared" si="17"/>
        <v>-5.5094653806973752E-2</v>
      </c>
      <c r="I161" s="70">
        <f t="shared" si="17"/>
        <v>0</v>
      </c>
      <c r="J161" s="70">
        <f t="shared" si="17"/>
        <v>4.7547155929834987E-2</v>
      </c>
      <c r="K161" s="70">
        <f t="shared" si="17"/>
        <v>-1.3046681186408188E-2</v>
      </c>
      <c r="L161" s="69"/>
      <c r="M161" s="66">
        <f t="shared" si="16"/>
        <v>41687</v>
      </c>
      <c r="N161" s="81">
        <f t="shared" si="19"/>
        <v>129.29292929292919</v>
      </c>
      <c r="O161" s="81">
        <f t="shared" si="19"/>
        <v>104.50236966824653</v>
      </c>
      <c r="P161" s="81">
        <f t="shared" si="19"/>
        <v>106.53710247349815</v>
      </c>
      <c r="Q161" s="81">
        <f t="shared" si="19"/>
        <v>100.73415839519234</v>
      </c>
    </row>
    <row r="162" spans="1:17">
      <c r="A162" s="66">
        <v>41688</v>
      </c>
      <c r="B162" s="66">
        <v>41688</v>
      </c>
      <c r="C162" s="67">
        <v>0.53100000000000003</v>
      </c>
      <c r="D162" s="67">
        <v>0.43099999999999999</v>
      </c>
      <c r="E162" s="67">
        <v>0.61299999999999999</v>
      </c>
      <c r="F162" s="68">
        <v>46599.76</v>
      </c>
      <c r="G162" s="66">
        <f t="shared" si="15"/>
        <v>41688</v>
      </c>
      <c r="H162" s="70">
        <f t="shared" si="17"/>
        <v>3.6437396202431048E-2</v>
      </c>
      <c r="I162" s="70">
        <f t="shared" si="17"/>
        <v>-2.293678534309827E-2</v>
      </c>
      <c r="J162" s="70">
        <f t="shared" si="17"/>
        <v>1.6447739209025883E-2</v>
      </c>
      <c r="K162" s="70">
        <f t="shared" si="17"/>
        <v>-2.0739977746879648E-2</v>
      </c>
      <c r="L162" s="69"/>
      <c r="M162" s="66">
        <f t="shared" si="16"/>
        <v>41688</v>
      </c>
      <c r="N162" s="81">
        <f t="shared" si="19"/>
        <v>134.09090909090898</v>
      </c>
      <c r="O162" s="81">
        <f t="shared" si="19"/>
        <v>102.13270142180103</v>
      </c>
      <c r="P162" s="81">
        <f t="shared" si="19"/>
        <v>108.30388692579496</v>
      </c>
      <c r="Q162" s="81">
        <f t="shared" si="19"/>
        <v>98.666450418053429</v>
      </c>
    </row>
    <row r="163" spans="1:17">
      <c r="A163" s="66">
        <v>41689</v>
      </c>
      <c r="B163" s="66">
        <v>41689</v>
      </c>
      <c r="C163" s="71">
        <v>0.52200000000000002</v>
      </c>
      <c r="D163" s="67">
        <v>0.43099999999999999</v>
      </c>
      <c r="E163" s="67">
        <v>0.622</v>
      </c>
      <c r="F163" s="68">
        <v>47150.83</v>
      </c>
      <c r="G163" s="66">
        <f t="shared" si="15"/>
        <v>41689</v>
      </c>
      <c r="H163" s="70">
        <f t="shared" si="17"/>
        <v>-1.7094433359300183E-2</v>
      </c>
      <c r="I163" s="70">
        <f t="shared" si="17"/>
        <v>0</v>
      </c>
      <c r="J163" s="70">
        <f t="shared" si="17"/>
        <v>1.4575156802968087E-2</v>
      </c>
      <c r="K163" s="70">
        <f t="shared" si="17"/>
        <v>1.1756221414208359E-2</v>
      </c>
      <c r="L163" s="69"/>
      <c r="M163" s="66">
        <f t="shared" si="16"/>
        <v>41689</v>
      </c>
      <c r="N163" s="81">
        <f t="shared" si="19"/>
        <v>131.8181818181817</v>
      </c>
      <c r="O163" s="81">
        <f t="shared" si="19"/>
        <v>102.13270142180103</v>
      </c>
      <c r="P163" s="81">
        <f t="shared" si="19"/>
        <v>109.89399293286209</v>
      </c>
      <c r="Q163" s="81">
        <f t="shared" si="19"/>
        <v>99.833240136109424</v>
      </c>
    </row>
    <row r="164" spans="1:17">
      <c r="A164" s="66">
        <v>41690</v>
      </c>
      <c r="B164" s="66">
        <v>41690</v>
      </c>
      <c r="C164" s="71">
        <v>0.52200000000000002</v>
      </c>
      <c r="D164" s="67">
        <v>0.43099999999999999</v>
      </c>
      <c r="E164" s="67">
        <v>0.56599999999999995</v>
      </c>
      <c r="F164" s="68">
        <v>47288.61</v>
      </c>
      <c r="G164" s="66">
        <f t="shared" si="15"/>
        <v>41690</v>
      </c>
      <c r="H164" s="70">
        <f t="shared" si="17"/>
        <v>0</v>
      </c>
      <c r="I164" s="70">
        <f t="shared" si="17"/>
        <v>0</v>
      </c>
      <c r="J164" s="70">
        <f t="shared" si="17"/>
        <v>-9.4346014535996614E-2</v>
      </c>
      <c r="K164" s="70">
        <f t="shared" si="17"/>
        <v>2.91785079947969E-3</v>
      </c>
      <c r="L164" s="69"/>
      <c r="M164" s="66">
        <f t="shared" si="16"/>
        <v>41690</v>
      </c>
      <c r="N164" s="81">
        <f t="shared" si="19"/>
        <v>131.8181818181817</v>
      </c>
      <c r="O164" s="81">
        <f t="shared" si="19"/>
        <v>102.13270142180103</v>
      </c>
      <c r="P164" s="81">
        <f t="shared" si="19"/>
        <v>99.999999999999901</v>
      </c>
      <c r="Q164" s="81">
        <f t="shared" si="19"/>
        <v>100.12496403208226</v>
      </c>
    </row>
    <row r="165" spans="1:17">
      <c r="A165" s="66">
        <v>41691</v>
      </c>
      <c r="B165" s="66">
        <v>41691</v>
      </c>
      <c r="C165" s="67">
        <v>0.53100000000000003</v>
      </c>
      <c r="D165" s="67">
        <v>0.43099999999999999</v>
      </c>
      <c r="E165" s="67">
        <v>0.59399999999999997</v>
      </c>
      <c r="F165" s="68">
        <v>47380.24</v>
      </c>
      <c r="G165" s="66">
        <f t="shared" si="15"/>
        <v>41691</v>
      </c>
      <c r="H165" s="70">
        <f t="shared" si="17"/>
        <v>1.709443335930004E-2</v>
      </c>
      <c r="I165" s="70">
        <f t="shared" si="17"/>
        <v>0</v>
      </c>
      <c r="J165" s="70">
        <f t="shared" si="17"/>
        <v>4.8285241159462117E-2</v>
      </c>
      <c r="K165" s="70">
        <f t="shared" si="17"/>
        <v>1.9358010288273244E-3</v>
      </c>
      <c r="L165" s="69"/>
      <c r="M165" s="66">
        <f t="shared" si="16"/>
        <v>41691</v>
      </c>
      <c r="N165" s="81">
        <f t="shared" ref="N165:Q180" si="20">C165/C164*N164</f>
        <v>134.09090909090895</v>
      </c>
      <c r="O165" s="81">
        <f t="shared" si="20"/>
        <v>102.13270142180103</v>
      </c>
      <c r="P165" s="81">
        <f t="shared" si="20"/>
        <v>104.946996466431</v>
      </c>
      <c r="Q165" s="81">
        <f t="shared" si="20"/>
        <v>100.31897376199946</v>
      </c>
    </row>
    <row r="166" spans="1:17">
      <c r="A166" s="66">
        <v>41694</v>
      </c>
      <c r="B166" s="66">
        <v>41694</v>
      </c>
      <c r="C166" s="67">
        <v>0.53100000000000003</v>
      </c>
      <c r="D166" s="67">
        <v>0.42199999999999999</v>
      </c>
      <c r="E166" s="67">
        <v>0.58499999999999996</v>
      </c>
      <c r="F166" s="68">
        <v>47393.5</v>
      </c>
      <c r="G166" s="66">
        <f t="shared" si="15"/>
        <v>41694</v>
      </c>
      <c r="H166" s="70">
        <f t="shared" si="17"/>
        <v>0</v>
      </c>
      <c r="I166" s="70">
        <f t="shared" si="17"/>
        <v>-2.1102776067736053E-2</v>
      </c>
      <c r="J166" s="70">
        <f t="shared" si="17"/>
        <v>-1.5267472130788421E-2</v>
      </c>
      <c r="K166" s="70">
        <f t="shared" si="17"/>
        <v>2.7982434979414403E-4</v>
      </c>
      <c r="L166" s="69"/>
      <c r="M166" s="66">
        <f t="shared" si="16"/>
        <v>41694</v>
      </c>
      <c r="N166" s="81">
        <f t="shared" si="20"/>
        <v>134.09090909090895</v>
      </c>
      <c r="O166" s="81">
        <f t="shared" si="20"/>
        <v>100.00000000000007</v>
      </c>
      <c r="P166" s="81">
        <f t="shared" si="20"/>
        <v>103.35689045936387</v>
      </c>
      <c r="Q166" s="81">
        <f t="shared" si="20"/>
        <v>100.34704938154222</v>
      </c>
    </row>
    <row r="167" spans="1:17">
      <c r="A167" s="66">
        <v>41695</v>
      </c>
      <c r="B167" s="66">
        <v>41695</v>
      </c>
      <c r="C167" s="67">
        <v>0.52200000000000002</v>
      </c>
      <c r="D167" s="67">
        <v>0.42199999999999999</v>
      </c>
      <c r="E167" s="67">
        <v>0.57499999999999996</v>
      </c>
      <c r="F167" s="68">
        <v>46715.91</v>
      </c>
      <c r="G167" s="66">
        <f t="shared" si="15"/>
        <v>41695</v>
      </c>
      <c r="H167" s="70">
        <f t="shared" si="17"/>
        <v>-1.7094433359300183E-2</v>
      </c>
      <c r="I167" s="70">
        <f t="shared" si="17"/>
        <v>0</v>
      </c>
      <c r="J167" s="70">
        <f t="shared" si="17"/>
        <v>-1.7241806434506103E-2</v>
      </c>
      <c r="K167" s="70">
        <f t="shared" si="17"/>
        <v>-1.440029661639774E-2</v>
      </c>
      <c r="L167" s="69"/>
      <c r="M167" s="66">
        <f t="shared" si="16"/>
        <v>41695</v>
      </c>
      <c r="N167" s="81">
        <f t="shared" si="20"/>
        <v>131.81818181818167</v>
      </c>
      <c r="O167" s="81">
        <f t="shared" si="20"/>
        <v>100.00000000000007</v>
      </c>
      <c r="P167" s="81">
        <f t="shared" si="20"/>
        <v>101.59010600706705</v>
      </c>
      <c r="Q167" s="81">
        <f t="shared" si="20"/>
        <v>98.912376753640956</v>
      </c>
    </row>
    <row r="168" spans="1:17">
      <c r="A168" s="66">
        <v>41696</v>
      </c>
      <c r="B168" s="66">
        <v>41696</v>
      </c>
      <c r="C168" s="71">
        <v>0.52200000000000002</v>
      </c>
      <c r="D168" s="67">
        <v>0.43099999999999999</v>
      </c>
      <c r="E168" s="67">
        <v>0.59399999999999997</v>
      </c>
      <c r="F168" s="68">
        <v>46599.21</v>
      </c>
      <c r="G168" s="66">
        <f t="shared" si="15"/>
        <v>41696</v>
      </c>
      <c r="H168" s="70">
        <f t="shared" si="17"/>
        <v>0</v>
      </c>
      <c r="I168" s="70">
        <f t="shared" si="17"/>
        <v>2.1102776067736036E-2</v>
      </c>
      <c r="J168" s="70">
        <f t="shared" si="17"/>
        <v>3.2509278565294432E-2</v>
      </c>
      <c r="K168" s="70">
        <f t="shared" si="17"/>
        <v>-2.5012036814567843E-3</v>
      </c>
      <c r="L168" s="69"/>
      <c r="M168" s="66">
        <f t="shared" si="16"/>
        <v>41696</v>
      </c>
      <c r="N168" s="81">
        <f t="shared" si="20"/>
        <v>131.81818181818167</v>
      </c>
      <c r="O168" s="81">
        <f t="shared" si="20"/>
        <v>102.13270142180103</v>
      </c>
      <c r="P168" s="81">
        <f t="shared" si="20"/>
        <v>104.946996466431</v>
      </c>
      <c r="Q168" s="81">
        <f t="shared" si="20"/>
        <v>98.665285893864265</v>
      </c>
    </row>
    <row r="169" spans="1:17">
      <c r="A169" s="66">
        <v>41697</v>
      </c>
      <c r="B169" s="66">
        <v>41697</v>
      </c>
      <c r="C169" s="67">
        <v>0.502</v>
      </c>
      <c r="D169" s="67">
        <v>0.42199999999999999</v>
      </c>
      <c r="E169" s="67">
        <v>0.56599999999999995</v>
      </c>
      <c r="F169" s="68">
        <v>47606.75</v>
      </c>
      <c r="G169" s="66">
        <f t="shared" si="15"/>
        <v>41697</v>
      </c>
      <c r="H169" s="70">
        <f t="shared" si="17"/>
        <v>-3.9067468190909511E-2</v>
      </c>
      <c r="I169" s="70">
        <f t="shared" si="17"/>
        <v>-2.1102776067736053E-2</v>
      </c>
      <c r="J169" s="70">
        <f t="shared" si="17"/>
        <v>-4.8285241159461999E-2</v>
      </c>
      <c r="K169" s="70">
        <f t="shared" si="17"/>
        <v>2.139096970824007E-2</v>
      </c>
      <c r="L169" s="69"/>
      <c r="M169" s="66">
        <f t="shared" si="16"/>
        <v>41697</v>
      </c>
      <c r="N169" s="81">
        <f t="shared" si="20"/>
        <v>126.76767676767663</v>
      </c>
      <c r="O169" s="81">
        <f t="shared" si="20"/>
        <v>100.00000000000007</v>
      </c>
      <c r="P169" s="81">
        <f t="shared" si="20"/>
        <v>99.999999999999915</v>
      </c>
      <c r="Q169" s="81">
        <f t="shared" si="20"/>
        <v>100.79856716943748</v>
      </c>
    </row>
    <row r="170" spans="1:17">
      <c r="A170" s="66">
        <v>41698</v>
      </c>
      <c r="B170" s="66">
        <v>41698</v>
      </c>
      <c r="C170" s="67">
        <v>0.502</v>
      </c>
      <c r="D170" s="67">
        <v>0.42199999999999999</v>
      </c>
      <c r="E170" s="67">
        <v>0.58499999999999996</v>
      </c>
      <c r="F170" s="68">
        <v>47094.400000000001</v>
      </c>
      <c r="G170" s="66">
        <f t="shared" si="15"/>
        <v>41698</v>
      </c>
      <c r="H170" s="70">
        <f t="shared" si="17"/>
        <v>0</v>
      </c>
      <c r="I170" s="70">
        <f t="shared" si="17"/>
        <v>0</v>
      </c>
      <c r="J170" s="70">
        <f t="shared" si="17"/>
        <v>3.3017769028673573E-2</v>
      </c>
      <c r="K170" s="70">
        <f t="shared" si="17"/>
        <v>-1.0820459918783835E-2</v>
      </c>
      <c r="L170" s="69"/>
      <c r="M170" s="66">
        <f t="shared" si="16"/>
        <v>41698</v>
      </c>
      <c r="N170" s="81">
        <f t="shared" si="20"/>
        <v>126.76767676767663</v>
      </c>
      <c r="O170" s="81">
        <f t="shared" si="20"/>
        <v>100.00000000000007</v>
      </c>
      <c r="P170" s="81">
        <f t="shared" si="20"/>
        <v>103.35689045936387</v>
      </c>
      <c r="Q170" s="81">
        <f t="shared" si="20"/>
        <v>99.713759954299675</v>
      </c>
    </row>
    <row r="171" spans="1:17">
      <c r="A171" s="66">
        <v>41703</v>
      </c>
      <c r="B171" s="66">
        <v>41703</v>
      </c>
      <c r="C171" s="67">
        <v>0.48299999999999998</v>
      </c>
      <c r="D171" s="67">
        <v>0.42199999999999999</v>
      </c>
      <c r="E171" s="67">
        <v>0.57499999999999996</v>
      </c>
      <c r="F171" s="68">
        <v>46589</v>
      </c>
      <c r="G171" s="66">
        <f t="shared" si="15"/>
        <v>41703</v>
      </c>
      <c r="H171" s="70">
        <f t="shared" si="17"/>
        <v>-3.8583466039156591E-2</v>
      </c>
      <c r="I171" s="70">
        <f t="shared" si="17"/>
        <v>0</v>
      </c>
      <c r="J171" s="70">
        <f t="shared" si="17"/>
        <v>-1.7241806434506103E-2</v>
      </c>
      <c r="K171" s="70">
        <f t="shared" si="17"/>
        <v>-1.0789636222743367E-2</v>
      </c>
      <c r="L171" s="69"/>
      <c r="M171" s="66">
        <f t="shared" si="16"/>
        <v>41703</v>
      </c>
      <c r="N171" s="81">
        <f t="shared" si="20"/>
        <v>121.96969696969683</v>
      </c>
      <c r="O171" s="81">
        <f t="shared" si="20"/>
        <v>100.00000000000007</v>
      </c>
      <c r="P171" s="81">
        <f t="shared" si="20"/>
        <v>101.59010600706705</v>
      </c>
      <c r="Q171" s="81">
        <f t="shared" si="20"/>
        <v>98.643668090279675</v>
      </c>
    </row>
    <row r="172" spans="1:17">
      <c r="A172" s="66">
        <v>41704</v>
      </c>
      <c r="B172" s="66">
        <v>41704</v>
      </c>
      <c r="C172" s="67">
        <v>0.47299999999999998</v>
      </c>
      <c r="D172" s="67">
        <v>0.42199999999999999</v>
      </c>
      <c r="E172" s="67">
        <v>0.60299999999999998</v>
      </c>
      <c r="F172" s="68">
        <v>47093.13</v>
      </c>
      <c r="G172" s="66">
        <f t="shared" si="15"/>
        <v>41704</v>
      </c>
      <c r="H172" s="70">
        <f t="shared" si="17"/>
        <v>-2.0921265160639684E-2</v>
      </c>
      <c r="I172" s="70">
        <f t="shared" si="17"/>
        <v>0</v>
      </c>
      <c r="J172" s="70">
        <f t="shared" si="17"/>
        <v>4.7547155929834987E-2</v>
      </c>
      <c r="K172" s="70">
        <f t="shared" si="17"/>
        <v>1.0762668746261507E-2</v>
      </c>
      <c r="L172" s="69"/>
      <c r="M172" s="66">
        <f t="shared" si="16"/>
        <v>41704</v>
      </c>
      <c r="N172" s="81">
        <f t="shared" si="20"/>
        <v>119.44444444444431</v>
      </c>
      <c r="O172" s="81">
        <f t="shared" si="20"/>
        <v>100.00000000000007</v>
      </c>
      <c r="P172" s="81">
        <f t="shared" si="20"/>
        <v>106.53710247349814</v>
      </c>
      <c r="Q172" s="81">
        <f t="shared" si="20"/>
        <v>99.711070962081024</v>
      </c>
    </row>
    <row r="173" spans="1:17">
      <c r="A173" s="66">
        <v>41705</v>
      </c>
      <c r="B173" s="66">
        <v>41705</v>
      </c>
      <c r="C173" s="71">
        <v>0.502</v>
      </c>
      <c r="D173" s="67">
        <v>0.41199999999999998</v>
      </c>
      <c r="E173" s="67">
        <v>0.59399999999999997</v>
      </c>
      <c r="F173" s="68">
        <v>46244.07</v>
      </c>
      <c r="G173" s="66">
        <f t="shared" si="15"/>
        <v>41705</v>
      </c>
      <c r="H173" s="70">
        <f t="shared" si="17"/>
        <v>5.9504731199796254E-2</v>
      </c>
      <c r="I173" s="70">
        <f t="shared" si="17"/>
        <v>-2.3981964686485439E-2</v>
      </c>
      <c r="J173" s="70">
        <f t="shared" si="17"/>
        <v>-1.5037877364540559E-2</v>
      </c>
      <c r="K173" s="70">
        <f t="shared" si="17"/>
        <v>-1.819389098935861E-2</v>
      </c>
      <c r="L173" s="69"/>
      <c r="M173" s="66">
        <f t="shared" si="16"/>
        <v>41705</v>
      </c>
      <c r="N173" s="81">
        <f t="shared" si="20"/>
        <v>126.76767676767663</v>
      </c>
      <c r="O173" s="81">
        <f t="shared" si="20"/>
        <v>97.630331753554572</v>
      </c>
      <c r="P173" s="81">
        <f t="shared" si="20"/>
        <v>104.946996466431</v>
      </c>
      <c r="Q173" s="81">
        <f t="shared" si="20"/>
        <v>97.913342038327926</v>
      </c>
    </row>
    <row r="174" spans="1:17">
      <c r="A174" s="66">
        <v>41708</v>
      </c>
      <c r="B174" s="66">
        <v>41708</v>
      </c>
      <c r="C174" s="67">
        <v>0.5</v>
      </c>
      <c r="D174" s="67">
        <v>0.40300000000000002</v>
      </c>
      <c r="E174" s="67">
        <v>0.58499999999999996</v>
      </c>
      <c r="F174" s="68">
        <v>45533.2</v>
      </c>
      <c r="G174" s="66">
        <f t="shared" si="15"/>
        <v>41708</v>
      </c>
      <c r="H174" s="70">
        <f t="shared" si="17"/>
        <v>-3.9920212695374498E-3</v>
      </c>
      <c r="I174" s="70">
        <f t="shared" si="17"/>
        <v>-2.2086787402843283E-2</v>
      </c>
      <c r="J174" s="70">
        <f t="shared" si="17"/>
        <v>-1.5267472130788421E-2</v>
      </c>
      <c r="K174" s="70">
        <f t="shared" si="17"/>
        <v>-1.5491509315210412E-2</v>
      </c>
      <c r="L174" s="69"/>
      <c r="M174" s="66">
        <f t="shared" si="16"/>
        <v>41708</v>
      </c>
      <c r="N174" s="81">
        <f t="shared" si="20"/>
        <v>126.26262626262613</v>
      </c>
      <c r="O174" s="81">
        <f t="shared" si="20"/>
        <v>95.497630331753641</v>
      </c>
      <c r="P174" s="81">
        <f t="shared" si="20"/>
        <v>103.35689045936387</v>
      </c>
      <c r="Q174" s="81">
        <f t="shared" si="20"/>
        <v>96.408205110397773</v>
      </c>
    </row>
    <row r="175" spans="1:17">
      <c r="A175" s="66">
        <v>41709</v>
      </c>
      <c r="B175" s="66">
        <v>41709</v>
      </c>
      <c r="C175" s="67">
        <v>0.5</v>
      </c>
      <c r="D175" s="67">
        <v>0.41199999999999998</v>
      </c>
      <c r="E175" s="67">
        <v>0.58499999999999996</v>
      </c>
      <c r="F175" s="68">
        <v>45697.62</v>
      </c>
      <c r="G175" s="66">
        <f t="shared" si="15"/>
        <v>41709</v>
      </c>
      <c r="H175" s="70">
        <f t="shared" si="17"/>
        <v>0</v>
      </c>
      <c r="I175" s="70">
        <f t="shared" si="17"/>
        <v>2.2086787402843287E-2</v>
      </c>
      <c r="J175" s="70">
        <f t="shared" si="17"/>
        <v>0</v>
      </c>
      <c r="K175" s="70">
        <f t="shared" si="17"/>
        <v>3.6044875627896595E-3</v>
      </c>
      <c r="L175" s="69"/>
      <c r="M175" s="66">
        <f t="shared" si="16"/>
        <v>41709</v>
      </c>
      <c r="N175" s="81">
        <f t="shared" si="20"/>
        <v>126.26262626262613</v>
      </c>
      <c r="O175" s="81">
        <f t="shared" si="20"/>
        <v>97.630331753554572</v>
      </c>
      <c r="P175" s="81">
        <f t="shared" si="20"/>
        <v>103.35689045936387</v>
      </c>
      <c r="Q175" s="81">
        <f t="shared" si="20"/>
        <v>96.756334323461033</v>
      </c>
    </row>
    <row r="176" spans="1:17">
      <c r="A176" s="66">
        <v>41710</v>
      </c>
      <c r="B176" s="66">
        <v>41710</v>
      </c>
      <c r="C176" s="67">
        <v>0.5</v>
      </c>
      <c r="D176" s="67">
        <v>0.41199999999999998</v>
      </c>
      <c r="E176" s="67">
        <v>0.59399999999999997</v>
      </c>
      <c r="F176" s="68">
        <v>45861.81</v>
      </c>
      <c r="G176" s="66">
        <f t="shared" si="15"/>
        <v>41710</v>
      </c>
      <c r="H176" s="70">
        <f t="shared" si="17"/>
        <v>0</v>
      </c>
      <c r="I176" s="70">
        <f t="shared" si="17"/>
        <v>0</v>
      </c>
      <c r="J176" s="70">
        <f t="shared" si="17"/>
        <v>1.5267472130788381E-2</v>
      </c>
      <c r="K176" s="70">
        <f t="shared" si="17"/>
        <v>3.5865268274463506E-3</v>
      </c>
      <c r="L176" s="69"/>
      <c r="M176" s="66">
        <f t="shared" si="16"/>
        <v>41710</v>
      </c>
      <c r="N176" s="81">
        <f t="shared" si="20"/>
        <v>126.26262626262613</v>
      </c>
      <c r="O176" s="81">
        <f t="shared" si="20"/>
        <v>97.630331753554572</v>
      </c>
      <c r="P176" s="81">
        <f t="shared" si="20"/>
        <v>104.946996466431</v>
      </c>
      <c r="Q176" s="81">
        <f t="shared" si="20"/>
        <v>97.103976553681534</v>
      </c>
    </row>
    <row r="177" spans="1:17">
      <c r="A177" s="66">
        <v>41711</v>
      </c>
      <c r="B177" s="66">
        <v>41711</v>
      </c>
      <c r="C177" s="67">
        <v>0.5</v>
      </c>
      <c r="D177" s="67">
        <v>0.40300000000000002</v>
      </c>
      <c r="E177" s="67">
        <v>0.59399999999999997</v>
      </c>
      <c r="F177" s="68">
        <v>45443.83</v>
      </c>
      <c r="G177" s="66">
        <f t="shared" si="15"/>
        <v>41711</v>
      </c>
      <c r="H177" s="70">
        <f t="shared" si="17"/>
        <v>0</v>
      </c>
      <c r="I177" s="70">
        <f t="shared" si="17"/>
        <v>-2.2086787402843283E-2</v>
      </c>
      <c r="J177" s="70">
        <f t="shared" si="17"/>
        <v>0</v>
      </c>
      <c r="K177" s="70">
        <f t="shared" si="17"/>
        <v>-9.1556867640620997E-3</v>
      </c>
      <c r="L177" s="69"/>
      <c r="M177" s="66">
        <f t="shared" si="16"/>
        <v>41711</v>
      </c>
      <c r="N177" s="81">
        <f t="shared" si="20"/>
        <v>126.26262626262613</v>
      </c>
      <c r="O177" s="81">
        <f t="shared" si="20"/>
        <v>95.497630331753641</v>
      </c>
      <c r="P177" s="81">
        <f t="shared" si="20"/>
        <v>104.946996466431</v>
      </c>
      <c r="Q177" s="81">
        <f t="shared" si="20"/>
        <v>96.218980516239768</v>
      </c>
    </row>
    <row r="178" spans="1:17">
      <c r="A178" s="66">
        <v>41712</v>
      </c>
      <c r="B178" s="66">
        <v>41712</v>
      </c>
      <c r="C178" s="71">
        <v>0.5</v>
      </c>
      <c r="D178" s="67">
        <v>0.39300000000000002</v>
      </c>
      <c r="E178" s="67">
        <v>0.59399999999999997</v>
      </c>
      <c r="F178" s="68">
        <v>44965.66</v>
      </c>
      <c r="G178" s="66">
        <f t="shared" si="15"/>
        <v>41712</v>
      </c>
      <c r="H178" s="70">
        <f t="shared" si="17"/>
        <v>0</v>
      </c>
      <c r="I178" s="70">
        <f t="shared" si="17"/>
        <v>-2.5126950077421759E-2</v>
      </c>
      <c r="J178" s="70">
        <f t="shared" si="17"/>
        <v>0</v>
      </c>
      <c r="K178" s="70">
        <f t="shared" si="17"/>
        <v>-1.0577970491069438E-2</v>
      </c>
      <c r="L178" s="69"/>
      <c r="M178" s="66">
        <f t="shared" si="16"/>
        <v>41712</v>
      </c>
      <c r="N178" s="81">
        <f t="shared" si="20"/>
        <v>126.26262626262613</v>
      </c>
      <c r="O178" s="81">
        <f t="shared" si="20"/>
        <v>93.127962085308141</v>
      </c>
      <c r="P178" s="81">
        <f t="shared" si="20"/>
        <v>104.946996466431</v>
      </c>
      <c r="Q178" s="81">
        <f t="shared" si="20"/>
        <v>95.206543186167679</v>
      </c>
    </row>
    <row r="179" spans="1:17">
      <c r="A179" s="66">
        <v>41715</v>
      </c>
      <c r="B179" s="66">
        <v>41715</v>
      </c>
      <c r="C179" s="67">
        <v>0.47</v>
      </c>
      <c r="D179" s="67">
        <v>0.39300000000000002</v>
      </c>
      <c r="E179" s="67">
        <v>0.59399999999999997</v>
      </c>
      <c r="F179" s="68">
        <v>45117.8</v>
      </c>
      <c r="G179" s="66">
        <f t="shared" si="15"/>
        <v>41715</v>
      </c>
      <c r="H179" s="70">
        <f t="shared" si="17"/>
        <v>-6.1875403718087529E-2</v>
      </c>
      <c r="I179" s="70">
        <f t="shared" si="17"/>
        <v>0</v>
      </c>
      <c r="J179" s="70">
        <f t="shared" si="17"/>
        <v>0</v>
      </c>
      <c r="K179" s="70">
        <f t="shared" si="17"/>
        <v>3.377759794093025E-3</v>
      </c>
      <c r="L179" s="69"/>
      <c r="M179" s="66">
        <f t="shared" si="16"/>
        <v>41715</v>
      </c>
      <c r="N179" s="81">
        <f t="shared" si="20"/>
        <v>118.68686868686855</v>
      </c>
      <c r="O179" s="81">
        <f t="shared" si="20"/>
        <v>93.127962085308141</v>
      </c>
      <c r="P179" s="81">
        <f t="shared" si="20"/>
        <v>104.946996466431</v>
      </c>
      <c r="Q179" s="81">
        <f t="shared" si="20"/>
        <v>95.528671750061633</v>
      </c>
    </row>
    <row r="180" spans="1:17">
      <c r="A180" s="66">
        <v>41716</v>
      </c>
      <c r="B180" s="66">
        <v>41716</v>
      </c>
      <c r="C180" s="71">
        <v>0.49</v>
      </c>
      <c r="D180" s="67">
        <v>0.40300000000000002</v>
      </c>
      <c r="E180" s="67">
        <v>0.59399999999999997</v>
      </c>
      <c r="F180" s="68">
        <v>46150.96</v>
      </c>
      <c r="G180" s="66">
        <f t="shared" si="15"/>
        <v>41716</v>
      </c>
      <c r="H180" s="70">
        <f t="shared" si="17"/>
        <v>4.1672696400568081E-2</v>
      </c>
      <c r="I180" s="70">
        <f t="shared" si="17"/>
        <v>2.5126950077421859E-2</v>
      </c>
      <c r="J180" s="70">
        <f t="shared" si="17"/>
        <v>0</v>
      </c>
      <c r="K180" s="70">
        <f t="shared" si="17"/>
        <v>2.264091533018274E-2</v>
      </c>
      <c r="L180" s="69"/>
      <c r="M180" s="66">
        <f t="shared" si="16"/>
        <v>41716</v>
      </c>
      <c r="N180" s="81">
        <f t="shared" si="20"/>
        <v>123.7373737373736</v>
      </c>
      <c r="O180" s="81">
        <f t="shared" si="20"/>
        <v>95.497630331753655</v>
      </c>
      <c r="P180" s="81">
        <f t="shared" si="20"/>
        <v>104.946996466431</v>
      </c>
      <c r="Q180" s="81">
        <f t="shared" si="20"/>
        <v>97.716198679683501</v>
      </c>
    </row>
    <row r="181" spans="1:17">
      <c r="A181" s="66">
        <v>41717</v>
      </c>
      <c r="B181" s="66">
        <v>41717</v>
      </c>
      <c r="C181" s="67">
        <v>0.49</v>
      </c>
      <c r="D181" s="67">
        <v>0.39300000000000002</v>
      </c>
      <c r="E181" s="67">
        <v>0.58499999999999996</v>
      </c>
      <c r="F181" s="68">
        <v>46567.23</v>
      </c>
      <c r="G181" s="66">
        <f t="shared" si="15"/>
        <v>41717</v>
      </c>
      <c r="H181" s="70">
        <f t="shared" si="17"/>
        <v>0</v>
      </c>
      <c r="I181" s="70">
        <f t="shared" si="17"/>
        <v>-2.5126950077421759E-2</v>
      </c>
      <c r="J181" s="70">
        <f t="shared" si="17"/>
        <v>-1.5267472130788421E-2</v>
      </c>
      <c r="K181" s="70">
        <f t="shared" si="17"/>
        <v>8.9793124071156204E-3</v>
      </c>
      <c r="L181" s="69"/>
      <c r="M181" s="66">
        <f t="shared" si="16"/>
        <v>41717</v>
      </c>
      <c r="N181" s="81">
        <f t="shared" ref="N181:Q196" si="21">C181/C180*N180</f>
        <v>123.7373737373736</v>
      </c>
      <c r="O181" s="81">
        <f t="shared" si="21"/>
        <v>93.127962085308155</v>
      </c>
      <c r="P181" s="81">
        <f t="shared" si="21"/>
        <v>103.35689045936387</v>
      </c>
      <c r="Q181" s="81">
        <f t="shared" si="21"/>
        <v>98.597574105555296</v>
      </c>
    </row>
    <row r="182" spans="1:17">
      <c r="A182" s="66">
        <v>41718</v>
      </c>
      <c r="B182" s="66">
        <v>41718</v>
      </c>
      <c r="C182" s="67">
        <v>0.55000000000000004</v>
      </c>
      <c r="D182" s="67">
        <v>0.39300000000000002</v>
      </c>
      <c r="E182" s="67">
        <v>0.59399999999999997</v>
      </c>
      <c r="F182" s="68">
        <v>47278.48</v>
      </c>
      <c r="G182" s="66">
        <f t="shared" si="15"/>
        <v>41718</v>
      </c>
      <c r="H182" s="70">
        <f t="shared" si="17"/>
        <v>0.11551288712184443</v>
      </c>
      <c r="I182" s="70">
        <f t="shared" si="17"/>
        <v>0</v>
      </c>
      <c r="J182" s="70">
        <f t="shared" si="17"/>
        <v>1.5267472130788381E-2</v>
      </c>
      <c r="K182" s="70">
        <f t="shared" si="17"/>
        <v>1.5158148807785004E-2</v>
      </c>
      <c r="L182" s="69"/>
      <c r="M182" s="66">
        <f t="shared" si="16"/>
        <v>41718</v>
      </c>
      <c r="N182" s="81">
        <f t="shared" si="21"/>
        <v>138.88888888888874</v>
      </c>
      <c r="O182" s="81">
        <f t="shared" si="21"/>
        <v>93.127962085308155</v>
      </c>
      <c r="P182" s="81">
        <f t="shared" si="21"/>
        <v>104.946996466431</v>
      </c>
      <c r="Q182" s="81">
        <f t="shared" si="21"/>
        <v>100.10351561383432</v>
      </c>
    </row>
    <row r="183" spans="1:17">
      <c r="A183" s="66">
        <v>41719</v>
      </c>
      <c r="B183" s="66">
        <v>41719</v>
      </c>
      <c r="C183" s="67">
        <v>0.53</v>
      </c>
      <c r="D183" s="67">
        <v>0.38300000000000001</v>
      </c>
      <c r="E183" s="67">
        <v>0.59399999999999997</v>
      </c>
      <c r="F183" s="68">
        <v>47380.94</v>
      </c>
      <c r="G183" s="66">
        <f t="shared" si="15"/>
        <v>41719</v>
      </c>
      <c r="H183" s="70">
        <f t="shared" si="17"/>
        <v>-3.7041271680349097E-2</v>
      </c>
      <c r="I183" s="70">
        <f t="shared" si="17"/>
        <v>-2.5774622688615252E-2</v>
      </c>
      <c r="J183" s="70">
        <f t="shared" si="17"/>
        <v>0</v>
      </c>
      <c r="K183" s="70">
        <f t="shared" si="17"/>
        <v>2.1648144477163216E-3</v>
      </c>
      <c r="L183" s="69"/>
      <c r="M183" s="66">
        <f t="shared" si="16"/>
        <v>41719</v>
      </c>
      <c r="N183" s="81">
        <f t="shared" si="21"/>
        <v>133.83838383838369</v>
      </c>
      <c r="O183" s="81">
        <f t="shared" si="21"/>
        <v>90.758293838862656</v>
      </c>
      <c r="P183" s="81">
        <f t="shared" si="21"/>
        <v>104.946996466431</v>
      </c>
      <c r="Q183" s="81">
        <f t="shared" si="21"/>
        <v>100.32045588369479</v>
      </c>
    </row>
    <row r="184" spans="1:17">
      <c r="A184" s="66">
        <v>41722</v>
      </c>
      <c r="B184" s="66">
        <v>41722</v>
      </c>
      <c r="C184" s="67">
        <v>0.52</v>
      </c>
      <c r="D184" s="67">
        <v>0.374</v>
      </c>
      <c r="E184" s="67">
        <v>0.59399999999999997</v>
      </c>
      <c r="F184" s="68">
        <v>47993.42</v>
      </c>
      <c r="G184" s="66">
        <f t="shared" si="15"/>
        <v>41722</v>
      </c>
      <c r="H184" s="70">
        <f t="shared" si="17"/>
        <v>-1.9048194970694474E-2</v>
      </c>
      <c r="I184" s="70">
        <f t="shared" si="17"/>
        <v>-2.3779191766114063E-2</v>
      </c>
      <c r="J184" s="70">
        <f t="shared" si="17"/>
        <v>0</v>
      </c>
      <c r="K184" s="70">
        <f t="shared" si="17"/>
        <v>1.2843880049175537E-2</v>
      </c>
      <c r="L184" s="69"/>
      <c r="M184" s="66">
        <f t="shared" si="16"/>
        <v>41722</v>
      </c>
      <c r="N184" s="81">
        <f t="shared" si="21"/>
        <v>131.31313131313118</v>
      </c>
      <c r="O184" s="81">
        <f t="shared" si="21"/>
        <v>88.625592417061711</v>
      </c>
      <c r="P184" s="81">
        <f t="shared" si="21"/>
        <v>104.946996466431</v>
      </c>
      <c r="Q184" s="81">
        <f t="shared" si="21"/>
        <v>101.61727002076435</v>
      </c>
    </row>
    <row r="185" spans="1:17">
      <c r="A185" s="66">
        <v>41723</v>
      </c>
      <c r="B185" s="66">
        <v>41723</v>
      </c>
      <c r="C185" s="67">
        <v>0.5</v>
      </c>
      <c r="D185" s="67">
        <v>0.38300000000000001</v>
      </c>
      <c r="E185" s="67">
        <v>0.59</v>
      </c>
      <c r="F185" s="68">
        <v>48180.14</v>
      </c>
      <c r="G185" s="66">
        <f t="shared" si="15"/>
        <v>41723</v>
      </c>
      <c r="H185" s="70">
        <f t="shared" si="17"/>
        <v>-3.9220713153281385E-2</v>
      </c>
      <c r="I185" s="70">
        <f t="shared" si="17"/>
        <v>2.3779191766114149E-2</v>
      </c>
      <c r="J185" s="70">
        <f t="shared" si="17"/>
        <v>-6.7567824628797625E-3</v>
      </c>
      <c r="K185" s="70">
        <f t="shared" si="17"/>
        <v>3.8829847747539458E-3</v>
      </c>
      <c r="L185" s="69"/>
      <c r="M185" s="66">
        <f t="shared" si="16"/>
        <v>41723</v>
      </c>
      <c r="N185" s="81">
        <f t="shared" si="21"/>
        <v>126.26262626262613</v>
      </c>
      <c r="O185" s="81">
        <f t="shared" si="21"/>
        <v>90.75829383886267</v>
      </c>
      <c r="P185" s="81">
        <f t="shared" si="21"/>
        <v>104.24028268551228</v>
      </c>
      <c r="Q185" s="81">
        <f t="shared" si="21"/>
        <v>102.01261539640704</v>
      </c>
    </row>
    <row r="186" spans="1:17">
      <c r="A186" s="66">
        <v>41724</v>
      </c>
      <c r="B186" s="66">
        <v>41724</v>
      </c>
      <c r="C186" s="67">
        <v>0.54</v>
      </c>
      <c r="D186" s="67">
        <v>0.38300000000000001</v>
      </c>
      <c r="E186" s="67">
        <v>0.6</v>
      </c>
      <c r="F186" s="68">
        <v>47965.61</v>
      </c>
      <c r="G186" s="66">
        <f t="shared" si="15"/>
        <v>41724</v>
      </c>
      <c r="H186" s="70">
        <f t="shared" si="17"/>
        <v>7.6961041136128394E-2</v>
      </c>
      <c r="I186" s="70">
        <f t="shared" si="17"/>
        <v>0</v>
      </c>
      <c r="J186" s="70">
        <f t="shared" si="17"/>
        <v>1.6807118316381191E-2</v>
      </c>
      <c r="K186" s="70">
        <f t="shared" si="17"/>
        <v>-4.4626071569015911E-3</v>
      </c>
      <c r="L186" s="69"/>
      <c r="M186" s="66">
        <f t="shared" si="16"/>
        <v>41724</v>
      </c>
      <c r="N186" s="81">
        <f t="shared" si="21"/>
        <v>136.36363636363623</v>
      </c>
      <c r="O186" s="81">
        <f t="shared" si="21"/>
        <v>90.75829383886267</v>
      </c>
      <c r="P186" s="81">
        <f t="shared" si="21"/>
        <v>106.0070671378091</v>
      </c>
      <c r="Q186" s="81">
        <f t="shared" si="21"/>
        <v>101.55838744312607</v>
      </c>
    </row>
    <row r="187" spans="1:17">
      <c r="A187" s="66">
        <v>41725</v>
      </c>
      <c r="B187" s="66">
        <v>41725</v>
      </c>
      <c r="C187" s="67">
        <v>0.51</v>
      </c>
      <c r="D187" s="67">
        <v>0.40300000000000002</v>
      </c>
      <c r="E187" s="67">
        <v>0.56999999999999995</v>
      </c>
      <c r="F187" s="68">
        <v>49646.79</v>
      </c>
      <c r="G187" s="66">
        <f t="shared" si="15"/>
        <v>41725</v>
      </c>
      <c r="H187" s="70">
        <f t="shared" si="17"/>
        <v>-5.7158413839948637E-2</v>
      </c>
      <c r="I187" s="70">
        <f t="shared" si="17"/>
        <v>5.0901572766037032E-2</v>
      </c>
      <c r="J187" s="70">
        <f t="shared" si="17"/>
        <v>-5.1293294387550578E-2</v>
      </c>
      <c r="K187" s="70">
        <f t="shared" si="17"/>
        <v>3.4449440037507488E-2</v>
      </c>
      <c r="L187" s="69"/>
      <c r="M187" s="66">
        <f t="shared" si="16"/>
        <v>41725</v>
      </c>
      <c r="N187" s="81">
        <f t="shared" si="21"/>
        <v>128.78787878787867</v>
      </c>
      <c r="O187" s="81">
        <f t="shared" si="21"/>
        <v>95.497630331753669</v>
      </c>
      <c r="P187" s="81">
        <f t="shared" si="21"/>
        <v>100.70671378091865</v>
      </c>
      <c r="Q187" s="81">
        <f t="shared" si="21"/>
        <v>105.11797794560555</v>
      </c>
    </row>
    <row r="188" spans="1:17">
      <c r="A188" s="66">
        <v>41726</v>
      </c>
      <c r="B188" s="66">
        <v>41726</v>
      </c>
      <c r="C188" s="67">
        <v>0.53</v>
      </c>
      <c r="D188" s="67">
        <v>0.41199999999999998</v>
      </c>
      <c r="E188" s="67">
        <v>0.59</v>
      </c>
      <c r="F188" s="68">
        <v>49768.06</v>
      </c>
      <c r="G188" s="66">
        <f t="shared" si="15"/>
        <v>41726</v>
      </c>
      <c r="H188" s="70">
        <f t="shared" si="17"/>
        <v>3.8466280827796143E-2</v>
      </c>
      <c r="I188" s="70">
        <f t="shared" si="17"/>
        <v>2.2086787402843287E-2</v>
      </c>
      <c r="J188" s="70">
        <f t="shared" si="17"/>
        <v>3.4486176071169404E-2</v>
      </c>
      <c r="K188" s="70">
        <f t="shared" si="17"/>
        <v>2.4396769728094072E-3</v>
      </c>
      <c r="L188" s="69"/>
      <c r="M188" s="66">
        <f t="shared" si="16"/>
        <v>41726</v>
      </c>
      <c r="N188" s="81">
        <f t="shared" si="21"/>
        <v>133.83838383838372</v>
      </c>
      <c r="O188" s="81">
        <f t="shared" si="21"/>
        <v>97.630331753554614</v>
      </c>
      <c r="P188" s="81">
        <f t="shared" si="21"/>
        <v>104.2402826855123</v>
      </c>
      <c r="Q188" s="81">
        <f t="shared" si="21"/>
        <v>105.37474494273594</v>
      </c>
    </row>
    <row r="189" spans="1:17">
      <c r="A189" s="66">
        <v>41729</v>
      </c>
      <c r="B189" s="66">
        <v>41729</v>
      </c>
      <c r="C189" s="71">
        <v>0.5</v>
      </c>
      <c r="D189" s="67">
        <v>0.42199999999999999</v>
      </c>
      <c r="E189" s="67">
        <v>0.62</v>
      </c>
      <c r="F189" s="68">
        <v>50414.92</v>
      </c>
      <c r="G189" s="66">
        <f t="shared" si="15"/>
        <v>41729</v>
      </c>
      <c r="H189" s="70">
        <f t="shared" si="17"/>
        <v>-5.8268908123975879E-2</v>
      </c>
      <c r="I189" s="70">
        <f t="shared" si="17"/>
        <v>2.3981964686485405E-2</v>
      </c>
      <c r="J189" s="70">
        <f t="shared" si="17"/>
        <v>4.9596941139372186E-2</v>
      </c>
      <c r="K189" s="70">
        <f t="shared" si="17"/>
        <v>1.2913750208655083E-2</v>
      </c>
      <c r="L189" s="69"/>
      <c r="M189" s="66">
        <f t="shared" si="16"/>
        <v>41729</v>
      </c>
      <c r="N189" s="81">
        <f t="shared" si="21"/>
        <v>126.26262626262614</v>
      </c>
      <c r="O189" s="81">
        <f t="shared" si="21"/>
        <v>100.00000000000011</v>
      </c>
      <c r="P189" s="81">
        <f t="shared" si="21"/>
        <v>109.54063604240277</v>
      </c>
      <c r="Q189" s="81">
        <f t="shared" si="21"/>
        <v>106.74435242821274</v>
      </c>
    </row>
    <row r="190" spans="1:17">
      <c r="A190" s="66">
        <v>41730</v>
      </c>
      <c r="B190" s="66">
        <v>41730</v>
      </c>
      <c r="C190" s="67">
        <v>0.52</v>
      </c>
      <c r="D190" s="67">
        <v>0.42199999999999999</v>
      </c>
      <c r="E190" s="67">
        <v>0.62</v>
      </c>
      <c r="F190" s="68">
        <v>50270.37</v>
      </c>
      <c r="G190" s="66">
        <f t="shared" si="15"/>
        <v>41730</v>
      </c>
      <c r="H190" s="70">
        <f t="shared" si="17"/>
        <v>3.9220713153281329E-2</v>
      </c>
      <c r="I190" s="70">
        <f t="shared" si="17"/>
        <v>0</v>
      </c>
      <c r="J190" s="70">
        <f t="shared" si="17"/>
        <v>0</v>
      </c>
      <c r="K190" s="70">
        <f t="shared" si="17"/>
        <v>-2.8713250825805042E-3</v>
      </c>
      <c r="L190" s="69"/>
      <c r="M190" s="66">
        <f t="shared" si="16"/>
        <v>41730</v>
      </c>
      <c r="N190" s="81">
        <f t="shared" si="21"/>
        <v>131.31313131313118</v>
      </c>
      <c r="O190" s="81">
        <f t="shared" si="21"/>
        <v>100.00000000000011</v>
      </c>
      <c r="P190" s="81">
        <f t="shared" si="21"/>
        <v>109.54063604240277</v>
      </c>
      <c r="Q190" s="81">
        <f t="shared" si="21"/>
        <v>106.43829429812946</v>
      </c>
    </row>
    <row r="191" spans="1:17">
      <c r="A191" s="66">
        <v>41731</v>
      </c>
      <c r="B191" s="66">
        <v>41731</v>
      </c>
      <c r="C191" s="67">
        <v>0.51</v>
      </c>
      <c r="D191" s="67">
        <v>0.43099999999999999</v>
      </c>
      <c r="E191" s="67">
        <v>0.63</v>
      </c>
      <c r="F191" s="68">
        <v>51701.05</v>
      </c>
      <c r="G191" s="66">
        <f t="shared" si="15"/>
        <v>41731</v>
      </c>
      <c r="H191" s="70">
        <f t="shared" si="17"/>
        <v>-1.9418085857101627E-2</v>
      </c>
      <c r="I191" s="70">
        <f t="shared" si="17"/>
        <v>2.1102776067736036E-2</v>
      </c>
      <c r="J191" s="70">
        <f t="shared" si="17"/>
        <v>1.600034134644112E-2</v>
      </c>
      <c r="K191" s="70">
        <f t="shared" si="17"/>
        <v>2.8062252853882669E-2</v>
      </c>
      <c r="L191" s="69"/>
      <c r="M191" s="66">
        <f t="shared" si="16"/>
        <v>41731</v>
      </c>
      <c r="N191" s="81">
        <f t="shared" si="21"/>
        <v>128.78787878787864</v>
      </c>
      <c r="O191" s="81">
        <f t="shared" si="21"/>
        <v>102.13270142180107</v>
      </c>
      <c r="P191" s="81">
        <f t="shared" si="21"/>
        <v>111.30742049469958</v>
      </c>
      <c r="Q191" s="81">
        <f t="shared" si="21"/>
        <v>109.46749696535565</v>
      </c>
    </row>
    <row r="192" spans="1:17">
      <c r="A192" s="66">
        <v>41732</v>
      </c>
      <c r="B192" s="66">
        <v>41732</v>
      </c>
      <c r="C192" s="71">
        <v>0.52</v>
      </c>
      <c r="D192" s="67">
        <v>0.42199999999999999</v>
      </c>
      <c r="E192" s="67">
        <v>0.63</v>
      </c>
      <c r="F192" s="68">
        <v>51408.21</v>
      </c>
      <c r="G192" s="66">
        <f t="shared" si="15"/>
        <v>41732</v>
      </c>
      <c r="H192" s="70">
        <f t="shared" si="17"/>
        <v>1.9418085857101516E-2</v>
      </c>
      <c r="I192" s="70">
        <f t="shared" si="17"/>
        <v>-2.1102776067736053E-2</v>
      </c>
      <c r="J192" s="70">
        <f t="shared" si="17"/>
        <v>0</v>
      </c>
      <c r="K192" s="70">
        <f t="shared" si="17"/>
        <v>-5.6802034534257266E-3</v>
      </c>
      <c r="L192" s="69"/>
      <c r="M192" s="66">
        <f t="shared" si="16"/>
        <v>41732</v>
      </c>
      <c r="N192" s="81">
        <f t="shared" si="21"/>
        <v>131.31313131313115</v>
      </c>
      <c r="O192" s="81">
        <f t="shared" si="21"/>
        <v>100.00000000000011</v>
      </c>
      <c r="P192" s="81">
        <f t="shared" si="21"/>
        <v>111.30742049469958</v>
      </c>
      <c r="Q192" s="81">
        <f t="shared" si="21"/>
        <v>108.84746194070266</v>
      </c>
    </row>
    <row r="193" spans="1:17">
      <c r="A193" s="66">
        <v>41733</v>
      </c>
      <c r="B193" s="66">
        <v>41733</v>
      </c>
      <c r="C193" s="71">
        <v>0.52</v>
      </c>
      <c r="D193" s="67">
        <v>0.42199999999999999</v>
      </c>
      <c r="E193" s="67">
        <v>0.64</v>
      </c>
      <c r="F193" s="68">
        <v>51081.78</v>
      </c>
      <c r="G193" s="66">
        <f t="shared" si="15"/>
        <v>41733</v>
      </c>
      <c r="H193" s="70">
        <f t="shared" si="17"/>
        <v>0</v>
      </c>
      <c r="I193" s="70">
        <f t="shared" si="17"/>
        <v>0</v>
      </c>
      <c r="J193" s="70">
        <f t="shared" si="17"/>
        <v>1.5748356968139112E-2</v>
      </c>
      <c r="K193" s="70">
        <f t="shared" si="17"/>
        <v>-6.370009476938404E-3</v>
      </c>
      <c r="L193" s="69"/>
      <c r="M193" s="66">
        <f t="shared" si="16"/>
        <v>41733</v>
      </c>
      <c r="N193" s="81">
        <f t="shared" si="21"/>
        <v>131.31313131313115</v>
      </c>
      <c r="O193" s="81">
        <f t="shared" si="21"/>
        <v>100.00000000000011</v>
      </c>
      <c r="P193" s="81">
        <f t="shared" si="21"/>
        <v>113.0742049469964</v>
      </c>
      <c r="Q193" s="81">
        <f t="shared" si="21"/>
        <v>108.15630624784147</v>
      </c>
    </row>
    <row r="194" spans="1:17">
      <c r="A194" s="66">
        <v>41736</v>
      </c>
      <c r="B194" s="66">
        <v>41736</v>
      </c>
      <c r="C194" s="67">
        <v>0.52</v>
      </c>
      <c r="D194" s="67">
        <v>0.45100000000000001</v>
      </c>
      <c r="E194" s="67">
        <v>0.65</v>
      </c>
      <c r="F194" s="68">
        <v>52155.28</v>
      </c>
      <c r="G194" s="66">
        <f t="shared" si="15"/>
        <v>41736</v>
      </c>
      <c r="H194" s="70">
        <f t="shared" si="17"/>
        <v>0</v>
      </c>
      <c r="I194" s="70">
        <f t="shared" si="17"/>
        <v>6.646202546666663E-2</v>
      </c>
      <c r="J194" s="70">
        <f t="shared" si="17"/>
        <v>1.5504186535965254E-2</v>
      </c>
      <c r="K194" s="70">
        <f t="shared" si="17"/>
        <v>2.079754487077122E-2</v>
      </c>
      <c r="L194" s="69"/>
      <c r="M194" s="66">
        <f t="shared" si="16"/>
        <v>41736</v>
      </c>
      <c r="N194" s="81">
        <f t="shared" si="21"/>
        <v>131.31313131313115</v>
      </c>
      <c r="O194" s="81">
        <f t="shared" si="21"/>
        <v>106.87203791469207</v>
      </c>
      <c r="P194" s="81">
        <f t="shared" si="21"/>
        <v>114.84098939929322</v>
      </c>
      <c r="Q194" s="81">
        <f t="shared" si="21"/>
        <v>110.42924573344784</v>
      </c>
    </row>
    <row r="195" spans="1:17">
      <c r="A195" s="66">
        <v>41737</v>
      </c>
      <c r="B195" s="66">
        <v>41737</v>
      </c>
      <c r="C195" s="67">
        <v>0.51</v>
      </c>
      <c r="D195" s="67">
        <v>0.45100000000000001</v>
      </c>
      <c r="E195" s="67">
        <v>0.65</v>
      </c>
      <c r="F195" s="68">
        <v>51629.07</v>
      </c>
      <c r="G195" s="66">
        <f t="shared" si="15"/>
        <v>41737</v>
      </c>
      <c r="H195" s="70">
        <f t="shared" si="17"/>
        <v>-1.9418085857101627E-2</v>
      </c>
      <c r="I195" s="70">
        <f t="shared" si="17"/>
        <v>0</v>
      </c>
      <c r="J195" s="70">
        <f t="shared" si="17"/>
        <v>0</v>
      </c>
      <c r="K195" s="70">
        <f t="shared" si="17"/>
        <v>-1.0140536780252148E-2</v>
      </c>
      <c r="L195" s="69"/>
      <c r="M195" s="66">
        <f t="shared" si="16"/>
        <v>41737</v>
      </c>
      <c r="N195" s="81">
        <f t="shared" si="21"/>
        <v>128.78787878787861</v>
      </c>
      <c r="O195" s="81">
        <f t="shared" si="21"/>
        <v>106.87203791469207</v>
      </c>
      <c r="P195" s="81">
        <f t="shared" si="21"/>
        <v>114.84098939929322</v>
      </c>
      <c r="Q195" s="81">
        <f t="shared" si="21"/>
        <v>109.31509250874275</v>
      </c>
    </row>
    <row r="196" spans="1:17">
      <c r="A196" s="66">
        <v>41738</v>
      </c>
      <c r="B196" s="66">
        <v>41738</v>
      </c>
      <c r="C196" s="67">
        <v>0.49</v>
      </c>
      <c r="D196" s="67">
        <v>0.45100000000000001</v>
      </c>
      <c r="E196" s="67">
        <v>0.7</v>
      </c>
      <c r="F196" s="68">
        <v>51185.4</v>
      </c>
      <c r="G196" s="66">
        <f t="shared" ref="G196:G227" si="22">A196</f>
        <v>41738</v>
      </c>
      <c r="H196" s="70">
        <f t="shared" si="17"/>
        <v>-4.0005334613699248E-2</v>
      </c>
      <c r="I196" s="70">
        <f t="shared" si="17"/>
        <v>0</v>
      </c>
      <c r="J196" s="70">
        <f t="shared" si="17"/>
        <v>7.4107972153721835E-2</v>
      </c>
      <c r="K196" s="70">
        <f t="shared" ref="K196:K249" si="23">LN(F196/F195)</f>
        <v>-8.6305508153721247E-3</v>
      </c>
      <c r="L196" s="69"/>
      <c r="M196" s="66">
        <f t="shared" ref="M196:M249" si="24">A196</f>
        <v>41738</v>
      </c>
      <c r="N196" s="81">
        <f t="shared" si="21"/>
        <v>123.73737373737356</v>
      </c>
      <c r="O196" s="81">
        <f t="shared" si="21"/>
        <v>106.87203791469207</v>
      </c>
      <c r="P196" s="81">
        <f t="shared" si="21"/>
        <v>123.67491166077731</v>
      </c>
      <c r="Q196" s="81">
        <f t="shared" si="21"/>
        <v>108.37570260508278</v>
      </c>
    </row>
    <row r="197" spans="1:17">
      <c r="A197" s="66">
        <v>41739</v>
      </c>
      <c r="B197" s="66">
        <v>41739</v>
      </c>
      <c r="C197" s="67">
        <v>0.51</v>
      </c>
      <c r="D197" s="67">
        <v>0.46</v>
      </c>
      <c r="E197" s="67">
        <v>0.73</v>
      </c>
      <c r="F197" s="68">
        <v>51127.48</v>
      </c>
      <c r="G197" s="66">
        <f t="shared" si="22"/>
        <v>41739</v>
      </c>
      <c r="H197" s="70">
        <f t="shared" ref="H197:J249" si="25">LN(C197/C196)</f>
        <v>4.0005334613699206E-2</v>
      </c>
      <c r="I197" s="70">
        <f t="shared" si="25"/>
        <v>1.9759149980462392E-2</v>
      </c>
      <c r="J197" s="70">
        <f t="shared" si="25"/>
        <v>4.1964199099032207E-2</v>
      </c>
      <c r="K197" s="70">
        <f t="shared" si="23"/>
        <v>-1.1322133867669221E-3</v>
      </c>
      <c r="L197" s="69"/>
      <c r="M197" s="66">
        <f t="shared" si="24"/>
        <v>41739</v>
      </c>
      <c r="N197" s="81">
        <f t="shared" ref="N197:Q212" si="26">C197/C196*N196</f>
        <v>128.78787878787861</v>
      </c>
      <c r="O197" s="81">
        <f t="shared" si="26"/>
        <v>109.00473933649303</v>
      </c>
      <c r="P197" s="81">
        <f t="shared" si="26"/>
        <v>128.97526501766777</v>
      </c>
      <c r="Q197" s="81">
        <f t="shared" si="26"/>
        <v>108.2530676213787</v>
      </c>
    </row>
    <row r="198" spans="1:17">
      <c r="A198" s="66">
        <v>41740</v>
      </c>
      <c r="B198" s="66">
        <v>41740</v>
      </c>
      <c r="C198" s="67">
        <v>0.51</v>
      </c>
      <c r="D198" s="67">
        <v>0.441</v>
      </c>
      <c r="E198" s="67">
        <v>0.72</v>
      </c>
      <c r="F198" s="68">
        <v>51867.29</v>
      </c>
      <c r="G198" s="66">
        <f t="shared" si="22"/>
        <v>41740</v>
      </c>
      <c r="H198" s="70">
        <f t="shared" si="25"/>
        <v>0</v>
      </c>
      <c r="I198" s="70">
        <f t="shared" si="25"/>
        <v>-4.2181614036294675E-2</v>
      </c>
      <c r="J198" s="70">
        <f t="shared" si="25"/>
        <v>-1.3793322132335873E-2</v>
      </c>
      <c r="K198" s="70">
        <f t="shared" si="23"/>
        <v>1.4366219254903468E-2</v>
      </c>
      <c r="L198" s="69"/>
      <c r="M198" s="66">
        <f t="shared" si="24"/>
        <v>41740</v>
      </c>
      <c r="N198" s="81">
        <f t="shared" si="26"/>
        <v>128.78787878787861</v>
      </c>
      <c r="O198" s="81">
        <f t="shared" si="26"/>
        <v>104.50236966824659</v>
      </c>
      <c r="P198" s="81">
        <f t="shared" si="26"/>
        <v>127.20848056537093</v>
      </c>
      <c r="Q198" s="81">
        <f t="shared" si="26"/>
        <v>109.81947969482671</v>
      </c>
    </row>
    <row r="199" spans="1:17">
      <c r="A199" s="66">
        <v>41743</v>
      </c>
      <c r="B199" s="66">
        <v>41743</v>
      </c>
      <c r="C199" s="67">
        <v>0.51</v>
      </c>
      <c r="D199" s="67">
        <v>0.46</v>
      </c>
      <c r="E199" s="67">
        <v>0.69</v>
      </c>
      <c r="F199" s="68">
        <v>51596.55</v>
      </c>
      <c r="G199" s="66">
        <f t="shared" si="22"/>
        <v>41743</v>
      </c>
      <c r="H199" s="70">
        <f t="shared" si="25"/>
        <v>0</v>
      </c>
      <c r="I199" s="70">
        <f t="shared" si="25"/>
        <v>4.2181614036294668E-2</v>
      </c>
      <c r="J199" s="70">
        <f t="shared" si="25"/>
        <v>-4.2559614418796007E-2</v>
      </c>
      <c r="K199" s="70">
        <f t="shared" si="23"/>
        <v>-5.2335312116842999E-3</v>
      </c>
      <c r="L199" s="69"/>
      <c r="M199" s="66">
        <f t="shared" si="24"/>
        <v>41743</v>
      </c>
      <c r="N199" s="81">
        <f t="shared" si="26"/>
        <v>128.78787878787861</v>
      </c>
      <c r="O199" s="81">
        <f t="shared" si="26"/>
        <v>109.00473933649303</v>
      </c>
      <c r="P199" s="81">
        <f t="shared" si="26"/>
        <v>121.90812720848047</v>
      </c>
      <c r="Q199" s="81">
        <f t="shared" si="26"/>
        <v>109.24623736941166</v>
      </c>
    </row>
    <row r="200" spans="1:17">
      <c r="A200" s="66">
        <v>41744</v>
      </c>
      <c r="B200" s="66">
        <v>41744</v>
      </c>
      <c r="C200" s="67">
        <v>0.5</v>
      </c>
      <c r="D200" s="67">
        <v>0.46</v>
      </c>
      <c r="E200" s="67">
        <v>0.68</v>
      </c>
      <c r="F200" s="68">
        <v>50454.35</v>
      </c>
      <c r="G200" s="66">
        <f t="shared" si="22"/>
        <v>41744</v>
      </c>
      <c r="H200" s="70">
        <f t="shared" si="25"/>
        <v>-1.9802627296179754E-2</v>
      </c>
      <c r="I200" s="70">
        <f t="shared" si="25"/>
        <v>0</v>
      </c>
      <c r="J200" s="70">
        <f t="shared" si="25"/>
        <v>-1.4598799421152523E-2</v>
      </c>
      <c r="K200" s="70">
        <f t="shared" si="23"/>
        <v>-2.2385842720453714E-2</v>
      </c>
      <c r="L200" s="69"/>
      <c r="M200" s="66">
        <f t="shared" si="24"/>
        <v>41744</v>
      </c>
      <c r="N200" s="81">
        <f t="shared" si="26"/>
        <v>126.26262626262609</v>
      </c>
      <c r="O200" s="81">
        <f t="shared" si="26"/>
        <v>109.00473933649303</v>
      </c>
      <c r="P200" s="81">
        <f t="shared" si="26"/>
        <v>120.14134275618366</v>
      </c>
      <c r="Q200" s="81">
        <f t="shared" si="26"/>
        <v>106.8278382259933</v>
      </c>
    </row>
    <row r="201" spans="1:17">
      <c r="A201" s="66">
        <v>41745</v>
      </c>
      <c r="B201" s="66">
        <v>41745</v>
      </c>
      <c r="C201" s="67">
        <v>0.5</v>
      </c>
      <c r="D201" s="67">
        <v>0.45100000000000001</v>
      </c>
      <c r="E201" s="67">
        <v>0.7</v>
      </c>
      <c r="F201" s="68">
        <v>51200.56</v>
      </c>
      <c r="G201" s="66">
        <f t="shared" si="22"/>
        <v>41745</v>
      </c>
      <c r="H201" s="70">
        <f t="shared" si="25"/>
        <v>0</v>
      </c>
      <c r="I201" s="70">
        <f t="shared" si="25"/>
        <v>-1.9759149980462333E-2</v>
      </c>
      <c r="J201" s="70">
        <f t="shared" si="25"/>
        <v>2.8987536873252187E-2</v>
      </c>
      <c r="K201" s="70">
        <f t="shared" si="23"/>
        <v>1.4681502418961474E-2</v>
      </c>
      <c r="L201" s="69"/>
      <c r="M201" s="66">
        <f t="shared" si="24"/>
        <v>41745</v>
      </c>
      <c r="N201" s="81">
        <f t="shared" si="26"/>
        <v>126.26262626262609</v>
      </c>
      <c r="O201" s="81">
        <f t="shared" si="26"/>
        <v>106.87203791469209</v>
      </c>
      <c r="P201" s="81">
        <f t="shared" si="26"/>
        <v>123.67491166077728</v>
      </c>
      <c r="Q201" s="81">
        <f t="shared" si="26"/>
        <v>108.40780112636995</v>
      </c>
    </row>
    <row r="202" spans="1:17">
      <c r="A202" s="66">
        <v>41746</v>
      </c>
      <c r="B202" s="66">
        <v>41746</v>
      </c>
      <c r="C202" s="67">
        <v>0.5</v>
      </c>
      <c r="D202" s="67">
        <v>0.46</v>
      </c>
      <c r="E202" s="67">
        <v>0.68</v>
      </c>
      <c r="F202" s="68">
        <v>52111.85</v>
      </c>
      <c r="G202" s="66">
        <f t="shared" si="22"/>
        <v>41746</v>
      </c>
      <c r="H202" s="70">
        <f t="shared" si="25"/>
        <v>0</v>
      </c>
      <c r="I202" s="70">
        <f t="shared" si="25"/>
        <v>1.9759149980462392E-2</v>
      </c>
      <c r="J202" s="70">
        <f t="shared" si="25"/>
        <v>-2.8987536873252187E-2</v>
      </c>
      <c r="K202" s="70">
        <f t="shared" si="23"/>
        <v>1.7641900628366954E-2</v>
      </c>
      <c r="L202" s="69"/>
      <c r="M202" s="66">
        <f t="shared" si="24"/>
        <v>41746</v>
      </c>
      <c r="N202" s="81">
        <f t="shared" si="26"/>
        <v>126.26262626262609</v>
      </c>
      <c r="O202" s="81">
        <f t="shared" si="26"/>
        <v>109.00473933649305</v>
      </c>
      <c r="P202" s="81">
        <f t="shared" si="26"/>
        <v>120.14134275618366</v>
      </c>
      <c r="Q202" s="81">
        <f t="shared" si="26"/>
        <v>110.33729066883686</v>
      </c>
    </row>
    <row r="203" spans="1:17">
      <c r="A203" s="66">
        <v>41751</v>
      </c>
      <c r="B203" s="66">
        <v>41751</v>
      </c>
      <c r="C203" s="71">
        <v>0.51</v>
      </c>
      <c r="D203" s="67">
        <v>0.45100000000000001</v>
      </c>
      <c r="E203" s="67">
        <v>0.62</v>
      </c>
      <c r="F203" s="68">
        <v>51976.86</v>
      </c>
      <c r="G203" s="66">
        <f t="shared" si="22"/>
        <v>41751</v>
      </c>
      <c r="H203" s="70">
        <f t="shared" si="25"/>
        <v>1.980262729617973E-2</v>
      </c>
      <c r="I203" s="70">
        <f t="shared" si="25"/>
        <v>-1.9759149980462333E-2</v>
      </c>
      <c r="J203" s="70">
        <f t="shared" si="25"/>
        <v>-9.2373320131015166E-2</v>
      </c>
      <c r="K203" s="70">
        <f t="shared" si="23"/>
        <v>-2.5937505744711843E-3</v>
      </c>
      <c r="L203" s="69"/>
      <c r="M203" s="66">
        <f t="shared" si="24"/>
        <v>41751</v>
      </c>
      <c r="N203" s="81">
        <f t="shared" si="26"/>
        <v>128.78787878787861</v>
      </c>
      <c r="O203" s="81">
        <f t="shared" si="26"/>
        <v>106.8720379146921</v>
      </c>
      <c r="P203" s="81">
        <f t="shared" si="26"/>
        <v>109.54063604240275</v>
      </c>
      <c r="Q203" s="81">
        <f t="shared" si="26"/>
        <v>110.05147408647822</v>
      </c>
    </row>
    <row r="204" spans="1:17">
      <c r="A204" s="66">
        <v>41752</v>
      </c>
      <c r="B204" s="66">
        <v>41752</v>
      </c>
      <c r="C204" s="67">
        <v>0.51</v>
      </c>
      <c r="D204" s="67">
        <v>0.45100000000000001</v>
      </c>
      <c r="E204" s="71">
        <v>0.63</v>
      </c>
      <c r="F204" s="68">
        <v>51569.69</v>
      </c>
      <c r="G204" s="66">
        <f t="shared" si="22"/>
        <v>41752</v>
      </c>
      <c r="H204" s="70">
        <f t="shared" si="25"/>
        <v>0</v>
      </c>
      <c r="I204" s="70">
        <f t="shared" si="25"/>
        <v>0</v>
      </c>
      <c r="J204" s="70">
        <f t="shared" si="25"/>
        <v>1.600034134644112E-2</v>
      </c>
      <c r="K204" s="70">
        <f t="shared" si="23"/>
        <v>-7.8645227415927426E-3</v>
      </c>
      <c r="L204" s="69"/>
      <c r="M204" s="66">
        <f t="shared" si="24"/>
        <v>41752</v>
      </c>
      <c r="N204" s="81">
        <f t="shared" si="26"/>
        <v>128.78787878787861</v>
      </c>
      <c r="O204" s="81">
        <f t="shared" si="26"/>
        <v>106.8720379146921</v>
      </c>
      <c r="P204" s="81">
        <f t="shared" si="26"/>
        <v>111.30742049469957</v>
      </c>
      <c r="Q204" s="81">
        <f t="shared" si="26"/>
        <v>109.18936624264559</v>
      </c>
    </row>
    <row r="205" spans="1:17">
      <c r="A205" s="66">
        <v>41753</v>
      </c>
      <c r="B205" s="66">
        <v>41753</v>
      </c>
      <c r="C205" s="67">
        <v>0.51</v>
      </c>
      <c r="D205" s="67">
        <v>0.46</v>
      </c>
      <c r="E205" s="67">
        <v>0.6</v>
      </c>
      <c r="F205" s="68">
        <v>51817.45</v>
      </c>
      <c r="G205" s="66">
        <f t="shared" si="22"/>
        <v>41753</v>
      </c>
      <c r="H205" s="70">
        <f t="shared" si="25"/>
        <v>0</v>
      </c>
      <c r="I205" s="70">
        <f t="shared" si="25"/>
        <v>1.9759149980462392E-2</v>
      </c>
      <c r="J205" s="70">
        <f t="shared" si="25"/>
        <v>-4.8790164169432056E-2</v>
      </c>
      <c r="K205" s="70">
        <f t="shared" si="23"/>
        <v>4.7928683255288908E-3</v>
      </c>
      <c r="L205" s="69"/>
      <c r="M205" s="66">
        <f t="shared" si="24"/>
        <v>41753</v>
      </c>
      <c r="N205" s="81">
        <f t="shared" si="26"/>
        <v>128.78787878787861</v>
      </c>
      <c r="O205" s="81">
        <f t="shared" si="26"/>
        <v>109.00473933649306</v>
      </c>
      <c r="P205" s="81">
        <f t="shared" si="26"/>
        <v>106.0070671378091</v>
      </c>
      <c r="Q205" s="81">
        <f t="shared" si="26"/>
        <v>109.71395263012005</v>
      </c>
    </row>
    <row r="206" spans="1:17">
      <c r="A206" s="66">
        <v>41754</v>
      </c>
      <c r="B206" s="66">
        <v>41754</v>
      </c>
      <c r="C206" s="67">
        <v>0.51</v>
      </c>
      <c r="D206" s="67">
        <v>0.46</v>
      </c>
      <c r="E206" s="67">
        <v>0.63</v>
      </c>
      <c r="F206" s="68">
        <v>51399.35</v>
      </c>
      <c r="G206" s="66">
        <f t="shared" si="22"/>
        <v>41754</v>
      </c>
      <c r="H206" s="70">
        <f t="shared" si="25"/>
        <v>0</v>
      </c>
      <c r="I206" s="70">
        <f t="shared" si="25"/>
        <v>0</v>
      </c>
      <c r="J206" s="70">
        <f t="shared" si="25"/>
        <v>4.8790164169432049E-2</v>
      </c>
      <c r="K206" s="70">
        <f t="shared" si="23"/>
        <v>-8.1014386567176688E-3</v>
      </c>
      <c r="L206" s="69"/>
      <c r="M206" s="66">
        <f t="shared" si="24"/>
        <v>41754</v>
      </c>
      <c r="N206" s="81">
        <f t="shared" si="26"/>
        <v>128.78787878787861</v>
      </c>
      <c r="O206" s="81">
        <f t="shared" si="26"/>
        <v>109.00473933649306</v>
      </c>
      <c r="P206" s="81">
        <f t="shared" si="26"/>
        <v>111.30742049469956</v>
      </c>
      <c r="Q206" s="81">
        <f t="shared" si="26"/>
        <v>108.82870251467335</v>
      </c>
    </row>
    <row r="207" spans="1:17">
      <c r="A207" s="66">
        <v>41757</v>
      </c>
      <c r="B207" s="66">
        <v>41757</v>
      </c>
      <c r="C207" s="67">
        <v>0.47</v>
      </c>
      <c r="D207" s="67">
        <v>0.46</v>
      </c>
      <c r="E207" s="67">
        <v>0.62</v>
      </c>
      <c r="F207" s="68">
        <v>51383.68</v>
      </c>
      <c r="G207" s="66">
        <f t="shared" si="22"/>
        <v>41757</v>
      </c>
      <c r="H207" s="70">
        <f t="shared" si="25"/>
        <v>-8.1678031014267238E-2</v>
      </c>
      <c r="I207" s="70">
        <f t="shared" si="25"/>
        <v>0</v>
      </c>
      <c r="J207" s="70">
        <f t="shared" si="25"/>
        <v>-1.6000341346441189E-2</v>
      </c>
      <c r="K207" s="70">
        <f t="shared" si="23"/>
        <v>-3.0491415015503526E-4</v>
      </c>
      <c r="L207" s="69"/>
      <c r="M207" s="66">
        <f t="shared" si="24"/>
        <v>41757</v>
      </c>
      <c r="N207" s="81">
        <f t="shared" si="26"/>
        <v>118.68686868686852</v>
      </c>
      <c r="O207" s="81">
        <f t="shared" si="26"/>
        <v>109.00473933649306</v>
      </c>
      <c r="P207" s="81">
        <f t="shared" si="26"/>
        <v>109.54063604240274</v>
      </c>
      <c r="Q207" s="81">
        <f t="shared" si="26"/>
        <v>108.7955241618653</v>
      </c>
    </row>
    <row r="208" spans="1:17">
      <c r="A208" s="66">
        <v>41758</v>
      </c>
      <c r="B208" s="66">
        <v>41758</v>
      </c>
      <c r="C208" s="67">
        <v>0.5</v>
      </c>
      <c r="D208" s="67">
        <v>0.45100000000000001</v>
      </c>
      <c r="E208" s="67">
        <v>0.59</v>
      </c>
      <c r="F208" s="68">
        <v>51838.61</v>
      </c>
      <c r="G208" s="66">
        <f t="shared" si="22"/>
        <v>41758</v>
      </c>
      <c r="H208" s="70">
        <f t="shared" si="25"/>
        <v>6.1875403718087453E-2</v>
      </c>
      <c r="I208" s="70">
        <f t="shared" si="25"/>
        <v>-1.9759149980462333E-2</v>
      </c>
      <c r="J208" s="70">
        <f t="shared" si="25"/>
        <v>-4.9596941139372179E-2</v>
      </c>
      <c r="K208" s="70">
        <f t="shared" si="23"/>
        <v>8.8146260963248083E-3</v>
      </c>
      <c r="L208" s="69"/>
      <c r="M208" s="66">
        <f t="shared" si="24"/>
        <v>41758</v>
      </c>
      <c r="N208" s="81">
        <f t="shared" si="26"/>
        <v>126.26262626262609</v>
      </c>
      <c r="O208" s="81">
        <f t="shared" si="26"/>
        <v>106.87203791469211</v>
      </c>
      <c r="P208" s="81">
        <f t="shared" si="26"/>
        <v>104.24028268551227</v>
      </c>
      <c r="Q208" s="81">
        <f t="shared" si="26"/>
        <v>109.75875505165281</v>
      </c>
    </row>
    <row r="209" spans="1:17">
      <c r="A209" s="66">
        <v>41759</v>
      </c>
      <c r="B209" s="66">
        <v>41759</v>
      </c>
      <c r="C209" s="67">
        <v>0.5</v>
      </c>
      <c r="D209" s="67">
        <v>0.46</v>
      </c>
      <c r="E209" s="67">
        <v>0.6</v>
      </c>
      <c r="F209" s="68">
        <v>51626.69</v>
      </c>
      <c r="G209" s="66">
        <f t="shared" si="22"/>
        <v>41759</v>
      </c>
      <c r="H209" s="70">
        <f t="shared" si="25"/>
        <v>0</v>
      </c>
      <c r="I209" s="70">
        <f t="shared" si="25"/>
        <v>1.9759149980462392E-2</v>
      </c>
      <c r="J209" s="70">
        <f t="shared" si="25"/>
        <v>1.6807118316381191E-2</v>
      </c>
      <c r="K209" s="70">
        <f t="shared" si="23"/>
        <v>-4.0964515900670934E-3</v>
      </c>
      <c r="L209" s="69"/>
      <c r="M209" s="66">
        <f t="shared" si="24"/>
        <v>41759</v>
      </c>
      <c r="N209" s="81">
        <f t="shared" si="26"/>
        <v>126.26262626262609</v>
      </c>
      <c r="O209" s="81">
        <f t="shared" si="26"/>
        <v>109.00473933649307</v>
      </c>
      <c r="P209" s="81">
        <f t="shared" si="26"/>
        <v>106.00706713780909</v>
      </c>
      <c r="Q209" s="81">
        <f t="shared" si="26"/>
        <v>109.31005329497867</v>
      </c>
    </row>
    <row r="210" spans="1:17">
      <c r="A210" s="66">
        <v>41761</v>
      </c>
      <c r="B210" s="66">
        <v>41761</v>
      </c>
      <c r="C210" s="67">
        <v>0.5</v>
      </c>
      <c r="D210" s="67">
        <v>0.47</v>
      </c>
      <c r="E210" s="67">
        <v>0.6</v>
      </c>
      <c r="F210" s="68">
        <v>52980.31</v>
      </c>
      <c r="G210" s="66">
        <f t="shared" si="22"/>
        <v>41761</v>
      </c>
      <c r="H210" s="70">
        <f t="shared" si="25"/>
        <v>0</v>
      </c>
      <c r="I210" s="70">
        <f t="shared" si="25"/>
        <v>2.1506205220963463E-2</v>
      </c>
      <c r="J210" s="70">
        <f t="shared" si="25"/>
        <v>0</v>
      </c>
      <c r="K210" s="70">
        <f t="shared" si="23"/>
        <v>2.5881548268568162E-2</v>
      </c>
      <c r="L210" s="69"/>
      <c r="M210" s="66">
        <f t="shared" si="24"/>
        <v>41761</v>
      </c>
      <c r="N210" s="81">
        <f t="shared" si="26"/>
        <v>126.26262626262609</v>
      </c>
      <c r="O210" s="81">
        <f t="shared" si="26"/>
        <v>111.37440758293856</v>
      </c>
      <c r="P210" s="81">
        <f t="shared" si="26"/>
        <v>106.00706713780909</v>
      </c>
      <c r="Q210" s="81">
        <f t="shared" si="26"/>
        <v>112.17609553671737</v>
      </c>
    </row>
    <row r="211" spans="1:17">
      <c r="A211" s="66">
        <v>41764</v>
      </c>
      <c r="B211" s="66">
        <v>41764</v>
      </c>
      <c r="C211" s="67">
        <v>0.5</v>
      </c>
      <c r="D211" s="67">
        <v>0.47</v>
      </c>
      <c r="E211" s="67">
        <v>0.6</v>
      </c>
      <c r="F211" s="68">
        <v>53446.17</v>
      </c>
      <c r="G211" s="66">
        <f t="shared" si="22"/>
        <v>41764</v>
      </c>
      <c r="H211" s="70">
        <f t="shared" si="25"/>
        <v>0</v>
      </c>
      <c r="I211" s="70">
        <f t="shared" si="25"/>
        <v>0</v>
      </c>
      <c r="J211" s="70">
        <f t="shared" si="25"/>
        <v>0</v>
      </c>
      <c r="K211" s="70">
        <f t="shared" si="23"/>
        <v>8.7546440591846179E-3</v>
      </c>
      <c r="L211" s="69"/>
      <c r="M211" s="66">
        <f t="shared" si="24"/>
        <v>41764</v>
      </c>
      <c r="N211" s="81">
        <f t="shared" si="26"/>
        <v>126.26262626262609</v>
      </c>
      <c r="O211" s="81">
        <f t="shared" si="26"/>
        <v>111.37440758293856</v>
      </c>
      <c r="P211" s="81">
        <f t="shared" si="26"/>
        <v>106.00706713780909</v>
      </c>
      <c r="Q211" s="81">
        <f t="shared" si="26"/>
        <v>113.16246869811893</v>
      </c>
    </row>
    <row r="212" spans="1:17">
      <c r="A212" s="66">
        <v>41765</v>
      </c>
      <c r="B212" s="66">
        <v>41765</v>
      </c>
      <c r="C212" s="67">
        <v>0.5</v>
      </c>
      <c r="D212" s="67">
        <v>0.45</v>
      </c>
      <c r="E212" s="67">
        <v>0.61</v>
      </c>
      <c r="F212" s="68">
        <v>53779.74</v>
      </c>
      <c r="G212" s="66">
        <f t="shared" si="22"/>
        <v>41765</v>
      </c>
      <c r="H212" s="70">
        <f t="shared" si="25"/>
        <v>0</v>
      </c>
      <c r="I212" s="70">
        <f t="shared" si="25"/>
        <v>-4.348511193973878E-2</v>
      </c>
      <c r="J212" s="70">
        <f t="shared" si="25"/>
        <v>1.6529301951210506E-2</v>
      </c>
      <c r="K212" s="70">
        <f t="shared" si="23"/>
        <v>6.2218371674437421E-3</v>
      </c>
      <c r="L212" s="69"/>
      <c r="M212" s="66">
        <f t="shared" si="24"/>
        <v>41765</v>
      </c>
      <c r="N212" s="81">
        <f t="shared" si="26"/>
        <v>126.26262626262609</v>
      </c>
      <c r="O212" s="81">
        <f t="shared" si="26"/>
        <v>106.63507109004756</v>
      </c>
      <c r="P212" s="81">
        <f t="shared" si="26"/>
        <v>107.77385159010591</v>
      </c>
      <c r="Q212" s="81">
        <f t="shared" si="26"/>
        <v>113.86874203227237</v>
      </c>
    </row>
    <row r="213" spans="1:17">
      <c r="A213" s="66">
        <v>41766</v>
      </c>
      <c r="B213" s="66">
        <v>41766</v>
      </c>
      <c r="C213" s="67">
        <v>0.5</v>
      </c>
      <c r="D213" s="67">
        <v>0.46</v>
      </c>
      <c r="E213" s="67">
        <v>0.61</v>
      </c>
      <c r="F213" s="68">
        <v>54052.74</v>
      </c>
      <c r="G213" s="66">
        <f t="shared" si="22"/>
        <v>41766</v>
      </c>
      <c r="H213" s="70">
        <f t="shared" si="25"/>
        <v>0</v>
      </c>
      <c r="I213" s="70">
        <f t="shared" si="25"/>
        <v>2.1978906718775167E-2</v>
      </c>
      <c r="J213" s="70">
        <f t="shared" si="25"/>
        <v>0</v>
      </c>
      <c r="K213" s="70">
        <f t="shared" si="23"/>
        <v>5.063420284303316E-3</v>
      </c>
      <c r="L213" s="69"/>
      <c r="M213" s="66">
        <f t="shared" si="24"/>
        <v>41766</v>
      </c>
      <c r="N213" s="81">
        <f t="shared" ref="N213:Q228" si="27">C213/C212*N212</f>
        <v>126.26262626262609</v>
      </c>
      <c r="O213" s="81">
        <f t="shared" si="27"/>
        <v>109.00473933649306</v>
      </c>
      <c r="P213" s="81">
        <f t="shared" si="27"/>
        <v>107.77385159010591</v>
      </c>
      <c r="Q213" s="81">
        <f t="shared" si="27"/>
        <v>114.4467694934466</v>
      </c>
    </row>
    <row r="214" spans="1:17">
      <c r="A214" s="66">
        <v>41767</v>
      </c>
      <c r="B214" s="66">
        <v>41767</v>
      </c>
      <c r="C214" s="67">
        <v>0.5</v>
      </c>
      <c r="D214" s="67">
        <v>0.45</v>
      </c>
      <c r="E214" s="67">
        <v>0.61</v>
      </c>
      <c r="F214" s="68">
        <v>53422.37</v>
      </c>
      <c r="G214" s="66">
        <f t="shared" si="22"/>
        <v>41767</v>
      </c>
      <c r="H214" s="70">
        <f t="shared" si="25"/>
        <v>0</v>
      </c>
      <c r="I214" s="70">
        <f t="shared" si="25"/>
        <v>-2.197890671877523E-2</v>
      </c>
      <c r="J214" s="70">
        <f t="shared" si="25"/>
        <v>0</v>
      </c>
      <c r="K214" s="70">
        <f t="shared" si="23"/>
        <v>-1.1730664498450753E-2</v>
      </c>
      <c r="L214" s="69"/>
      <c r="M214" s="66">
        <f t="shared" si="24"/>
        <v>41767</v>
      </c>
      <c r="N214" s="81">
        <f t="shared" si="27"/>
        <v>126.26262626262609</v>
      </c>
      <c r="O214" s="81">
        <f t="shared" si="27"/>
        <v>106.63507109004756</v>
      </c>
      <c r="P214" s="81">
        <f t="shared" si="27"/>
        <v>107.77385159010591</v>
      </c>
      <c r="Q214" s="81">
        <f t="shared" si="27"/>
        <v>113.1120765604781</v>
      </c>
    </row>
    <row r="215" spans="1:17">
      <c r="A215" s="66">
        <v>41768</v>
      </c>
      <c r="B215" s="66">
        <v>41768</v>
      </c>
      <c r="C215" s="67">
        <v>0.5</v>
      </c>
      <c r="D215" s="67">
        <v>0.45</v>
      </c>
      <c r="E215" s="67">
        <v>0.6</v>
      </c>
      <c r="F215" s="68">
        <v>53100.34</v>
      </c>
      <c r="G215" s="66">
        <f t="shared" si="22"/>
        <v>41768</v>
      </c>
      <c r="H215" s="70">
        <f t="shared" si="25"/>
        <v>0</v>
      </c>
      <c r="I215" s="70">
        <f t="shared" si="25"/>
        <v>0</v>
      </c>
      <c r="J215" s="70">
        <f t="shared" si="25"/>
        <v>-1.6529301951210582E-2</v>
      </c>
      <c r="K215" s="70">
        <f t="shared" si="23"/>
        <v>-6.0462408633376909E-3</v>
      </c>
      <c r="L215" s="69"/>
      <c r="M215" s="66">
        <f t="shared" si="24"/>
        <v>41768</v>
      </c>
      <c r="N215" s="81">
        <f t="shared" si="27"/>
        <v>126.26262626262609</v>
      </c>
      <c r="O215" s="81">
        <f t="shared" si="27"/>
        <v>106.63507109004756</v>
      </c>
      <c r="P215" s="81">
        <f t="shared" si="27"/>
        <v>106.00706713780909</v>
      </c>
      <c r="Q215" s="81">
        <f t="shared" si="27"/>
        <v>112.43023706113033</v>
      </c>
    </row>
    <row r="216" spans="1:17">
      <c r="A216" s="66">
        <v>41771</v>
      </c>
      <c r="B216" s="66">
        <v>41771</v>
      </c>
      <c r="C216" s="67">
        <v>0.5</v>
      </c>
      <c r="D216" s="67">
        <v>0.45</v>
      </c>
      <c r="E216" s="67">
        <v>0.6</v>
      </c>
      <c r="F216" s="68">
        <v>54052.9</v>
      </c>
      <c r="G216" s="66">
        <f t="shared" si="22"/>
        <v>41771</v>
      </c>
      <c r="H216" s="70">
        <f t="shared" si="25"/>
        <v>0</v>
      </c>
      <c r="I216" s="70">
        <f t="shared" si="25"/>
        <v>0</v>
      </c>
      <c r="J216" s="70">
        <f t="shared" si="25"/>
        <v>0</v>
      </c>
      <c r="K216" s="70">
        <f t="shared" si="23"/>
        <v>1.7779865429366968E-2</v>
      </c>
      <c r="L216" s="69"/>
      <c r="M216" s="66">
        <f t="shared" si="24"/>
        <v>41771</v>
      </c>
      <c r="N216" s="81">
        <f t="shared" si="27"/>
        <v>126.26262626262609</v>
      </c>
      <c r="O216" s="81">
        <f t="shared" si="27"/>
        <v>106.63507109004756</v>
      </c>
      <c r="P216" s="81">
        <f t="shared" si="27"/>
        <v>106.00706713780909</v>
      </c>
      <c r="Q216" s="81">
        <f t="shared" si="27"/>
        <v>114.44710826411982</v>
      </c>
    </row>
    <row r="217" spans="1:17">
      <c r="A217" s="66">
        <v>41772</v>
      </c>
      <c r="B217" s="66">
        <v>41772</v>
      </c>
      <c r="C217" s="67">
        <v>0.47</v>
      </c>
      <c r="D217" s="67">
        <v>0.46</v>
      </c>
      <c r="E217" s="67">
        <v>0.6</v>
      </c>
      <c r="F217" s="68">
        <v>53907.46</v>
      </c>
      <c r="G217" s="66">
        <f t="shared" si="22"/>
        <v>41772</v>
      </c>
      <c r="H217" s="70">
        <f t="shared" si="25"/>
        <v>-6.1875403718087529E-2</v>
      </c>
      <c r="I217" s="70">
        <f t="shared" si="25"/>
        <v>2.1978906718775167E-2</v>
      </c>
      <c r="J217" s="70">
        <f t="shared" si="25"/>
        <v>0</v>
      </c>
      <c r="K217" s="70">
        <f t="shared" si="23"/>
        <v>-2.6943238793144101E-3</v>
      </c>
      <c r="L217" s="69"/>
      <c r="M217" s="66">
        <f t="shared" si="24"/>
        <v>41772</v>
      </c>
      <c r="N217" s="81">
        <f t="shared" si="27"/>
        <v>118.68686868686851</v>
      </c>
      <c r="O217" s="81">
        <f t="shared" si="27"/>
        <v>109.00473933649306</v>
      </c>
      <c r="P217" s="81">
        <f t="shared" si="27"/>
        <v>106.00706713780909</v>
      </c>
      <c r="Q217" s="81">
        <f t="shared" si="27"/>
        <v>114.13916572216678</v>
      </c>
    </row>
    <row r="218" spans="1:17">
      <c r="A218" s="66">
        <v>41773</v>
      </c>
      <c r="B218" s="66">
        <v>41773</v>
      </c>
      <c r="C218" s="67">
        <v>0.49</v>
      </c>
      <c r="D218" s="67">
        <v>0.46</v>
      </c>
      <c r="E218" s="67">
        <v>0.6</v>
      </c>
      <c r="F218" s="68">
        <v>54412.54</v>
      </c>
      <c r="G218" s="66">
        <f t="shared" si="22"/>
        <v>41773</v>
      </c>
      <c r="H218" s="70">
        <f t="shared" si="25"/>
        <v>4.1672696400568081E-2</v>
      </c>
      <c r="I218" s="70">
        <f t="shared" si="25"/>
        <v>0</v>
      </c>
      <c r="J218" s="70">
        <f t="shared" si="25"/>
        <v>0</v>
      </c>
      <c r="K218" s="70">
        <f t="shared" si="23"/>
        <v>9.3257692127176241E-3</v>
      </c>
      <c r="L218" s="69"/>
      <c r="M218" s="66">
        <f t="shared" si="24"/>
        <v>41773</v>
      </c>
      <c r="N218" s="81">
        <f t="shared" si="27"/>
        <v>123.73737373737356</v>
      </c>
      <c r="O218" s="81">
        <f t="shared" si="27"/>
        <v>109.00473933649306</v>
      </c>
      <c r="P218" s="81">
        <f t="shared" si="27"/>
        <v>106.00706713780909</v>
      </c>
      <c r="Q218" s="81">
        <f t="shared" si="27"/>
        <v>115.20858004484033</v>
      </c>
    </row>
    <row r="219" spans="1:17">
      <c r="A219" s="66">
        <v>41774</v>
      </c>
      <c r="B219" s="66">
        <v>41774</v>
      </c>
      <c r="C219" s="67">
        <v>0.49</v>
      </c>
      <c r="D219" s="67">
        <v>0.46</v>
      </c>
      <c r="E219" s="67">
        <v>0.59</v>
      </c>
      <c r="F219" s="68">
        <v>53855.54</v>
      </c>
      <c r="G219" s="66">
        <f t="shared" si="22"/>
        <v>41774</v>
      </c>
      <c r="H219" s="70">
        <f t="shared" si="25"/>
        <v>0</v>
      </c>
      <c r="I219" s="70">
        <f t="shared" si="25"/>
        <v>0</v>
      </c>
      <c r="J219" s="70">
        <f t="shared" si="25"/>
        <v>-1.6807118316381289E-2</v>
      </c>
      <c r="K219" s="70">
        <f t="shared" si="23"/>
        <v>-1.028936532673432E-2</v>
      </c>
      <c r="L219" s="69"/>
      <c r="M219" s="66">
        <f t="shared" si="24"/>
        <v>41774</v>
      </c>
      <c r="N219" s="81">
        <f t="shared" si="27"/>
        <v>123.73737373737356</v>
      </c>
      <c r="O219" s="81">
        <f t="shared" si="27"/>
        <v>109.00473933649306</v>
      </c>
      <c r="P219" s="81">
        <f t="shared" si="27"/>
        <v>104.24028268551227</v>
      </c>
      <c r="Q219" s="81">
        <f t="shared" si="27"/>
        <v>114.02923463870829</v>
      </c>
    </row>
    <row r="220" spans="1:17">
      <c r="A220" s="66">
        <v>41775</v>
      </c>
      <c r="B220" s="66">
        <v>41775</v>
      </c>
      <c r="C220" s="71">
        <v>0.55000000000000004</v>
      </c>
      <c r="D220" s="67">
        <v>0.48</v>
      </c>
      <c r="E220" s="67">
        <v>0.59</v>
      </c>
      <c r="F220" s="68">
        <v>53975.76</v>
      </c>
      <c r="G220" s="66">
        <f t="shared" si="22"/>
        <v>41775</v>
      </c>
      <c r="H220" s="70">
        <f t="shared" si="25"/>
        <v>0.11551288712184443</v>
      </c>
      <c r="I220" s="70">
        <f t="shared" si="25"/>
        <v>4.2559614418795903E-2</v>
      </c>
      <c r="J220" s="70">
        <f t="shared" si="25"/>
        <v>0</v>
      </c>
      <c r="K220" s="70">
        <f t="shared" si="23"/>
        <v>2.2297802179951794E-3</v>
      </c>
      <c r="L220" s="69"/>
      <c r="M220" s="66">
        <f t="shared" si="24"/>
        <v>41775</v>
      </c>
      <c r="N220" s="81">
        <f t="shared" si="27"/>
        <v>138.88888888888872</v>
      </c>
      <c r="O220" s="81">
        <f t="shared" si="27"/>
        <v>113.74407582938406</v>
      </c>
      <c r="P220" s="81">
        <f t="shared" si="27"/>
        <v>104.24028268551227</v>
      </c>
      <c r="Q220" s="81">
        <f t="shared" si="27"/>
        <v>114.28377845329572</v>
      </c>
    </row>
    <row r="221" spans="1:17">
      <c r="A221" s="66">
        <v>41778</v>
      </c>
      <c r="B221" s="66">
        <v>41778</v>
      </c>
      <c r="C221" s="71">
        <v>0.53</v>
      </c>
      <c r="D221" s="67">
        <v>0.49</v>
      </c>
      <c r="E221" s="67">
        <v>0.6</v>
      </c>
      <c r="F221" s="68">
        <v>53353.1</v>
      </c>
      <c r="G221" s="66">
        <f t="shared" si="22"/>
        <v>41778</v>
      </c>
      <c r="H221" s="70">
        <f t="shared" si="25"/>
        <v>-3.7041271680349097E-2</v>
      </c>
      <c r="I221" s="70">
        <f t="shared" si="25"/>
        <v>2.061928720273561E-2</v>
      </c>
      <c r="J221" s="70">
        <f t="shared" si="25"/>
        <v>1.6807118316381191E-2</v>
      </c>
      <c r="K221" s="70">
        <f t="shared" si="23"/>
        <v>-1.1602973993370269E-2</v>
      </c>
      <c r="L221" s="69"/>
      <c r="M221" s="66">
        <f t="shared" si="24"/>
        <v>41778</v>
      </c>
      <c r="N221" s="81">
        <f t="shared" si="27"/>
        <v>133.83838383838366</v>
      </c>
      <c r="O221" s="81">
        <f t="shared" si="27"/>
        <v>116.11374407582956</v>
      </c>
      <c r="P221" s="81">
        <f t="shared" si="27"/>
        <v>106.00706713780909</v>
      </c>
      <c r="Q221" s="81">
        <f t="shared" si="27"/>
        <v>112.9654100321428</v>
      </c>
    </row>
    <row r="222" spans="1:17">
      <c r="A222" s="66">
        <v>41779</v>
      </c>
      <c r="B222" s="66">
        <v>41779</v>
      </c>
      <c r="C222" s="71">
        <v>0.52</v>
      </c>
      <c r="D222" s="67">
        <v>0.48</v>
      </c>
      <c r="E222" s="67">
        <v>0.57999999999999996</v>
      </c>
      <c r="F222" s="68">
        <v>52366.19</v>
      </c>
      <c r="G222" s="66">
        <f t="shared" si="22"/>
        <v>41779</v>
      </c>
      <c r="H222" s="70">
        <f t="shared" si="25"/>
        <v>-1.9048194970694474E-2</v>
      </c>
      <c r="I222" s="70">
        <f t="shared" si="25"/>
        <v>-2.0619287202735703E-2</v>
      </c>
      <c r="J222" s="70">
        <f t="shared" si="25"/>
        <v>-3.3901551675681339E-2</v>
      </c>
      <c r="K222" s="70">
        <f t="shared" si="23"/>
        <v>-1.8670928831694415E-2</v>
      </c>
      <c r="L222" s="69"/>
      <c r="M222" s="66">
        <f t="shared" si="24"/>
        <v>41779</v>
      </c>
      <c r="N222" s="81">
        <f t="shared" si="27"/>
        <v>131.31313131313115</v>
      </c>
      <c r="O222" s="81">
        <f t="shared" si="27"/>
        <v>113.74407582938406</v>
      </c>
      <c r="P222" s="81">
        <f t="shared" si="27"/>
        <v>102.47349823321545</v>
      </c>
      <c r="Q222" s="81">
        <f t="shared" si="27"/>
        <v>110.87580900024734</v>
      </c>
    </row>
    <row r="223" spans="1:17">
      <c r="A223" s="66">
        <v>41780</v>
      </c>
      <c r="B223" s="66">
        <v>41780</v>
      </c>
      <c r="C223" s="71">
        <v>0.5</v>
      </c>
      <c r="D223" s="67">
        <v>0.48</v>
      </c>
      <c r="E223" s="67">
        <v>0.59</v>
      </c>
      <c r="F223" s="68">
        <v>52203.37</v>
      </c>
      <c r="G223" s="66">
        <f t="shared" si="22"/>
        <v>41780</v>
      </c>
      <c r="H223" s="70">
        <f t="shared" si="25"/>
        <v>-3.9220713153281385E-2</v>
      </c>
      <c r="I223" s="70">
        <f t="shared" si="25"/>
        <v>0</v>
      </c>
      <c r="J223" s="70">
        <f t="shared" si="25"/>
        <v>1.709443335930004E-2</v>
      </c>
      <c r="K223" s="70">
        <f t="shared" si="23"/>
        <v>-3.1141018778440581E-3</v>
      </c>
      <c r="L223" s="69"/>
      <c r="M223" s="66">
        <f t="shared" si="24"/>
        <v>41780</v>
      </c>
      <c r="N223" s="81">
        <f t="shared" si="27"/>
        <v>126.2626262626261</v>
      </c>
      <c r="O223" s="81">
        <f t="shared" si="27"/>
        <v>113.74407582938406</v>
      </c>
      <c r="P223" s="81">
        <f t="shared" si="27"/>
        <v>104.24028268551226</v>
      </c>
      <c r="Q223" s="81">
        <f t="shared" si="27"/>
        <v>110.53106749391624</v>
      </c>
    </row>
    <row r="224" spans="1:17">
      <c r="A224" s="66">
        <v>41781</v>
      </c>
      <c r="B224" s="66">
        <v>41781</v>
      </c>
      <c r="C224" s="67">
        <v>0.54</v>
      </c>
      <c r="D224" s="67">
        <v>0.48</v>
      </c>
      <c r="E224" s="67">
        <v>0.59</v>
      </c>
      <c r="F224" s="68">
        <v>52806.22</v>
      </c>
      <c r="G224" s="66">
        <f t="shared" si="22"/>
        <v>41781</v>
      </c>
      <c r="H224" s="70">
        <f t="shared" si="25"/>
        <v>7.6961041136128394E-2</v>
      </c>
      <c r="I224" s="70">
        <f t="shared" si="25"/>
        <v>0</v>
      </c>
      <c r="J224" s="70">
        <f t="shared" si="25"/>
        <v>0</v>
      </c>
      <c r="K224" s="70">
        <f t="shared" si="23"/>
        <v>1.1481934612588042E-2</v>
      </c>
      <c r="L224" s="69"/>
      <c r="M224" s="66">
        <f t="shared" si="24"/>
        <v>41781</v>
      </c>
      <c r="N224" s="81">
        <f t="shared" si="27"/>
        <v>136.3636363636362</v>
      </c>
      <c r="O224" s="81">
        <f t="shared" si="27"/>
        <v>113.74407582938406</v>
      </c>
      <c r="P224" s="81">
        <f t="shared" si="27"/>
        <v>104.24028268551226</v>
      </c>
      <c r="Q224" s="81">
        <f t="shared" si="27"/>
        <v>111.80749187109164</v>
      </c>
    </row>
    <row r="225" spans="1:17">
      <c r="A225" s="66">
        <v>41782</v>
      </c>
      <c r="B225" s="66">
        <v>41782</v>
      </c>
      <c r="C225" s="67">
        <v>0.54</v>
      </c>
      <c r="D225" s="67">
        <v>0.48</v>
      </c>
      <c r="E225" s="67">
        <v>0.7</v>
      </c>
      <c r="F225" s="68">
        <v>52626.41</v>
      </c>
      <c r="G225" s="66">
        <f t="shared" si="22"/>
        <v>41782</v>
      </c>
      <c r="H225" s="70">
        <f t="shared" si="25"/>
        <v>0</v>
      </c>
      <c r="I225" s="70">
        <f t="shared" si="25"/>
        <v>0</v>
      </c>
      <c r="J225" s="70">
        <f t="shared" si="25"/>
        <v>0.17095779814363948</v>
      </c>
      <c r="K225" s="70">
        <f t="shared" si="23"/>
        <v>-3.4109018115078943E-3</v>
      </c>
      <c r="L225" s="69"/>
      <c r="M225" s="66">
        <f t="shared" si="24"/>
        <v>41782</v>
      </c>
      <c r="N225" s="81">
        <f t="shared" si="27"/>
        <v>136.3636363636362</v>
      </c>
      <c r="O225" s="81">
        <f t="shared" si="27"/>
        <v>113.74407582938406</v>
      </c>
      <c r="P225" s="81">
        <f t="shared" si="27"/>
        <v>123.67491166077724</v>
      </c>
      <c r="Q225" s="81">
        <f t="shared" si="27"/>
        <v>111.42677715389847</v>
      </c>
    </row>
    <row r="226" spans="1:17">
      <c r="A226" s="66">
        <v>41785</v>
      </c>
      <c r="B226" s="66">
        <v>41785</v>
      </c>
      <c r="C226" s="67">
        <v>0.51</v>
      </c>
      <c r="D226" s="67">
        <v>0.48</v>
      </c>
      <c r="E226" s="67">
        <v>0.7</v>
      </c>
      <c r="F226" s="68">
        <v>52932.91</v>
      </c>
      <c r="G226" s="66">
        <f t="shared" si="22"/>
        <v>41785</v>
      </c>
      <c r="H226" s="70">
        <f t="shared" si="25"/>
        <v>-5.7158413839948637E-2</v>
      </c>
      <c r="I226" s="70">
        <f t="shared" si="25"/>
        <v>0</v>
      </c>
      <c r="J226" s="70">
        <f t="shared" si="25"/>
        <v>0</v>
      </c>
      <c r="K226" s="70">
        <f t="shared" si="23"/>
        <v>5.8071776390586265E-3</v>
      </c>
      <c r="L226" s="69"/>
      <c r="M226" s="66">
        <f t="shared" si="24"/>
        <v>41785</v>
      </c>
      <c r="N226" s="81">
        <f t="shared" si="27"/>
        <v>128.78787878787864</v>
      </c>
      <c r="O226" s="81">
        <f t="shared" si="27"/>
        <v>113.74407582938406</v>
      </c>
      <c r="P226" s="81">
        <f t="shared" si="27"/>
        <v>123.67491166077724</v>
      </c>
      <c r="Q226" s="81">
        <f t="shared" si="27"/>
        <v>112.07573472477725</v>
      </c>
    </row>
    <row r="227" spans="1:17">
      <c r="A227" s="66">
        <v>41786</v>
      </c>
      <c r="B227" s="66">
        <v>41786</v>
      </c>
      <c r="C227" s="67">
        <v>0.53</v>
      </c>
      <c r="D227" s="67">
        <v>0.47</v>
      </c>
      <c r="E227" s="67">
        <v>0.68</v>
      </c>
      <c r="F227" s="68">
        <v>52173.98</v>
      </c>
      <c r="G227" s="66">
        <f t="shared" si="22"/>
        <v>41786</v>
      </c>
      <c r="H227" s="70">
        <f t="shared" si="25"/>
        <v>3.8466280827796143E-2</v>
      </c>
      <c r="I227" s="70">
        <f t="shared" si="25"/>
        <v>-2.1053409197832381E-2</v>
      </c>
      <c r="J227" s="70">
        <f t="shared" si="25"/>
        <v>-2.8987536873252187E-2</v>
      </c>
      <c r="K227" s="70">
        <f t="shared" si="23"/>
        <v>-1.444135945238546E-2</v>
      </c>
      <c r="L227" s="69"/>
      <c r="M227" s="66">
        <f t="shared" si="24"/>
        <v>41786</v>
      </c>
      <c r="N227" s="81">
        <f t="shared" si="27"/>
        <v>133.83838383838369</v>
      </c>
      <c r="O227" s="81">
        <f t="shared" si="27"/>
        <v>111.37440758293856</v>
      </c>
      <c r="P227" s="81">
        <f t="shared" si="27"/>
        <v>120.14134275618362</v>
      </c>
      <c r="Q227" s="81">
        <f t="shared" si="27"/>
        <v>110.46883955587995</v>
      </c>
    </row>
    <row r="228" spans="1:17">
      <c r="A228" s="66">
        <v>41787</v>
      </c>
      <c r="B228" s="66">
        <v>41787</v>
      </c>
      <c r="C228" s="67">
        <v>0.5</v>
      </c>
      <c r="D228" s="67">
        <v>0.47</v>
      </c>
      <c r="E228" s="67">
        <v>0.62</v>
      </c>
      <c r="F228" s="68">
        <v>52639.75</v>
      </c>
      <c r="G228" s="66">
        <f>A228</f>
        <v>41787</v>
      </c>
      <c r="H228" s="70">
        <f t="shared" si="25"/>
        <v>-5.8268908123975879E-2</v>
      </c>
      <c r="I228" s="70">
        <f t="shared" si="25"/>
        <v>0</v>
      </c>
      <c r="J228" s="70">
        <f t="shared" si="25"/>
        <v>-9.2373320131015166E-2</v>
      </c>
      <c r="K228" s="70">
        <f t="shared" si="23"/>
        <v>8.887634586210693E-3</v>
      </c>
      <c r="L228" s="69"/>
      <c r="M228" s="66">
        <f t="shared" si="24"/>
        <v>41787</v>
      </c>
      <c r="N228" s="81">
        <f t="shared" si="27"/>
        <v>126.26262626262611</v>
      </c>
      <c r="O228" s="81">
        <f t="shared" si="27"/>
        <v>111.37440758293856</v>
      </c>
      <c r="P228" s="81">
        <f t="shared" si="27"/>
        <v>109.54063604240271</v>
      </c>
      <c r="Q228" s="81">
        <f t="shared" si="27"/>
        <v>111.45502215877784</v>
      </c>
    </row>
    <row r="229" spans="1:17">
      <c r="A229" s="72">
        <v>41788</v>
      </c>
      <c r="B229" s="72">
        <v>41788</v>
      </c>
      <c r="C229" s="67">
        <v>0.52</v>
      </c>
      <c r="D229" s="67">
        <v>0.47</v>
      </c>
      <c r="E229" s="67">
        <v>0.63</v>
      </c>
      <c r="F229" s="68">
        <v>52239.34</v>
      </c>
      <c r="G229" s="66">
        <f t="shared" ref="G229:G249" si="28">A229</f>
        <v>41788</v>
      </c>
      <c r="H229" s="70">
        <f t="shared" si="25"/>
        <v>3.9220713153281329E-2</v>
      </c>
      <c r="I229" s="70">
        <f t="shared" si="25"/>
        <v>0</v>
      </c>
      <c r="J229" s="70">
        <f t="shared" si="25"/>
        <v>1.600034134644112E-2</v>
      </c>
      <c r="K229" s="70">
        <f t="shared" si="23"/>
        <v>-7.635686874233721E-3</v>
      </c>
      <c r="L229" s="73"/>
      <c r="M229" s="66">
        <f t="shared" si="24"/>
        <v>41788</v>
      </c>
      <c r="N229" s="81">
        <f t="shared" ref="N229:Q244" si="29">C229/C228*N228</f>
        <v>131.31313131313115</v>
      </c>
      <c r="O229" s="81">
        <f t="shared" si="29"/>
        <v>111.37440758293856</v>
      </c>
      <c r="P229" s="81">
        <f t="shared" si="29"/>
        <v>111.30742049469953</v>
      </c>
      <c r="Q229" s="81">
        <f t="shared" si="29"/>
        <v>110.60722737588856</v>
      </c>
    </row>
    <row r="230" spans="1:17">
      <c r="A230" s="66">
        <v>41789</v>
      </c>
      <c r="B230" s="66">
        <v>41789</v>
      </c>
      <c r="C230" s="67">
        <v>0.51</v>
      </c>
      <c r="D230" s="67">
        <v>0.43</v>
      </c>
      <c r="E230" s="67">
        <v>0.6</v>
      </c>
      <c r="F230" s="68">
        <v>51239.34</v>
      </c>
      <c r="G230" s="66">
        <f t="shared" si="28"/>
        <v>41789</v>
      </c>
      <c r="H230" s="70">
        <f t="shared" si="25"/>
        <v>-1.9418085857101627E-2</v>
      </c>
      <c r="I230" s="70">
        <f t="shared" si="25"/>
        <v>-8.8947486016496172E-2</v>
      </c>
      <c r="J230" s="70">
        <f t="shared" si="25"/>
        <v>-4.8790164169432056E-2</v>
      </c>
      <c r="K230" s="70">
        <f t="shared" si="23"/>
        <v>-1.9328254507911397E-2</v>
      </c>
      <c r="M230" s="66">
        <f t="shared" si="24"/>
        <v>41789</v>
      </c>
      <c r="N230" s="81">
        <f t="shared" si="29"/>
        <v>128.78787878787861</v>
      </c>
      <c r="O230" s="81">
        <f t="shared" si="29"/>
        <v>101.89573459715655</v>
      </c>
      <c r="P230" s="81">
        <f t="shared" si="29"/>
        <v>106.00706713780907</v>
      </c>
      <c r="Q230" s="81">
        <f t="shared" si="29"/>
        <v>108.48991066829062</v>
      </c>
    </row>
    <row r="231" spans="1:17">
      <c r="A231" s="66">
        <v>41792</v>
      </c>
      <c r="B231" s="66">
        <v>41792</v>
      </c>
      <c r="C231" s="67">
        <v>0.52</v>
      </c>
      <c r="D231" s="67">
        <v>0.44</v>
      </c>
      <c r="E231" s="67">
        <v>0.63</v>
      </c>
      <c r="F231" s="68">
        <v>51605.83</v>
      </c>
      <c r="G231" s="66">
        <f t="shared" si="28"/>
        <v>41792</v>
      </c>
      <c r="H231" s="70">
        <f t="shared" si="25"/>
        <v>1.9418085857101516E-2</v>
      </c>
      <c r="I231" s="70">
        <f t="shared" si="25"/>
        <v>2.2989518224698781E-2</v>
      </c>
      <c r="J231" s="70">
        <f t="shared" si="25"/>
        <v>4.8790164169432049E-2</v>
      </c>
      <c r="K231" s="70">
        <f t="shared" si="23"/>
        <v>7.1270542178561679E-3</v>
      </c>
      <c r="M231" s="66">
        <f t="shared" si="24"/>
        <v>41792</v>
      </c>
      <c r="N231" s="81">
        <f t="shared" si="29"/>
        <v>131.31313131313112</v>
      </c>
      <c r="O231" s="81">
        <f t="shared" si="29"/>
        <v>104.26540284360205</v>
      </c>
      <c r="P231" s="81">
        <f t="shared" si="29"/>
        <v>111.30742049469953</v>
      </c>
      <c r="Q231" s="81">
        <f t="shared" si="29"/>
        <v>109.26588606845819</v>
      </c>
    </row>
    <row r="232" spans="1:17">
      <c r="A232" s="66">
        <v>41793</v>
      </c>
      <c r="B232" s="66">
        <v>41793</v>
      </c>
      <c r="C232" s="67">
        <v>0.52</v>
      </c>
      <c r="D232" s="67">
        <v>0.44</v>
      </c>
      <c r="E232" s="67">
        <v>0.62</v>
      </c>
      <c r="F232" s="68">
        <v>52032.38</v>
      </c>
      <c r="G232" s="66">
        <f t="shared" si="28"/>
        <v>41793</v>
      </c>
      <c r="H232" s="70">
        <f t="shared" si="25"/>
        <v>0</v>
      </c>
      <c r="I232" s="70">
        <f t="shared" si="25"/>
        <v>0</v>
      </c>
      <c r="J232" s="70">
        <f t="shared" si="25"/>
        <v>-1.6000341346441189E-2</v>
      </c>
      <c r="K232" s="70">
        <f t="shared" si="23"/>
        <v>8.2315664953354056E-3</v>
      </c>
      <c r="M232" s="66">
        <f t="shared" si="24"/>
        <v>41793</v>
      </c>
      <c r="N232" s="81">
        <f t="shared" si="29"/>
        <v>131.31313131313112</v>
      </c>
      <c r="O232" s="81">
        <f t="shared" si="29"/>
        <v>104.26540284360205</v>
      </c>
      <c r="P232" s="81">
        <f t="shared" si="29"/>
        <v>109.54063604240271</v>
      </c>
      <c r="Q232" s="81">
        <f t="shared" si="29"/>
        <v>110.16902751008406</v>
      </c>
    </row>
    <row r="233" spans="1:17">
      <c r="A233" s="66">
        <v>41794</v>
      </c>
      <c r="B233" s="66">
        <v>41794</v>
      </c>
      <c r="C233" s="67">
        <v>0.52</v>
      </c>
      <c r="D233" s="67">
        <v>0.45</v>
      </c>
      <c r="E233" s="67">
        <v>0.59</v>
      </c>
      <c r="F233" s="68">
        <v>51832.98</v>
      </c>
      <c r="G233" s="66">
        <f t="shared" si="28"/>
        <v>41794</v>
      </c>
      <c r="H233" s="70">
        <f t="shared" si="25"/>
        <v>0</v>
      </c>
      <c r="I233" s="70">
        <f t="shared" si="25"/>
        <v>2.2472855852058576E-2</v>
      </c>
      <c r="J233" s="70">
        <f t="shared" si="25"/>
        <v>-4.9596941139372179E-2</v>
      </c>
      <c r="K233" s="70">
        <f t="shared" si="23"/>
        <v>-3.8395908890210455E-3</v>
      </c>
      <c r="M233" s="66">
        <f t="shared" si="24"/>
        <v>41794</v>
      </c>
      <c r="N233" s="81">
        <f t="shared" si="29"/>
        <v>131.31313131313112</v>
      </c>
      <c r="O233" s="81">
        <f t="shared" si="29"/>
        <v>106.63507109004755</v>
      </c>
      <c r="P233" s="81">
        <f t="shared" si="29"/>
        <v>104.24028268551226</v>
      </c>
      <c r="Q233" s="81">
        <f t="shared" si="29"/>
        <v>109.74683455858906</v>
      </c>
    </row>
    <row r="234" spans="1:17">
      <c r="A234" s="66">
        <v>41795</v>
      </c>
      <c r="B234" s="66">
        <v>41795</v>
      </c>
      <c r="C234" s="67">
        <v>0.51</v>
      </c>
      <c r="D234" s="67">
        <v>0.45</v>
      </c>
      <c r="E234" s="67">
        <v>0.6</v>
      </c>
      <c r="F234" s="68">
        <v>51558.79</v>
      </c>
      <c r="G234" s="66">
        <f t="shared" si="28"/>
        <v>41795</v>
      </c>
      <c r="H234" s="70">
        <f t="shared" si="25"/>
        <v>-1.9418085857101627E-2</v>
      </c>
      <c r="I234" s="70">
        <f t="shared" si="25"/>
        <v>0</v>
      </c>
      <c r="J234" s="70">
        <f t="shared" si="25"/>
        <v>1.6807118316381191E-2</v>
      </c>
      <c r="K234" s="70">
        <f t="shared" si="23"/>
        <v>-5.3039162165742374E-3</v>
      </c>
      <c r="M234" s="66">
        <f t="shared" si="24"/>
        <v>41795</v>
      </c>
      <c r="N234" s="81">
        <f t="shared" si="29"/>
        <v>128.78787878787858</v>
      </c>
      <c r="O234" s="81">
        <f t="shared" si="29"/>
        <v>106.63507109004755</v>
      </c>
      <c r="P234" s="81">
        <f t="shared" si="29"/>
        <v>106.00706713780907</v>
      </c>
      <c r="Q234" s="81">
        <f t="shared" si="29"/>
        <v>109.16628749053278</v>
      </c>
    </row>
    <row r="235" spans="1:17">
      <c r="A235" s="66">
        <v>41796</v>
      </c>
      <c r="B235" s="66">
        <v>41796</v>
      </c>
      <c r="C235" s="67">
        <v>0.49</v>
      </c>
      <c r="D235" s="67">
        <v>0.46</v>
      </c>
      <c r="E235" s="67">
        <v>0.6</v>
      </c>
      <c r="F235" s="68">
        <v>53128.66</v>
      </c>
      <c r="G235" s="66">
        <f t="shared" si="28"/>
        <v>41796</v>
      </c>
      <c r="H235" s="70">
        <f t="shared" si="25"/>
        <v>-4.0005334613699248E-2</v>
      </c>
      <c r="I235" s="70">
        <f t="shared" si="25"/>
        <v>2.1978906718775167E-2</v>
      </c>
      <c r="J235" s="70">
        <f t="shared" si="25"/>
        <v>0</v>
      </c>
      <c r="K235" s="70">
        <f t="shared" si="23"/>
        <v>2.9993808998023577E-2</v>
      </c>
      <c r="M235" s="66">
        <f t="shared" si="24"/>
        <v>41796</v>
      </c>
      <c r="N235" s="81">
        <f t="shared" si="29"/>
        <v>123.73737373737353</v>
      </c>
      <c r="O235" s="81">
        <f t="shared" si="29"/>
        <v>109.00473933649305</v>
      </c>
      <c r="P235" s="81">
        <f t="shared" si="29"/>
        <v>106.00706713780907</v>
      </c>
      <c r="Q235" s="81">
        <f t="shared" si="29"/>
        <v>112.49019947028955</v>
      </c>
    </row>
    <row r="236" spans="1:17">
      <c r="A236" s="66">
        <v>41799</v>
      </c>
      <c r="B236" s="66">
        <v>41799</v>
      </c>
      <c r="C236" s="67">
        <v>0.51</v>
      </c>
      <c r="D236" s="67">
        <v>0.46</v>
      </c>
      <c r="E236" s="67">
        <v>0.6</v>
      </c>
      <c r="F236" s="68">
        <v>54273.16</v>
      </c>
      <c r="G236" s="66">
        <f t="shared" si="28"/>
        <v>41799</v>
      </c>
      <c r="H236" s="70">
        <f t="shared" si="25"/>
        <v>4.0005334613699206E-2</v>
      </c>
      <c r="I236" s="70">
        <f t="shared" si="25"/>
        <v>0</v>
      </c>
      <c r="J236" s="70">
        <f t="shared" si="25"/>
        <v>0</v>
      </c>
      <c r="K236" s="70">
        <f t="shared" si="23"/>
        <v>2.1313294772638488E-2</v>
      </c>
      <c r="M236" s="66">
        <f t="shared" si="24"/>
        <v>41799</v>
      </c>
      <c r="N236" s="81">
        <f t="shared" si="29"/>
        <v>128.78787878787858</v>
      </c>
      <c r="O236" s="81">
        <f t="shared" si="29"/>
        <v>109.00473933649305</v>
      </c>
      <c r="P236" s="81">
        <f t="shared" si="29"/>
        <v>106.00706713780907</v>
      </c>
      <c r="Q236" s="81">
        <f t="shared" si="29"/>
        <v>114.91346844213538</v>
      </c>
    </row>
    <row r="237" spans="1:17">
      <c r="A237" s="66">
        <v>41800</v>
      </c>
      <c r="B237" s="66">
        <v>41800</v>
      </c>
      <c r="C237" s="67">
        <v>0.51</v>
      </c>
      <c r="D237" s="67">
        <v>0.46</v>
      </c>
      <c r="E237" s="67">
        <v>0.61</v>
      </c>
      <c r="F237" s="68">
        <v>54604.34</v>
      </c>
      <c r="G237" s="66">
        <f t="shared" si="28"/>
        <v>41800</v>
      </c>
      <c r="H237" s="70">
        <f t="shared" si="25"/>
        <v>0</v>
      </c>
      <c r="I237" s="70">
        <f t="shared" si="25"/>
        <v>0</v>
      </c>
      <c r="J237" s="70">
        <f t="shared" si="25"/>
        <v>1.6529301951210506E-2</v>
      </c>
      <c r="K237" s="70">
        <f t="shared" si="23"/>
        <v>6.0835530096322744E-3</v>
      </c>
      <c r="M237" s="66">
        <f t="shared" si="24"/>
        <v>41800</v>
      </c>
      <c r="N237" s="81">
        <f t="shared" si="29"/>
        <v>128.78787878787858</v>
      </c>
      <c r="O237" s="81">
        <f t="shared" si="29"/>
        <v>109.00473933649305</v>
      </c>
      <c r="P237" s="81">
        <f t="shared" si="29"/>
        <v>107.77385159010589</v>
      </c>
      <c r="Q237" s="81">
        <f t="shared" si="29"/>
        <v>115.61468138935766</v>
      </c>
    </row>
    <row r="238" spans="1:17">
      <c r="A238" s="66">
        <v>41801</v>
      </c>
      <c r="B238" s="66">
        <v>41801</v>
      </c>
      <c r="C238" s="67">
        <v>0.51</v>
      </c>
      <c r="D238" s="67">
        <v>0.46</v>
      </c>
      <c r="E238" s="67">
        <v>0.61</v>
      </c>
      <c r="F238" s="68">
        <v>55102.44</v>
      </c>
      <c r="G238" s="66">
        <f t="shared" si="28"/>
        <v>41801</v>
      </c>
      <c r="H238" s="70">
        <f t="shared" si="25"/>
        <v>0</v>
      </c>
      <c r="I238" s="70">
        <f t="shared" si="25"/>
        <v>0</v>
      </c>
      <c r="J238" s="70">
        <f t="shared" si="25"/>
        <v>0</v>
      </c>
      <c r="K238" s="70">
        <f t="shared" si="23"/>
        <v>9.0806315285895146E-3</v>
      </c>
      <c r="M238" s="66">
        <f t="shared" si="24"/>
        <v>41801</v>
      </c>
      <c r="N238" s="81">
        <f t="shared" si="29"/>
        <v>128.78787878787858</v>
      </c>
      <c r="O238" s="81">
        <f t="shared" si="29"/>
        <v>109.00473933649305</v>
      </c>
      <c r="P238" s="81">
        <f t="shared" si="29"/>
        <v>107.77385159010589</v>
      </c>
      <c r="Q238" s="81">
        <f t="shared" si="29"/>
        <v>116.6693168414122</v>
      </c>
    </row>
    <row r="239" spans="1:17">
      <c r="A239" s="66">
        <v>41803</v>
      </c>
      <c r="B239" s="66">
        <v>41803</v>
      </c>
      <c r="C239" s="67">
        <v>0.5</v>
      </c>
      <c r="D239" s="67">
        <v>0.47</v>
      </c>
      <c r="E239" s="67">
        <v>0.61</v>
      </c>
      <c r="F239" s="68">
        <v>54806.64</v>
      </c>
      <c r="G239" s="66">
        <f t="shared" si="28"/>
        <v>41803</v>
      </c>
      <c r="H239" s="70">
        <f t="shared" si="25"/>
        <v>-1.9802627296179754E-2</v>
      </c>
      <c r="I239" s="70">
        <f t="shared" si="25"/>
        <v>2.1506205220963463E-2</v>
      </c>
      <c r="J239" s="70">
        <f t="shared" si="25"/>
        <v>0</v>
      </c>
      <c r="K239" s="70">
        <f t="shared" si="23"/>
        <v>-5.3826438030510002E-3</v>
      </c>
      <c r="M239" s="66">
        <f t="shared" si="24"/>
        <v>41803</v>
      </c>
      <c r="N239" s="81">
        <f t="shared" si="29"/>
        <v>126.26262626262606</v>
      </c>
      <c r="O239" s="81">
        <f t="shared" si="29"/>
        <v>111.37440758293853</v>
      </c>
      <c r="P239" s="81">
        <f t="shared" si="29"/>
        <v>107.77385159010589</v>
      </c>
      <c r="Q239" s="81">
        <f t="shared" si="29"/>
        <v>116.04301455930472</v>
      </c>
    </row>
    <row r="240" spans="1:17">
      <c r="A240" s="66">
        <v>41806</v>
      </c>
      <c r="B240" s="66">
        <v>41806</v>
      </c>
      <c r="C240" s="67">
        <v>0.5</v>
      </c>
      <c r="D240" s="67">
        <v>0.46</v>
      </c>
      <c r="E240" s="67">
        <v>0.6</v>
      </c>
      <c r="F240" s="68">
        <v>54629.55</v>
      </c>
      <c r="G240" s="66">
        <f t="shared" si="28"/>
        <v>41806</v>
      </c>
      <c r="H240" s="70">
        <f t="shared" si="25"/>
        <v>0</v>
      </c>
      <c r="I240" s="70">
        <f t="shared" si="25"/>
        <v>-2.1506205220963505E-2</v>
      </c>
      <c r="J240" s="70">
        <f t="shared" si="25"/>
        <v>-1.6529301951210582E-2</v>
      </c>
      <c r="K240" s="70">
        <f t="shared" si="23"/>
        <v>-3.2364093555362753E-3</v>
      </c>
      <c r="M240" s="66">
        <f t="shared" si="24"/>
        <v>41806</v>
      </c>
      <c r="N240" s="81">
        <f t="shared" si="29"/>
        <v>126.26262626262606</v>
      </c>
      <c r="O240" s="81">
        <f t="shared" si="29"/>
        <v>109.00473933649305</v>
      </c>
      <c r="P240" s="81">
        <f t="shared" si="29"/>
        <v>106.00706713780907</v>
      </c>
      <c r="Q240" s="81">
        <f t="shared" si="29"/>
        <v>115.66805894355622</v>
      </c>
    </row>
    <row r="241" spans="1:17">
      <c r="A241" s="66">
        <v>41807</v>
      </c>
      <c r="B241" s="66">
        <v>41807</v>
      </c>
      <c r="C241" s="67">
        <v>0.5</v>
      </c>
      <c r="D241" s="67">
        <v>0.47</v>
      </c>
      <c r="E241" s="67">
        <v>0.6</v>
      </c>
      <c r="F241" s="68">
        <v>54299.95</v>
      </c>
      <c r="G241" s="66">
        <f t="shared" si="28"/>
        <v>41807</v>
      </c>
      <c r="H241" s="70">
        <f t="shared" si="25"/>
        <v>0</v>
      </c>
      <c r="I241" s="70">
        <f t="shared" si="25"/>
        <v>2.1506205220963463E-2</v>
      </c>
      <c r="J241" s="70">
        <f t="shared" si="25"/>
        <v>0</v>
      </c>
      <c r="K241" s="70">
        <f t="shared" si="23"/>
        <v>-6.0516390122575224E-3</v>
      </c>
      <c r="M241" s="66">
        <f t="shared" si="24"/>
        <v>41807</v>
      </c>
      <c r="N241" s="81">
        <f t="shared" si="29"/>
        <v>126.26262626262606</v>
      </c>
      <c r="O241" s="81">
        <f t="shared" si="29"/>
        <v>111.37440758293853</v>
      </c>
      <c r="P241" s="81">
        <f t="shared" si="29"/>
        <v>106.00706713780907</v>
      </c>
      <c r="Q241" s="81">
        <f t="shared" si="29"/>
        <v>114.97019135673193</v>
      </c>
    </row>
    <row r="242" spans="1:17">
      <c r="A242" s="66">
        <v>41808</v>
      </c>
      <c r="B242" s="66">
        <v>41808</v>
      </c>
      <c r="C242" s="67">
        <v>0.5</v>
      </c>
      <c r="D242" s="67">
        <v>0.48</v>
      </c>
      <c r="E242" s="67">
        <v>0.6</v>
      </c>
      <c r="F242" s="68">
        <v>55202.54</v>
      </c>
      <c r="G242" s="66">
        <f t="shared" si="28"/>
        <v>41808</v>
      </c>
      <c r="H242" s="70">
        <f t="shared" si="25"/>
        <v>0</v>
      </c>
      <c r="I242" s="70">
        <f t="shared" si="25"/>
        <v>2.1053409197832263E-2</v>
      </c>
      <c r="J242" s="70">
        <f t="shared" si="25"/>
        <v>0</v>
      </c>
      <c r="K242" s="70">
        <f t="shared" si="23"/>
        <v>1.6485660588016187E-2</v>
      </c>
      <c r="M242" s="66">
        <f t="shared" si="24"/>
        <v>41808</v>
      </c>
      <c r="N242" s="81">
        <f t="shared" si="29"/>
        <v>126.26262626262606</v>
      </c>
      <c r="O242" s="81">
        <f t="shared" si="29"/>
        <v>113.74407582938402</v>
      </c>
      <c r="P242" s="81">
        <f t="shared" si="29"/>
        <v>106.00706713780907</v>
      </c>
      <c r="Q242" s="81">
        <f t="shared" si="29"/>
        <v>116.88126024384273</v>
      </c>
    </row>
    <row r="243" spans="1:17" ht="15" customHeight="1">
      <c r="A243" s="66">
        <v>41810</v>
      </c>
      <c r="B243" s="66">
        <v>41810</v>
      </c>
      <c r="C243" s="67">
        <v>0.5</v>
      </c>
      <c r="D243" s="67">
        <v>0.47</v>
      </c>
      <c r="E243" s="67">
        <v>0.6</v>
      </c>
      <c r="F243" s="68">
        <v>54638.19</v>
      </c>
      <c r="G243" s="66">
        <f t="shared" si="28"/>
        <v>41810</v>
      </c>
      <c r="H243" s="70">
        <f t="shared" si="25"/>
        <v>0</v>
      </c>
      <c r="I243" s="70">
        <f t="shared" si="25"/>
        <v>-2.1053409197832381E-2</v>
      </c>
      <c r="J243" s="70">
        <f t="shared" si="25"/>
        <v>0</v>
      </c>
      <c r="K243" s="70">
        <f t="shared" si="23"/>
        <v>-1.0275877918390039E-2</v>
      </c>
      <c r="M243" s="66">
        <f t="shared" si="24"/>
        <v>41810</v>
      </c>
      <c r="N243" s="81">
        <f t="shared" si="29"/>
        <v>126.26262626262606</v>
      </c>
      <c r="O243" s="81">
        <f t="shared" si="29"/>
        <v>111.37440758293852</v>
      </c>
      <c r="P243" s="81">
        <f t="shared" si="29"/>
        <v>106.00706713780907</v>
      </c>
      <c r="Q243" s="81">
        <f t="shared" si="29"/>
        <v>115.68635255990985</v>
      </c>
    </row>
    <row r="244" spans="1:17">
      <c r="A244" s="66">
        <v>41813</v>
      </c>
      <c r="B244" s="66">
        <v>41813</v>
      </c>
      <c r="C244" s="67">
        <v>0.5</v>
      </c>
      <c r="D244" s="67">
        <v>0.46</v>
      </c>
      <c r="E244" s="67">
        <v>0.59</v>
      </c>
      <c r="F244" s="68">
        <v>54210.05</v>
      </c>
      <c r="G244" s="66">
        <f t="shared" si="28"/>
        <v>41813</v>
      </c>
      <c r="H244" s="70">
        <f t="shared" si="25"/>
        <v>0</v>
      </c>
      <c r="I244" s="70">
        <f t="shared" si="25"/>
        <v>-2.1506205220963505E-2</v>
      </c>
      <c r="J244" s="70">
        <f t="shared" si="25"/>
        <v>-1.6807118316381289E-2</v>
      </c>
      <c r="K244" s="70">
        <f t="shared" si="23"/>
        <v>-7.8667731879055267E-3</v>
      </c>
      <c r="M244" s="66">
        <f t="shared" si="24"/>
        <v>41813</v>
      </c>
      <c r="N244" s="81">
        <f t="shared" si="29"/>
        <v>126.26262626262606</v>
      </c>
      <c r="O244" s="81">
        <f t="shared" si="29"/>
        <v>109.00473933649303</v>
      </c>
      <c r="P244" s="81">
        <f t="shared" si="29"/>
        <v>104.24028268551226</v>
      </c>
      <c r="Q244" s="81">
        <f t="shared" si="29"/>
        <v>114.77984458471887</v>
      </c>
    </row>
    <row r="245" spans="1:17">
      <c r="A245" s="66">
        <v>41814</v>
      </c>
      <c r="B245" s="66">
        <v>41814</v>
      </c>
      <c r="C245" s="67">
        <v>0.5</v>
      </c>
      <c r="D245" s="67">
        <v>0.47</v>
      </c>
      <c r="E245" s="67">
        <v>0.59</v>
      </c>
      <c r="F245" s="68">
        <v>54280.78</v>
      </c>
      <c r="G245" s="66">
        <f t="shared" si="28"/>
        <v>41814</v>
      </c>
      <c r="H245" s="70">
        <f t="shared" si="25"/>
        <v>0</v>
      </c>
      <c r="I245" s="70">
        <f t="shared" si="25"/>
        <v>2.1506205220963463E-2</v>
      </c>
      <c r="J245" s="70">
        <f t="shared" si="25"/>
        <v>0</v>
      </c>
      <c r="K245" s="70">
        <f t="shared" si="23"/>
        <v>1.3038891862256735E-3</v>
      </c>
      <c r="M245" s="66">
        <f t="shared" si="24"/>
        <v>41814</v>
      </c>
      <c r="N245" s="81">
        <f t="shared" ref="N245:Q249" si="30">C245/C244*N244</f>
        <v>126.26262626262606</v>
      </c>
      <c r="O245" s="81">
        <f t="shared" si="30"/>
        <v>111.37440758293852</v>
      </c>
      <c r="P245" s="81">
        <f t="shared" si="30"/>
        <v>104.24028268551226</v>
      </c>
      <c r="Q245" s="81">
        <f t="shared" si="30"/>
        <v>114.92960239544726</v>
      </c>
    </row>
    <row r="246" spans="1:17">
      <c r="A246" s="66">
        <v>41815</v>
      </c>
      <c r="B246" s="66">
        <v>41815</v>
      </c>
      <c r="C246" s="67">
        <v>0.51</v>
      </c>
      <c r="D246" s="67">
        <v>0.47</v>
      </c>
      <c r="E246" s="67">
        <v>0.6</v>
      </c>
      <c r="F246" s="68">
        <v>53425.74</v>
      </c>
      <c r="G246" s="66">
        <f t="shared" si="28"/>
        <v>41815</v>
      </c>
      <c r="H246" s="70">
        <f t="shared" si="25"/>
        <v>1.980262729617973E-2</v>
      </c>
      <c r="I246" s="70">
        <f t="shared" si="25"/>
        <v>0</v>
      </c>
      <c r="J246" s="70">
        <f t="shared" si="25"/>
        <v>1.6807118316381191E-2</v>
      </c>
      <c r="K246" s="70">
        <f t="shared" si="23"/>
        <v>-1.5877552494553072E-2</v>
      </c>
      <c r="M246" s="66">
        <f t="shared" si="24"/>
        <v>41815</v>
      </c>
      <c r="N246" s="81">
        <f t="shared" si="30"/>
        <v>128.78787878787858</v>
      </c>
      <c r="O246" s="81">
        <f t="shared" si="30"/>
        <v>111.37440758293852</v>
      </c>
      <c r="P246" s="81">
        <f t="shared" si="30"/>
        <v>106.00706713780907</v>
      </c>
      <c r="Q246" s="81">
        <f t="shared" si="30"/>
        <v>113.11921191778274</v>
      </c>
    </row>
    <row r="247" spans="1:17">
      <c r="A247" s="66">
        <v>41816</v>
      </c>
      <c r="B247" s="66">
        <v>41816</v>
      </c>
      <c r="C247" s="67">
        <v>0.51</v>
      </c>
      <c r="D247" s="67">
        <v>0.48</v>
      </c>
      <c r="E247" s="67">
        <v>0.57999999999999996</v>
      </c>
      <c r="F247" s="68">
        <v>53506.75</v>
      </c>
      <c r="G247" s="66">
        <f t="shared" si="28"/>
        <v>41816</v>
      </c>
      <c r="H247" s="70">
        <f t="shared" si="25"/>
        <v>0</v>
      </c>
      <c r="I247" s="70">
        <f t="shared" si="25"/>
        <v>2.1053409197832263E-2</v>
      </c>
      <c r="J247" s="70">
        <f t="shared" si="25"/>
        <v>-3.3901551675681339E-2</v>
      </c>
      <c r="K247" s="70">
        <f t="shared" si="23"/>
        <v>1.5151618651728881E-3</v>
      </c>
      <c r="M247" s="66">
        <f t="shared" si="24"/>
        <v>41816</v>
      </c>
      <c r="N247" s="81">
        <f t="shared" si="30"/>
        <v>128.78787878787858</v>
      </c>
      <c r="O247" s="81">
        <f t="shared" si="30"/>
        <v>113.744075829384</v>
      </c>
      <c r="P247" s="81">
        <f t="shared" si="30"/>
        <v>102.47349823321544</v>
      </c>
      <c r="Q247" s="81">
        <f t="shared" si="30"/>
        <v>113.29073574426523</v>
      </c>
    </row>
    <row r="248" spans="1:17">
      <c r="A248" s="66">
        <v>41817</v>
      </c>
      <c r="B248" s="66">
        <v>41817</v>
      </c>
      <c r="C248" s="67">
        <v>0.51</v>
      </c>
      <c r="D248" s="67">
        <v>0.48</v>
      </c>
      <c r="E248" s="67">
        <v>0.59</v>
      </c>
      <c r="F248" s="68">
        <v>53157.3</v>
      </c>
      <c r="G248" s="66">
        <f t="shared" si="28"/>
        <v>41817</v>
      </c>
      <c r="H248" s="70">
        <f t="shared" si="25"/>
        <v>0</v>
      </c>
      <c r="I248" s="70">
        <f t="shared" si="25"/>
        <v>0</v>
      </c>
      <c r="J248" s="70">
        <f t="shared" si="25"/>
        <v>1.709443335930004E-2</v>
      </c>
      <c r="K248" s="70">
        <f t="shared" si="23"/>
        <v>-6.552371680253577E-3</v>
      </c>
      <c r="M248" s="66">
        <f t="shared" si="24"/>
        <v>41817</v>
      </c>
      <c r="N248" s="81">
        <f t="shared" si="30"/>
        <v>128.78787878787858</v>
      </c>
      <c r="O248" s="81">
        <f t="shared" si="30"/>
        <v>113.744075829384</v>
      </c>
      <c r="P248" s="81">
        <f t="shared" si="30"/>
        <v>104.24028268551224</v>
      </c>
      <c r="Q248" s="81">
        <f t="shared" si="30"/>
        <v>112.55083942079514</v>
      </c>
    </row>
    <row r="249" spans="1:17">
      <c r="A249" s="66">
        <v>41820</v>
      </c>
      <c r="B249" s="66">
        <v>41820</v>
      </c>
      <c r="C249" s="67">
        <v>0.51</v>
      </c>
      <c r="D249" s="67">
        <v>0.48</v>
      </c>
      <c r="E249" s="67">
        <v>0.59</v>
      </c>
      <c r="F249" s="68">
        <v>53168.22</v>
      </c>
      <c r="G249" s="66">
        <f t="shared" si="28"/>
        <v>41820</v>
      </c>
      <c r="H249" s="70">
        <f t="shared" si="25"/>
        <v>0</v>
      </c>
      <c r="I249" s="70">
        <f t="shared" si="25"/>
        <v>0</v>
      </c>
      <c r="J249" s="70">
        <f t="shared" si="25"/>
        <v>0</v>
      </c>
      <c r="K249" s="70">
        <f t="shared" si="23"/>
        <v>2.0540694347689166E-4</v>
      </c>
      <c r="M249" s="66">
        <f t="shared" si="24"/>
        <v>41820</v>
      </c>
      <c r="N249" s="83">
        <f t="shared" si="30"/>
        <v>128.78787878787858</v>
      </c>
      <c r="O249" s="81">
        <f t="shared" si="30"/>
        <v>113.744075829384</v>
      </c>
      <c r="P249" s="81">
        <f t="shared" si="30"/>
        <v>104.24028268551224</v>
      </c>
      <c r="Q249" s="81">
        <f t="shared" si="30"/>
        <v>112.57396051924211</v>
      </c>
    </row>
    <row r="250" spans="1:17">
      <c r="C250" s="67">
        <f>MAX(C3:C249)</f>
        <v>0.628</v>
      </c>
      <c r="D250" s="67">
        <f>MAX(D3:D249)</f>
        <v>0.53700000000000003</v>
      </c>
      <c r="E250" s="67">
        <f>MAX(E3:E249)</f>
        <v>0.78</v>
      </c>
      <c r="G250" s="66" t="s">
        <v>76</v>
      </c>
      <c r="H250" s="74">
        <f>AVERAGE(H4:H249)</f>
        <v>1.0284411157068683E-3</v>
      </c>
      <c r="I250" s="74">
        <f>AVERAGE(I4:I249)</f>
        <v>5.2349914579643989E-4</v>
      </c>
      <c r="J250" s="74">
        <f>AVERAGE(J4:J249)</f>
        <v>1.6881487275032301E-4</v>
      </c>
      <c r="K250" s="74">
        <f>AVERAGE(K4:K249)</f>
        <v>4.8146441660055849E-4</v>
      </c>
      <c r="N250" s="74"/>
      <c r="O250" s="80"/>
      <c r="P250" s="80"/>
      <c r="Q250" s="80"/>
    </row>
    <row r="251" spans="1:17">
      <c r="C251" s="67">
        <f>MIN(C3:C249)</f>
        <v>0.39600000000000002</v>
      </c>
      <c r="D251" s="67">
        <f>MIN(D3:D249)</f>
        <v>0.374</v>
      </c>
      <c r="E251" s="67">
        <f>MIN(E3:E249)</f>
        <v>0.48299999999999998</v>
      </c>
      <c r="G251" s="66" t="s">
        <v>77</v>
      </c>
      <c r="H251" s="74">
        <f>STDEV(H4:H249)</f>
        <v>3.7286606014299131E-2</v>
      </c>
      <c r="I251" s="74">
        <f>STDEV(I4:I249)</f>
        <v>1.8939457335011033E-2</v>
      </c>
      <c r="J251" s="74">
        <f>STDEV(J4:J249)</f>
        <v>3.8066920104568205E-2</v>
      </c>
      <c r="K251" s="74">
        <f>STDEV(K4:K249)</f>
        <v>1.2939265458654202E-2</v>
      </c>
      <c r="N251" s="74"/>
      <c r="O251" s="80"/>
      <c r="P251" s="80"/>
      <c r="Q251" s="80"/>
    </row>
    <row r="252" spans="1:17">
      <c r="H252" s="84">
        <f>(H250+1)^246-1</f>
        <v>0.28771136565881661</v>
      </c>
      <c r="I252" s="84">
        <f>(I250+1)^246-1</f>
        <v>0.1374024311020543</v>
      </c>
      <c r="J252" s="84">
        <f>(J250+1)^246-1</f>
        <v>4.2399173326894468E-2</v>
      </c>
      <c r="K252" s="84">
        <f>(K250+1)^246-1</f>
        <v>0.1257075184307439</v>
      </c>
    </row>
    <row r="253" spans="1:17">
      <c r="K253" s="82">
        <f>K252-H252</f>
        <v>-0.16200384722807271</v>
      </c>
    </row>
    <row r="254" spans="1:17">
      <c r="K254" s="68">
        <f>128/113</f>
        <v>1.1327433628318584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14"/>
  <dimension ref="B2:I26"/>
  <sheetViews>
    <sheetView showGridLines="0" workbookViewId="0">
      <selection activeCell="B28" sqref="B28"/>
    </sheetView>
  </sheetViews>
  <sheetFormatPr defaultColWidth="9.140625" defaultRowHeight="15"/>
  <cols>
    <col min="1" max="1" width="4.5703125" style="14" customWidth="1"/>
    <col min="2" max="2" width="66.28515625" style="14" customWidth="1"/>
    <col min="3" max="4" width="16" style="14" customWidth="1"/>
    <col min="5" max="5" width="13.42578125" style="14" hidden="1" customWidth="1"/>
    <col min="6" max="7" width="11" style="14" customWidth="1"/>
    <col min="8" max="16384" width="9.140625" style="14"/>
  </cols>
  <sheetData>
    <row r="2" spans="2:9" s="20" customFormat="1" ht="22.5" customHeight="1">
      <c r="B2" s="12" t="s">
        <v>40</v>
      </c>
      <c r="C2" s="32" t="s">
        <v>34</v>
      </c>
      <c r="D2" s="32" t="s">
        <v>35</v>
      </c>
      <c r="E2" s="17" t="s">
        <v>14</v>
      </c>
      <c r="F2" s="17" t="s">
        <v>37</v>
      </c>
      <c r="G2" s="17" t="s">
        <v>36</v>
      </c>
    </row>
    <row r="3" spans="2:9" ht="35.25" customHeight="1">
      <c r="B3" s="29" t="s">
        <v>25</v>
      </c>
      <c r="C3" s="16">
        <v>43239</v>
      </c>
      <c r="D3" s="16">
        <v>43343</v>
      </c>
      <c r="E3" s="16">
        <v>86582</v>
      </c>
      <c r="F3" s="41">
        <f t="shared" ref="F3:F10" si="0">C3-D3</f>
        <v>-104</v>
      </c>
      <c r="G3" s="18">
        <f t="shared" ref="G3:G10" si="1">C3/D3-1</f>
        <v>-2.3994647347899134E-3</v>
      </c>
      <c r="H3" s="33"/>
      <c r="I3" s="34"/>
    </row>
    <row r="4" spans="2:9" ht="24.95" customHeight="1">
      <c r="B4" s="15" t="s">
        <v>39</v>
      </c>
      <c r="C4" s="16">
        <v>31582</v>
      </c>
      <c r="D4" s="16">
        <v>35356</v>
      </c>
      <c r="E4" s="16">
        <v>66938</v>
      </c>
      <c r="F4" s="41">
        <f t="shared" si="0"/>
        <v>-3774</v>
      </c>
      <c r="G4" s="18">
        <f t="shared" si="1"/>
        <v>-0.10674284421314628</v>
      </c>
      <c r="H4" s="33"/>
      <c r="I4" s="34"/>
    </row>
    <row r="5" spans="2:9" ht="24.95" customHeight="1">
      <c r="B5" s="15" t="s">
        <v>26</v>
      </c>
      <c r="C5" s="16">
        <v>36380</v>
      </c>
      <c r="D5" s="16">
        <v>31333</v>
      </c>
      <c r="E5" s="16">
        <v>67713</v>
      </c>
      <c r="F5" s="41">
        <f t="shared" si="0"/>
        <v>5047</v>
      </c>
      <c r="G5" s="18">
        <f t="shared" si="1"/>
        <v>0.16107618166150695</v>
      </c>
      <c r="H5" s="33"/>
      <c r="I5" s="34"/>
    </row>
    <row r="6" spans="2:9" ht="24.95" customHeight="1">
      <c r="B6" s="15" t="s">
        <v>27</v>
      </c>
      <c r="C6" s="16">
        <v>11228</v>
      </c>
      <c r="D6" s="16">
        <v>11238</v>
      </c>
      <c r="E6" s="16">
        <v>22466</v>
      </c>
      <c r="F6" s="41">
        <f t="shared" si="0"/>
        <v>-10</v>
      </c>
      <c r="G6" s="18">
        <f t="shared" si="1"/>
        <v>-8.8983804947495582E-4</v>
      </c>
      <c r="H6" s="33"/>
      <c r="I6" s="34"/>
    </row>
    <row r="7" spans="2:9" ht="24.95" customHeight="1">
      <c r="B7" s="15" t="s">
        <v>28</v>
      </c>
      <c r="C7" s="16">
        <v>15633</v>
      </c>
      <c r="D7" s="16">
        <v>8736</v>
      </c>
      <c r="E7" s="16">
        <v>24369</v>
      </c>
      <c r="F7" s="41">
        <f t="shared" si="0"/>
        <v>6897</v>
      </c>
      <c r="G7" s="18">
        <f t="shared" si="1"/>
        <v>0.78949175824175821</v>
      </c>
      <c r="H7" s="33"/>
      <c r="I7" s="34"/>
    </row>
    <row r="8" spans="2:9" ht="24.95" customHeight="1">
      <c r="B8" s="15" t="s">
        <v>29</v>
      </c>
      <c r="C8" s="16">
        <v>21281</v>
      </c>
      <c r="D8" s="16">
        <v>20855</v>
      </c>
      <c r="E8" s="16">
        <v>42136</v>
      </c>
      <c r="F8" s="41">
        <f t="shared" si="0"/>
        <v>426</v>
      </c>
      <c r="G8" s="18">
        <f t="shared" si="1"/>
        <v>2.0426756173579586E-2</v>
      </c>
      <c r="H8" s="33"/>
      <c r="I8" s="34"/>
    </row>
    <row r="9" spans="2:9" ht="24.95" customHeight="1">
      <c r="B9" s="15" t="s">
        <v>30</v>
      </c>
      <c r="C9" s="16">
        <v>7517</v>
      </c>
      <c r="D9" s="16">
        <v>7146</v>
      </c>
      <c r="E9" s="16">
        <v>14663</v>
      </c>
      <c r="F9" s="41">
        <f t="shared" si="0"/>
        <v>371</v>
      </c>
      <c r="G9" s="18">
        <f t="shared" si="1"/>
        <v>5.1917156451161572E-2</v>
      </c>
      <c r="H9" s="33"/>
      <c r="I9" s="34"/>
    </row>
    <row r="10" spans="2:9" ht="24.95" customHeight="1">
      <c r="B10" s="19" t="s">
        <v>38</v>
      </c>
      <c r="C10" s="30">
        <v>166860</v>
      </c>
      <c r="D10" s="30">
        <f>SUM(D3:D9)</f>
        <v>158007</v>
      </c>
      <c r="E10" s="30">
        <f>SUM(E3:E9)</f>
        <v>324867</v>
      </c>
      <c r="F10" s="35">
        <f t="shared" si="0"/>
        <v>8853</v>
      </c>
      <c r="G10" s="31">
        <f t="shared" si="1"/>
        <v>5.602916326491858E-2</v>
      </c>
      <c r="H10" s="33"/>
      <c r="I10" s="33"/>
    </row>
    <row r="11" spans="2:9" ht="15.75" customHeight="1">
      <c r="B11" s="21"/>
      <c r="C11" s="22"/>
      <c r="D11" s="22"/>
      <c r="E11" s="22"/>
      <c r="F11" s="22"/>
      <c r="G11" s="22"/>
    </row>
    <row r="12" spans="2:9" ht="24.95" customHeight="1">
      <c r="B12" s="23" t="s">
        <v>33</v>
      </c>
      <c r="C12" s="24">
        <v>111622</v>
      </c>
      <c r="D12" s="24">
        <f>223425-C12</f>
        <v>111803</v>
      </c>
      <c r="E12" s="24">
        <v>223425</v>
      </c>
      <c r="F12" s="46">
        <f>C12-D12</f>
        <v>-181</v>
      </c>
      <c r="G12" s="25">
        <f>C12/D12-1</f>
        <v>-1.6189189914402879E-3</v>
      </c>
    </row>
    <row r="13" spans="2:9" ht="24.95" customHeight="1">
      <c r="B13" s="23" t="s">
        <v>31</v>
      </c>
      <c r="C13" s="24">
        <v>21602</v>
      </c>
      <c r="D13" s="24">
        <f>43167-C13</f>
        <v>21565</v>
      </c>
      <c r="E13" s="24">
        <v>43167</v>
      </c>
      <c r="F13" s="46">
        <f>C13-D13</f>
        <v>37</v>
      </c>
      <c r="G13" s="25">
        <f>C13/D13-1</f>
        <v>1.7157431022489789E-3</v>
      </c>
    </row>
    <row r="14" spans="2:9" ht="24.95" customHeight="1">
      <c r="B14" s="23" t="s">
        <v>32</v>
      </c>
      <c r="C14" s="24">
        <v>33636</v>
      </c>
      <c r="D14" s="24">
        <f>58275-C14</f>
        <v>24639</v>
      </c>
      <c r="E14" s="24">
        <v>58275</v>
      </c>
      <c r="F14" s="46">
        <f>C14-D14</f>
        <v>8997</v>
      </c>
      <c r="G14" s="25">
        <f>C14/D14-1</f>
        <v>0.36515280652623883</v>
      </c>
    </row>
    <row r="15" spans="2:9" ht="24.95" customHeight="1">
      <c r="B15" s="23" t="s">
        <v>32</v>
      </c>
      <c r="C15" s="24">
        <v>33636</v>
      </c>
      <c r="D15" s="24">
        <f>58275-C15</f>
        <v>24639</v>
      </c>
      <c r="E15" s="24">
        <v>58275</v>
      </c>
      <c r="F15" s="46">
        <f>C15-D15</f>
        <v>8997</v>
      </c>
      <c r="G15" s="25">
        <f>C15/D15-1</f>
        <v>0.36515280652623883</v>
      </c>
    </row>
    <row r="16" spans="2:9">
      <c r="C16" s="33"/>
      <c r="D16" s="33"/>
    </row>
    <row r="17" spans="2:7">
      <c r="B17" s="36" t="s">
        <v>30</v>
      </c>
      <c r="C17" s="40">
        <v>5147</v>
      </c>
      <c r="D17" s="40">
        <f>13798-C17</f>
        <v>8651</v>
      </c>
    </row>
    <row r="18" spans="2:7">
      <c r="D18" s="48"/>
      <c r="F18" s="33"/>
      <c r="G18" s="36"/>
    </row>
    <row r="19" spans="2:7">
      <c r="G19" s="36"/>
    </row>
    <row r="22" spans="2:7">
      <c r="C22" s="47"/>
    </row>
    <row r="26" spans="2:7">
      <c r="B26" s="37"/>
      <c r="C26" s="38"/>
      <c r="D26" s="39"/>
    </row>
  </sheetData>
  <pageMargins left="0.511811024" right="0.511811024" top="0.78740157499999996" bottom="0.78740157499999996" header="0.31496062000000002" footer="0.31496062000000002"/>
  <pageSetup orientation="portrait" r:id="rId1"/>
  <ignoredErrors>
    <ignoredError sqref="G10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2">
    <tabColor theme="4" tint="0.59999389629810485"/>
  </sheetPr>
  <dimension ref="A16:N42"/>
  <sheetViews>
    <sheetView showGridLines="0" zoomScale="90" zoomScaleNormal="90" workbookViewId="0">
      <selection activeCell="B20" sqref="B20"/>
    </sheetView>
  </sheetViews>
  <sheetFormatPr defaultColWidth="9.140625" defaultRowHeight="12.75"/>
  <cols>
    <col min="1" max="1" width="9.140625" style="2"/>
    <col min="2" max="2" width="12.7109375" style="1" bestFit="1" customWidth="1"/>
    <col min="3" max="3" width="9.140625" style="1"/>
    <col min="4" max="7" width="9.140625" style="2"/>
    <col min="8" max="9" width="11.28515625" style="2" bestFit="1" customWidth="1"/>
    <col min="10" max="13" width="9.140625" style="2"/>
    <col min="14" max="14" width="11.28515625" style="2" bestFit="1" customWidth="1"/>
    <col min="15" max="16384" width="9.140625" style="2"/>
  </cols>
  <sheetData>
    <row r="16" spans="2:3">
      <c r="B16" s="1" t="s">
        <v>7</v>
      </c>
      <c r="C16" s="1" t="s">
        <v>8</v>
      </c>
    </row>
    <row r="17" spans="1:4">
      <c r="A17" s="2" t="s">
        <v>41</v>
      </c>
      <c r="B17" s="9">
        <v>49.9</v>
      </c>
      <c r="C17" s="10"/>
    </row>
    <row r="18" spans="1:4">
      <c r="A18" s="2" t="s">
        <v>9</v>
      </c>
      <c r="B18" s="11">
        <f>B17-C17</f>
        <v>49.9</v>
      </c>
      <c r="C18" s="9">
        <v>95.5</v>
      </c>
    </row>
    <row r="19" spans="1:4">
      <c r="A19" s="2" t="s">
        <v>10</v>
      </c>
      <c r="B19" s="11">
        <f>B17+C18-C19</f>
        <v>139</v>
      </c>
      <c r="C19" s="9">
        <v>6.4</v>
      </c>
      <c r="D19" s="49"/>
    </row>
    <row r="20" spans="1:4">
      <c r="A20" s="2" t="s">
        <v>11</v>
      </c>
      <c r="B20" s="11">
        <f>B17+C18-C19-C20</f>
        <v>43.400000000000006</v>
      </c>
      <c r="C20" s="9">
        <v>95.6</v>
      </c>
    </row>
    <row r="21" spans="1:4" hidden="1">
      <c r="B21" s="11"/>
      <c r="C21" s="9"/>
    </row>
    <row r="22" spans="1:4">
      <c r="A22" s="2" t="s">
        <v>42</v>
      </c>
      <c r="B22" s="11">
        <v>43.4</v>
      </c>
      <c r="C22" s="9"/>
    </row>
    <row r="23" spans="1:4">
      <c r="A23" s="2" t="s">
        <v>12</v>
      </c>
      <c r="B23" s="11">
        <f>B22</f>
        <v>43.4</v>
      </c>
      <c r="C23" s="9">
        <v>131.6</v>
      </c>
    </row>
    <row r="24" spans="1:4">
      <c r="A24" s="2" t="s">
        <v>43</v>
      </c>
      <c r="B24" s="11">
        <f>B23+C23</f>
        <v>175</v>
      </c>
      <c r="C24" s="10"/>
    </row>
    <row r="26" spans="1:4">
      <c r="A26" s="3"/>
    </row>
    <row r="27" spans="1:4">
      <c r="B27" s="4"/>
    </row>
    <row r="29" spans="1:4">
      <c r="B29" s="5"/>
    </row>
    <row r="35" spans="8:14">
      <c r="N35" s="5"/>
    </row>
    <row r="37" spans="8:14">
      <c r="H37" s="7"/>
    </row>
    <row r="38" spans="8:14">
      <c r="H38" s="8"/>
      <c r="I38" s="8"/>
    </row>
    <row r="39" spans="8:14">
      <c r="H39" s="8"/>
      <c r="I39" s="8"/>
    </row>
    <row r="42" spans="8:14">
      <c r="K42" s="6"/>
    </row>
  </sheetData>
  <pageMargins left="0.78740157499999996" right="0.78740157499999996" top="0.984251969" bottom="0.984251969" header="0.5" footer="0.5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Plan5">
    <tabColor theme="4" tint="0.59999389629810485"/>
  </sheetPr>
  <dimension ref="C8:F15"/>
  <sheetViews>
    <sheetView showGridLines="0" workbookViewId="0">
      <selection activeCell="M43" sqref="M43"/>
    </sheetView>
  </sheetViews>
  <sheetFormatPr defaultRowHeight="12.75"/>
  <cols>
    <col min="3" max="3" width="14.28515625" bestFit="1" customWidth="1"/>
    <col min="4" max="4" width="11" bestFit="1" customWidth="1"/>
  </cols>
  <sheetData>
    <row r="8" spans="3:6">
      <c r="D8" t="s">
        <v>5</v>
      </c>
      <c r="E8" t="s">
        <v>6</v>
      </c>
      <c r="F8" t="s">
        <v>14</v>
      </c>
    </row>
    <row r="9" spans="3:6">
      <c r="C9" s="26" t="s">
        <v>23</v>
      </c>
      <c r="D9" s="27">
        <v>261626</v>
      </c>
      <c r="E9" s="28">
        <f>523047-D9</f>
        <v>261421</v>
      </c>
      <c r="F9" s="28">
        <f>D9+E9</f>
        <v>523047</v>
      </c>
    </row>
    <row r="10" spans="3:6">
      <c r="C10" t="s">
        <v>24</v>
      </c>
      <c r="D10" s="27">
        <v>6407</v>
      </c>
      <c r="E10">
        <v>0</v>
      </c>
      <c r="F10" s="28">
        <f>D10+E10</f>
        <v>6407</v>
      </c>
    </row>
    <row r="11" spans="3:6">
      <c r="D11" s="28">
        <f>SUM(D9:D10)</f>
        <v>268033</v>
      </c>
      <c r="E11" s="28">
        <f>SUM(E9:E10)</f>
        <v>261421</v>
      </c>
      <c r="F11" s="28">
        <f>D11+E11</f>
        <v>529454</v>
      </c>
    </row>
    <row r="15" spans="3:6">
      <c r="C15" s="26"/>
    </row>
  </sheetData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B7482E619B1E4E8516633D82393ACE" ma:contentTypeVersion="18" ma:contentTypeDescription="Crie um novo documento." ma:contentTypeScope="" ma:versionID="17b1390fc6f3fd96174831a710c7553b">
  <xsd:schema xmlns:xsd="http://www.w3.org/2001/XMLSchema" xmlns:xs="http://www.w3.org/2001/XMLSchema" xmlns:p="http://schemas.microsoft.com/office/2006/metadata/properties" xmlns:ns2="145a7075-aba4-4158-a624-08d0839d3790" xmlns:ns3="5b239a6a-63aa-40e4-ad75-9b3044a77272" xmlns:ns4="561c0536-6251-4678-bf9d-416b3d84a4ab" targetNamespace="http://schemas.microsoft.com/office/2006/metadata/properties" ma:root="true" ma:fieldsID="71a5ace0488c3ca3fcd0eb8d0bc76f45" ns2:_="" ns3:_="" ns4:_="">
    <xsd:import namespace="145a7075-aba4-4158-a624-08d0839d3790"/>
    <xsd:import namespace="5b239a6a-63aa-40e4-ad75-9b3044a77272"/>
    <xsd:import namespace="561c0536-6251-4678-bf9d-416b3d84a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5a7075-aba4-4158-a624-08d0839d37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3ac2bffd-1815-43d3-b1bf-a613e7ba78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239a6a-63aa-40e4-ad75-9b3044a7727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1c0536-6251-4678-bf9d-416b3d84a4a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c6f4b20-d6c6-4c16-863a-8b2125fa2c87}" ma:internalName="TaxCatchAll" ma:showField="CatchAllData" ma:web="561c0536-6251-4678-bf9d-416b3d84a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5a7075-aba4-4158-a624-08d0839d3790">
      <Terms xmlns="http://schemas.microsoft.com/office/infopath/2007/PartnerControls"/>
    </lcf76f155ced4ddcb4097134ff3c332f>
    <TaxCatchAll xmlns="561c0536-6251-4678-bf9d-416b3d84a4ab" xsi:nil="true"/>
  </documentManagement>
</p:properties>
</file>

<file path=customXml/itemProps1.xml><?xml version="1.0" encoding="utf-8"?>
<ds:datastoreItem xmlns:ds="http://schemas.openxmlformats.org/officeDocument/2006/customXml" ds:itemID="{7EE80B49-06AE-45B4-8BA7-5E34ED113C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432BBB-ECF4-46AF-942A-4404CED670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5a7075-aba4-4158-a624-08d0839d3790"/>
    <ds:schemaRef ds:uri="5b239a6a-63aa-40e4-ad75-9b3044a77272"/>
    <ds:schemaRef ds:uri="561c0536-6251-4678-bf9d-416b3d84a4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AC115E-0D40-4C8D-BF4F-5AFCF0A7DB20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145a7075-aba4-4158-a624-08d0839d3790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5b239a6a-63aa-40e4-ad75-9b3044a77272"/>
    <ds:schemaRef ds:uri="http://www.w3.org/XML/1998/namespace"/>
    <ds:schemaRef ds:uri="561c0536-6251-4678-bf9d-416b3d84a4a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23</vt:i4>
      </vt:variant>
      <vt:variant>
        <vt:lpstr>Intervalos Nomeados</vt:lpstr>
      </vt:variant>
      <vt:variant>
        <vt:i4>9</vt:i4>
      </vt:variant>
    </vt:vector>
  </HeadingPairs>
  <TitlesOfParts>
    <vt:vector size="32" baseType="lpstr">
      <vt:lpstr>Resumo Negociação (3)</vt:lpstr>
      <vt:lpstr>Index</vt:lpstr>
      <vt:lpstr>Movimentação Empréstimos (2)</vt:lpstr>
      <vt:lpstr>Movimentação Empréstimos</vt:lpstr>
      <vt:lpstr>Ebitda (2)</vt:lpstr>
      <vt:lpstr>ações (2)</vt:lpstr>
      <vt:lpstr>Despesas por natureza</vt:lpstr>
      <vt:lpstr>grafico fluxo de caixa</vt:lpstr>
      <vt:lpstr>Plan3</vt:lpstr>
      <vt:lpstr>estrutura de capital</vt:lpstr>
      <vt:lpstr>01. Income Statement</vt:lpstr>
      <vt:lpstr>02. BS</vt:lpstr>
      <vt:lpstr>03. CF</vt:lpstr>
      <vt:lpstr>04. EBITDA</vt:lpstr>
      <vt:lpstr>05. Net Debt</vt:lpstr>
      <vt:lpstr>06. Installed Capacity</vt:lpstr>
      <vt:lpstr>07. Shares</vt:lpstr>
      <vt:lpstr>08. Income Statement</vt:lpstr>
      <vt:lpstr>09. BS</vt:lpstr>
      <vt:lpstr>10. CF</vt:lpstr>
      <vt:lpstr>11. EBITDA</vt:lpstr>
      <vt:lpstr>12. Net Debt</vt:lpstr>
      <vt:lpstr>Plan1</vt:lpstr>
      <vt:lpstr>'04. EBITDA'!Area_de_impressao</vt:lpstr>
      <vt:lpstr>'05. Net Debt'!Area_de_impressao</vt:lpstr>
      <vt:lpstr>'06. Installed Capacity'!Area_de_impressao</vt:lpstr>
      <vt:lpstr>'07. Shares'!Area_de_impressao</vt:lpstr>
      <vt:lpstr>'11. EBITDA'!Area_de_impressao</vt:lpstr>
      <vt:lpstr>'12. Net Debt'!Area_de_impressao</vt:lpstr>
      <vt:lpstr>Index!Area_de_impressao</vt:lpstr>
      <vt:lpstr>'Movimentação Empréstimos'!Area_de_impressao</vt:lpstr>
      <vt:lpstr>'Movimentação Empréstimos (2)'!Area_de_impressao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cj010583</dc:creator>
  <cp:lastModifiedBy>Raquel Turano de Souza</cp:lastModifiedBy>
  <cp:lastPrinted>2015-09-15T20:09:25Z</cp:lastPrinted>
  <dcterms:created xsi:type="dcterms:W3CDTF">2013-11-06T09:38:43Z</dcterms:created>
  <dcterms:modified xsi:type="dcterms:W3CDTF">2026-08-06T16:05:26Z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0x01010092B7482E619B1E4E8516633D82393ACE</vt:lpwstr>
  </property>
  <property fmtid="{D5CDD505-2E9C-101B-9397-08002B2CF9AE}" pid="3" name="MediaServiceImageTags">
    <vt:lpwstr/>
  </property>
</Properties>
</file>