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2T25/10.Planilha de Fundamentos/"/>
    </mc:Choice>
  </mc:AlternateContent>
  <xr:revisionPtr revIDLastSave="68" documentId="8_{8C299D4E-F49D-4A97-AFFC-F3A600A7B5E0}" xr6:coauthVersionLast="47" xr6:coauthVersionMax="47" xr10:uidLastSave="{1FCBED58-5F64-47F4-BF53-8EF3A47AC037}"/>
  <bookViews>
    <workbookView xWindow="-120" yWindow="-120" windowWidth="29040" windowHeight="15840" tabRatio="926" firstSheet="1" activeTab="1" xr2:uid="{00000000-000D-0000-FFFF-FFFF00000000}"/>
  </bookViews>
  <sheets>
    <sheet name="Resumo Negociação (3)" sheetId="38" state="hidden" r:id="rId1"/>
    <sheet name="Index" sheetId="66" r:id="rId2"/>
    <sheet name="Movimentação Empréstimos (2)" sheetId="32" state="hidden" r:id="rId3"/>
    <sheet name="Movimentação Empréstimos" sheetId="31" state="hidden" r:id="rId4"/>
    <sheet name="Ebitda (2)" sheetId="30" state="hidden" r:id="rId5"/>
    <sheet name="ações (2)" sheetId="20" state="hidden" r:id="rId6"/>
    <sheet name="Despesas por natureza" sheetId="14" state="hidden" r:id="rId7"/>
    <sheet name="grafico fluxo de caixa" sheetId="9" state="hidden" r:id="rId8"/>
    <sheet name="Plan3" sheetId="6" state="hidden" r:id="rId9"/>
    <sheet name="estrutura de capital" sheetId="34" state="hidden" r:id="rId10"/>
    <sheet name="01. Income Statement" sheetId="62" r:id="rId11"/>
    <sheet name="02. BS" sheetId="59" r:id="rId12"/>
    <sheet name="03. CF" sheetId="63" r:id="rId13"/>
    <sheet name="04. EBITDA" sheetId="64" r:id="rId14"/>
    <sheet name="05. Net Debt" sheetId="60" r:id="rId15"/>
    <sheet name="06. Installed Capacity" sheetId="67" r:id="rId16"/>
    <sheet name="07. Shares" sheetId="18" r:id="rId17"/>
    <sheet name="08. Income Statement" sheetId="54" r:id="rId18"/>
    <sheet name="09. BS" sheetId="55" r:id="rId19"/>
    <sheet name="10. CF" sheetId="56" r:id="rId20"/>
    <sheet name="11. EBITDA" sheetId="13" r:id="rId21"/>
    <sheet name="12. Net Debt" sheetId="11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'04. EBITDA'!$A$1:$AS$19</definedName>
    <definedName name="_xlnm.Print_Area" localSheetId="14">'05. Net Debt'!$A$1:$AL$34</definedName>
    <definedName name="_xlnm.Print_Area" localSheetId="15">'06. Installed Capacity'!$A$1:$B$18</definedName>
    <definedName name="_xlnm.Print_Area" localSheetId="16">'07. Shares'!$A$1:$AE$28</definedName>
    <definedName name="_xlnm.Print_Area" localSheetId="20">'11. EBITDA'!$A$1:$AY$19</definedName>
    <definedName name="_xlnm.Print_Area" localSheetId="21">'12. Net Debt'!$A$1:$AQ$31</definedName>
    <definedName name="_xlnm.Print_Area" localSheetId="1">Index!$A$1:$H$32</definedName>
    <definedName name="_xlnm.Print_Area" localSheetId="3">'Movimentação Empréstimos'!$B$2:$E$11</definedName>
    <definedName name="_xlnm.Print_Area" localSheetId="2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10">#REF!</definedName>
    <definedName name="Banin" localSheetId="11">#REF!</definedName>
    <definedName name="Banin" localSheetId="12">#REF!</definedName>
    <definedName name="Banin" localSheetId="13">#REF!</definedName>
    <definedName name="Banin" localSheetId="14">#REF!</definedName>
    <definedName name="Banin" localSheetId="15">#REF!</definedName>
    <definedName name="Banin">#REF!</definedName>
    <definedName name="BBrasil" localSheetId="10">#REF!</definedName>
    <definedName name="BBrasil" localSheetId="11">#REF!</definedName>
    <definedName name="BBrasil" localSheetId="12">#REF!</definedName>
    <definedName name="BBrasil" localSheetId="13">#REF!</definedName>
    <definedName name="BBrasil" localSheetId="14">#REF!</definedName>
    <definedName name="BBrasil" localSheetId="15">#REF!</definedName>
    <definedName name="BBrasil">#REF!</definedName>
    <definedName name="BE_1" localSheetId="10">#REF!</definedName>
    <definedName name="BE_1" localSheetId="11">#REF!</definedName>
    <definedName name="BE_1" localSheetId="12">#REF!</definedName>
    <definedName name="BE_1" localSheetId="13">#REF!</definedName>
    <definedName name="BE_1" localSheetId="14">#REF!</definedName>
    <definedName name="BE_1" localSheetId="15">#REF!</definedName>
    <definedName name="BE_1">#REF!</definedName>
    <definedName name="BE_2" localSheetId="10">#REF!</definedName>
    <definedName name="BE_2" localSheetId="11">#REF!</definedName>
    <definedName name="BE_2" localSheetId="12">#REF!</definedName>
    <definedName name="BE_2" localSheetId="13">#REF!</definedName>
    <definedName name="BE_2" localSheetId="14">#REF!</definedName>
    <definedName name="BE_2" localSheetId="15">#REF!</definedName>
    <definedName name="BE_2">#REF!</definedName>
    <definedName name="BE_3" localSheetId="10">#REF!</definedName>
    <definedName name="BE_3" localSheetId="11">#REF!</definedName>
    <definedName name="BE_3" localSheetId="12">#REF!</definedName>
    <definedName name="BE_3" localSheetId="13">#REF!</definedName>
    <definedName name="BE_3" localSheetId="14">#REF!</definedName>
    <definedName name="BE_3" localSheetId="15">#REF!</definedName>
    <definedName name="BE_3">#REF!</definedName>
    <definedName name="BE_ASPP" localSheetId="10">#REF!</definedName>
    <definedName name="BE_ASPP" localSheetId="11">#REF!</definedName>
    <definedName name="BE_ASPP" localSheetId="12">#REF!</definedName>
    <definedName name="BE_ASPP" localSheetId="13">#REF!</definedName>
    <definedName name="BE_ASPP" localSheetId="14">#REF!</definedName>
    <definedName name="BE_ASPP" localSheetId="15">#REF!</definedName>
    <definedName name="BE_ASPP">#REF!</definedName>
    <definedName name="BE_BR" localSheetId="10">#REF!</definedName>
    <definedName name="BE_BR" localSheetId="11">#REF!</definedName>
    <definedName name="BE_BR" localSheetId="12">#REF!</definedName>
    <definedName name="BE_BR" localSheetId="13">#REF!</definedName>
    <definedName name="BE_BR" localSheetId="14">#REF!</definedName>
    <definedName name="BE_BR" localSheetId="15">#REF!</definedName>
    <definedName name="BE_BR">#REF!</definedName>
    <definedName name="BE_BR2" localSheetId="10">#REF!</definedName>
    <definedName name="BE_BR2" localSheetId="11">#REF!</definedName>
    <definedName name="BE_BR2" localSheetId="12">#REF!</definedName>
    <definedName name="BE_BR2" localSheetId="13">#REF!</definedName>
    <definedName name="BE_BR2" localSheetId="14">#REF!</definedName>
    <definedName name="BE_BR2" localSheetId="15">#REF!</definedName>
    <definedName name="BE_BR2">#REF!</definedName>
    <definedName name="BE_BR3" localSheetId="10">#REF!</definedName>
    <definedName name="BE_BR3" localSheetId="11">#REF!</definedName>
    <definedName name="BE_BR3" localSheetId="12">#REF!</definedName>
    <definedName name="BE_BR3" localSheetId="13">#REF!</definedName>
    <definedName name="BE_BR3" localSheetId="14">#REF!</definedName>
    <definedName name="BE_BR3" localSheetId="15">#REF!</definedName>
    <definedName name="BE_BR3">#REF!</definedName>
    <definedName name="BE_MOVPP" localSheetId="10">#REF!</definedName>
    <definedName name="BE_MOVPP" localSheetId="11">#REF!</definedName>
    <definedName name="BE_MOVPP" localSheetId="12">#REF!</definedName>
    <definedName name="BE_MOVPP" localSheetId="13">#REF!</definedName>
    <definedName name="BE_MOVPP" localSheetId="14">#REF!</definedName>
    <definedName name="BE_MOVPP" localSheetId="15">#REF!</definedName>
    <definedName name="BE_MOVPP">#REF!</definedName>
    <definedName name="BE_MOVPP2" localSheetId="10">#REF!</definedName>
    <definedName name="BE_MOVPP2" localSheetId="11">#REF!</definedName>
    <definedName name="BE_MOVPP2" localSheetId="12">#REF!</definedName>
    <definedName name="BE_MOVPP2" localSheetId="13">#REF!</definedName>
    <definedName name="BE_MOVPP2" localSheetId="14">#REF!</definedName>
    <definedName name="BE_MOVPP2" localSheetId="15">#REF!</definedName>
    <definedName name="BE_MOVPP2">#REF!</definedName>
    <definedName name="BE_MOVPP3" localSheetId="10">#REF!</definedName>
    <definedName name="BE_MOVPP3" localSheetId="11">#REF!</definedName>
    <definedName name="BE_MOVPP3" localSheetId="12">#REF!</definedName>
    <definedName name="BE_MOVPP3" localSheetId="13">#REF!</definedName>
    <definedName name="BE_MOVPP3" localSheetId="14">#REF!</definedName>
    <definedName name="BE_MOVPP3" localSheetId="15">#REF!</definedName>
    <definedName name="BE_MOVPP3">#REF!</definedName>
    <definedName name="BE_PAG" localSheetId="10">#REF!</definedName>
    <definedName name="BE_PAG" localSheetId="11">#REF!</definedName>
    <definedName name="BE_PAG" localSheetId="12">#REF!</definedName>
    <definedName name="BE_PAG" localSheetId="13">#REF!</definedName>
    <definedName name="BE_PAG" localSheetId="14">#REF!</definedName>
    <definedName name="BE_PAG" localSheetId="15">#REF!</definedName>
    <definedName name="BE_PAG">#REF!</definedName>
    <definedName name="BE_PGPS" localSheetId="10">#REF!</definedName>
    <definedName name="BE_PGPS" localSheetId="11">#REF!</definedName>
    <definedName name="BE_PGPS" localSheetId="12">#REF!</definedName>
    <definedName name="BE_PGPS" localSheetId="13">#REF!</definedName>
    <definedName name="BE_PGPS" localSheetId="14">#REF!</definedName>
    <definedName name="BE_PGPS" localSheetId="15">#REF!</definedName>
    <definedName name="BE_PGPS">#REF!</definedName>
    <definedName name="BE_PP" localSheetId="10">#REF!</definedName>
    <definedName name="BE_PP" localSheetId="11">#REF!</definedName>
    <definedName name="BE_PP" localSheetId="12">#REF!</definedName>
    <definedName name="BE_PP" localSheetId="13">#REF!</definedName>
    <definedName name="BE_PP" localSheetId="14">#REF!</definedName>
    <definedName name="BE_PP" localSheetId="15">#REF!</definedName>
    <definedName name="BE_PP">#REF!</definedName>
    <definedName name="BE_PROJ" localSheetId="10">#REF!</definedName>
    <definedName name="BE_PROJ" localSheetId="11">#REF!</definedName>
    <definedName name="BE_PROJ" localSheetId="12">#REF!</definedName>
    <definedName name="BE_PROJ" localSheetId="13">#REF!</definedName>
    <definedName name="BE_PROJ" localSheetId="14">#REF!</definedName>
    <definedName name="BE_PROJ" localSheetId="15">#REF!</definedName>
    <definedName name="BE_PROJ">#REF!</definedName>
    <definedName name="BE_PROJ2" localSheetId="10">#REF!</definedName>
    <definedName name="BE_PROJ2" localSheetId="11">#REF!</definedName>
    <definedName name="BE_PROJ2" localSheetId="12">#REF!</definedName>
    <definedName name="BE_PROJ2" localSheetId="13">#REF!</definedName>
    <definedName name="BE_PROJ2" localSheetId="14">#REF!</definedName>
    <definedName name="BE_PROJ2" localSheetId="15">#REF!</definedName>
    <definedName name="BE_PROJ2">#REF!</definedName>
    <definedName name="BE_PROJ3" localSheetId="10">#REF!</definedName>
    <definedName name="BE_PROJ3" localSheetId="11">#REF!</definedName>
    <definedName name="BE_PROJ3" localSheetId="12">#REF!</definedName>
    <definedName name="BE_PROJ3" localSheetId="13">#REF!</definedName>
    <definedName name="BE_PROJ3" localSheetId="14">#REF!</definedName>
    <definedName name="BE_PROJ3" localSheetId="15">#REF!</definedName>
    <definedName name="BE_PROJ3">#REF!</definedName>
    <definedName name="BE_PS" localSheetId="10">#REF!</definedName>
    <definedName name="BE_PS" localSheetId="11">#REF!</definedName>
    <definedName name="BE_PS" localSheetId="12">#REF!</definedName>
    <definedName name="BE_PS" localSheetId="13">#REF!</definedName>
    <definedName name="BE_PS" localSheetId="14">#REF!</definedName>
    <definedName name="BE_PS" localSheetId="15">#REF!</definedName>
    <definedName name="BE_PS">#REF!</definedName>
    <definedName name="BE_PS2" localSheetId="10">#REF!</definedName>
    <definedName name="BE_PS2" localSheetId="11">#REF!</definedName>
    <definedName name="BE_PS2" localSheetId="12">#REF!</definedName>
    <definedName name="BE_PS2" localSheetId="13">#REF!</definedName>
    <definedName name="BE_PS2" localSheetId="14">#REF!</definedName>
    <definedName name="BE_PS2" localSheetId="15">#REF!</definedName>
    <definedName name="BE_PS2">#REF!</definedName>
    <definedName name="BE_QTDP" localSheetId="10">#REF!</definedName>
    <definedName name="BE_QTDP" localSheetId="11">#REF!</definedName>
    <definedName name="BE_QTDP" localSheetId="12">#REF!</definedName>
    <definedName name="BE_QTDP" localSheetId="13">#REF!</definedName>
    <definedName name="BE_QTDP" localSheetId="14">#REF!</definedName>
    <definedName name="BE_QTDP" localSheetId="15">#REF!</definedName>
    <definedName name="BE_QTDP">#REF!</definedName>
    <definedName name="BENEF" localSheetId="10">#REF!</definedName>
    <definedName name="BENEF" localSheetId="11">#REF!</definedName>
    <definedName name="BENEF" localSheetId="12">#REF!</definedName>
    <definedName name="BENEF" localSheetId="13">#REF!</definedName>
    <definedName name="BENEF" localSheetId="14">#REF!</definedName>
    <definedName name="BENEF" localSheetId="15">#REF!</definedName>
    <definedName name="BENEF">#REF!</definedName>
    <definedName name="Bes" localSheetId="10">'[3]Detalhe Aplicações'!#REF!</definedName>
    <definedName name="Bes" localSheetId="11">'[3]Detalhe Aplicações'!#REF!</definedName>
    <definedName name="Bes" localSheetId="12">'[3]Detalhe Aplicações'!#REF!</definedName>
    <definedName name="Bes" localSheetId="13">'[3]Detalhe Aplicações'!#REF!</definedName>
    <definedName name="Bes" localSheetId="14">'[3]Detalhe Aplicações'!#REF!</definedName>
    <definedName name="Bes" localSheetId="15">'[3]Detalhe Aplicações'!#REF!</definedName>
    <definedName name="Bes">'[3]Detalhe Aplicações'!#REF!</definedName>
    <definedName name="Botica_Valor_Pago_pelo_Cedente" localSheetId="10">#REF!</definedName>
    <definedName name="Botica_Valor_Pago_pelo_Cedente" localSheetId="11">#REF!</definedName>
    <definedName name="Botica_Valor_Pago_pelo_Cedente" localSheetId="12">#REF!</definedName>
    <definedName name="Botica_Valor_Pago_pelo_Cedente" localSheetId="13">#REF!</definedName>
    <definedName name="Botica_Valor_Pago_pelo_Cedente" localSheetId="14">#REF!</definedName>
    <definedName name="Botica_Valor_Pago_pelo_Cedente" localSheetId="15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10">#REF!</definedName>
    <definedName name="BP_A" localSheetId="11">#REF!</definedName>
    <definedName name="BP_A" localSheetId="12">#REF!</definedName>
    <definedName name="BP_A" localSheetId="13">#REF!</definedName>
    <definedName name="BP_A" localSheetId="14">#REF!</definedName>
    <definedName name="BP_A" localSheetId="15">#REF!</definedName>
    <definedName name="BP_A">#REF!</definedName>
    <definedName name="Branco" localSheetId="10">#REF!</definedName>
    <definedName name="Branco" localSheetId="11">#REF!</definedName>
    <definedName name="Branco" localSheetId="12">#REF!</definedName>
    <definedName name="Branco" localSheetId="13">#REF!</definedName>
    <definedName name="Branco" localSheetId="14">#REF!</definedName>
    <definedName name="Branco" localSheetId="15">#REF!</definedName>
    <definedName name="Branco">#REF!</definedName>
    <definedName name="C.CUSTO" localSheetId="10">#REF!</definedName>
    <definedName name="C.CUSTO" localSheetId="11">#REF!</definedName>
    <definedName name="C.CUSTO" localSheetId="12">#REF!</definedName>
    <definedName name="C.CUSTO" localSheetId="13">#REF!</definedName>
    <definedName name="C.CUSTO" localSheetId="14">#REF!</definedName>
    <definedName name="C.CUSTO" localSheetId="15">#REF!</definedName>
    <definedName name="C.CUSTO">#REF!</definedName>
    <definedName name="C_Univ" localSheetId="10">DATE(ano,1,1)</definedName>
    <definedName name="C_Univ" localSheetId="11">DATE(ano,1,1)</definedName>
    <definedName name="C_Univ" localSheetId="12">DATE(ano,1,1)</definedName>
    <definedName name="C_Univ" localSheetId="13">DATE(ano,1,1)</definedName>
    <definedName name="C_Univ" localSheetId="14">DATE(ano,1,1)</definedName>
    <definedName name="C_Univ" localSheetId="15">DATE(ano,1,1)</definedName>
    <definedName name="C_Univ" localSheetId="1">DATE(ano,1,1)</definedName>
    <definedName name="C_Univ">DATE(ano,1,1)</definedName>
    <definedName name="CADASTRO_BRANCO" localSheetId="10">[4]NovasDivInput!#REF!</definedName>
    <definedName name="CADASTRO_BRANCO" localSheetId="11">[4]NovasDivInput!#REF!</definedName>
    <definedName name="CADASTRO_BRANCO" localSheetId="12">[4]NovasDivInput!#REF!</definedName>
    <definedName name="CADASTRO_BRANCO" localSheetId="13">[4]NovasDivInput!#REF!</definedName>
    <definedName name="CADASTRO_BRANCO" localSheetId="14">[4]NovasDivInput!#REF!</definedName>
    <definedName name="CADASTRO_BRANCO" localSheetId="15">[4]NovasDivInput!#REF!</definedName>
    <definedName name="CADASTRO_BRANCO">[4]NovasDivInput!#REF!</definedName>
    <definedName name="CAPITAL" localSheetId="10">#REF!</definedName>
    <definedName name="CAPITAL" localSheetId="11">#REF!</definedName>
    <definedName name="CAPITAL" localSheetId="12">#REF!</definedName>
    <definedName name="CAPITAL" localSheetId="13">#REF!</definedName>
    <definedName name="CAPITAL" localSheetId="14">#REF!</definedName>
    <definedName name="CAPITAL" localSheetId="15">#REF!</definedName>
    <definedName name="CAPITAL">#REF!</definedName>
    <definedName name="carlos" localSheetId="10">#REF!</definedName>
    <definedName name="carlos" localSheetId="11">#REF!</definedName>
    <definedName name="carlos" localSheetId="12">#REF!</definedName>
    <definedName name="carlos" localSheetId="13">#REF!</definedName>
    <definedName name="carlos" localSheetId="14">#REF!</definedName>
    <definedName name="carlos" localSheetId="15">#REF!</definedName>
    <definedName name="carlos">#REF!</definedName>
    <definedName name="CasoMacro" localSheetId="10">#REF!</definedName>
    <definedName name="CasoMacro" localSheetId="11">#REF!</definedName>
    <definedName name="CasoMacro" localSheetId="12">#REF!</definedName>
    <definedName name="CasoMacro" localSheetId="13">#REF!</definedName>
    <definedName name="CasoMacro" localSheetId="14">#REF!</definedName>
    <definedName name="CasoMacro" localSheetId="15">#REF!</definedName>
    <definedName name="CasoMacro">#REF!</definedName>
    <definedName name="CCCC" localSheetId="10">#REF!</definedName>
    <definedName name="CCCC" localSheetId="11">#REF!</definedName>
    <definedName name="CCCC" localSheetId="12">#REF!</definedName>
    <definedName name="CCCC" localSheetId="13">#REF!</definedName>
    <definedName name="CCCC" localSheetId="14">#REF!</definedName>
    <definedName name="CCCC" localSheetId="15">#REF!</definedName>
    <definedName name="CCCC">#REF!</definedName>
    <definedName name="CCCCC" localSheetId="10">[5]NovasDivInput!#REF!</definedName>
    <definedName name="CCCCC" localSheetId="11">[5]NovasDivInput!#REF!</definedName>
    <definedName name="CCCCC" localSheetId="12">[5]NovasDivInput!#REF!</definedName>
    <definedName name="CCCCC" localSheetId="13">[5]NovasDivInput!#REF!</definedName>
    <definedName name="CCCCC" localSheetId="14">[5]NovasDivInput!#REF!</definedName>
    <definedName name="CCCCC" localSheetId="15">[5]NovasDivInput!#REF!</definedName>
    <definedName name="CCCCC">[5]NovasDivInput!#REF!</definedName>
    <definedName name="CDI" localSheetId="10">#REF!</definedName>
    <definedName name="CDI" localSheetId="11">#REF!</definedName>
    <definedName name="CDI" localSheetId="12">#REF!</definedName>
    <definedName name="CDI" localSheetId="13">#REF!</definedName>
    <definedName name="CDI" localSheetId="14">#REF!</definedName>
    <definedName name="CDI" localSheetId="15">#REF!</definedName>
    <definedName name="CDI">#REF!</definedName>
    <definedName name="CEV" localSheetId="10">#REF!</definedName>
    <definedName name="CEV" localSheetId="11">#REF!</definedName>
    <definedName name="CEV" localSheetId="12">#REF!</definedName>
    <definedName name="CEV" localSheetId="13">#REF!</definedName>
    <definedName name="CEV" localSheetId="14">#REF!</definedName>
    <definedName name="CEV" localSheetId="15">#REF!</definedName>
    <definedName name="CEV">#REF!</definedName>
    <definedName name="COMBINAÇÃO" localSheetId="10">#REF!</definedName>
    <definedName name="COMBINAÇÃO" localSheetId="11">#REF!</definedName>
    <definedName name="COMBINAÇÃO" localSheetId="12">#REF!</definedName>
    <definedName name="COMBINAÇÃO" localSheetId="13">#REF!</definedName>
    <definedName name="COMBINAÇÃO" localSheetId="14">#REF!</definedName>
    <definedName name="COMBINAÇÃO" localSheetId="15">#REF!</definedName>
    <definedName name="COMBINAÇÃO">#REF!</definedName>
    <definedName name="COMNEG" localSheetId="10">#REF!</definedName>
    <definedName name="COMNEG" localSheetId="11">#REF!</definedName>
    <definedName name="COMNEG" localSheetId="12">#REF!</definedName>
    <definedName name="COMNEG" localSheetId="13">#REF!</definedName>
    <definedName name="COMNEG" localSheetId="14">#REF!</definedName>
    <definedName name="COMNEG" localSheetId="15">#REF!</definedName>
    <definedName name="COMNEG">#REF!</definedName>
    <definedName name="COMNEG_1" localSheetId="10">#REF!</definedName>
    <definedName name="COMNEG_1" localSheetId="11">#REF!</definedName>
    <definedName name="COMNEG_1" localSheetId="12">#REF!</definedName>
    <definedName name="COMNEG_1" localSheetId="13">#REF!</definedName>
    <definedName name="COMNEG_1" localSheetId="14">#REF!</definedName>
    <definedName name="COMNEG_1" localSheetId="15">#REF!</definedName>
    <definedName name="COMNEG_1">#REF!</definedName>
    <definedName name="Corpus" localSheetId="10">'01. Income Statement'!Dom_Páscoa+60</definedName>
    <definedName name="Corpus" localSheetId="11">'02. BS'!Dom_Páscoa+60</definedName>
    <definedName name="Corpus" localSheetId="12">'03. CF'!Dom_Páscoa+60</definedName>
    <definedName name="Corpus" localSheetId="13">'04. EBITDA'!Dom_Páscoa+60</definedName>
    <definedName name="Corpus" localSheetId="14">'05. Net Debt'!Dom_Páscoa+60</definedName>
    <definedName name="Corpus" localSheetId="15">'06. Installed Capacity'!Dom_Páscoa+60</definedName>
    <definedName name="Corpus" localSheetId="1">Index!Dom_Páscoa+60</definedName>
    <definedName name="Corpus">[0]!Dom_Páscoa+60</definedName>
    <definedName name="CPI" localSheetId="10">#REF!</definedName>
    <definedName name="CPI" localSheetId="11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>#REF!</definedName>
    <definedName name="CXEQCX" localSheetId="10">#REF!</definedName>
    <definedName name="CXEQCX" localSheetId="11">#REF!</definedName>
    <definedName name="CXEQCX" localSheetId="12">#REF!</definedName>
    <definedName name="CXEQCX" localSheetId="13">#REF!</definedName>
    <definedName name="CXEQCX" localSheetId="14">#REF!</definedName>
    <definedName name="CXEQCX" localSheetId="15">#REF!</definedName>
    <definedName name="CXEQCX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Ataulização" localSheetId="10">#REF!</definedName>
    <definedName name="DataAtaulização" localSheetId="11">#REF!</definedName>
    <definedName name="DataAtaulização" localSheetId="12">#REF!</definedName>
    <definedName name="DataAtaulização" localSheetId="13">#REF!</definedName>
    <definedName name="DataAtaulização" localSheetId="14">#REF!</definedName>
    <definedName name="DataAtaulização" localSheetId="15">#REF!</definedName>
    <definedName name="DataAtaulização">#REF!</definedName>
    <definedName name="DataFim" localSheetId="10">#REF!</definedName>
    <definedName name="DataFim" localSheetId="11">#REF!</definedName>
    <definedName name="DataFim" localSheetId="12">#REF!</definedName>
    <definedName name="DataFim" localSheetId="13">#REF!</definedName>
    <definedName name="DataFim" localSheetId="14">#REF!</definedName>
    <definedName name="DataFim" localSheetId="15">#REF!</definedName>
    <definedName name="DataFim">#REF!</definedName>
    <definedName name="DataFinal">'[6]Input &amp; Macro'!$F$35:$FR$35</definedName>
    <definedName name="DataInicio" localSheetId="10">#REF!</definedName>
    <definedName name="DataInicio" localSheetId="11">#REF!</definedName>
    <definedName name="DataInicio" localSheetId="12">#REF!</definedName>
    <definedName name="DataInicio" localSheetId="13">#REF!</definedName>
    <definedName name="DataInicio" localSheetId="14">#REF!</definedName>
    <definedName name="DataInicio" localSheetId="15">#REF!</definedName>
    <definedName name="DataInicio">#REF!</definedName>
    <definedName name="DCLIREC" localSheetId="10">#REF!</definedName>
    <definedName name="DCLIREC" localSheetId="11">#REF!</definedName>
    <definedName name="DCLIREC" localSheetId="12">#REF!</definedName>
    <definedName name="DCLIREC" localSheetId="13">#REF!</definedName>
    <definedName name="DCLIREC" localSheetId="14">#REF!</definedName>
    <definedName name="DCLIREC" localSheetId="15">#REF!</definedName>
    <definedName name="DCLIREC">#REF!</definedName>
    <definedName name="DCLIREC_1" localSheetId="10">#REF!</definedName>
    <definedName name="DCLIREC_1" localSheetId="11">#REF!</definedName>
    <definedName name="DCLIREC_1" localSheetId="12">#REF!</definedName>
    <definedName name="DCLIREC_1" localSheetId="13">#REF!</definedName>
    <definedName name="DCLIREC_1" localSheetId="14">#REF!</definedName>
    <definedName name="DCLIREC_1" localSheetId="15">#REF!</definedName>
    <definedName name="DCLIREC_1">#REF!</definedName>
    <definedName name="DCLIREC_2" localSheetId="10">#REF!</definedName>
    <definedName name="DCLIREC_2" localSheetId="11">#REF!</definedName>
    <definedName name="DCLIREC_2" localSheetId="12">#REF!</definedName>
    <definedName name="DCLIREC_2" localSheetId="13">#REF!</definedName>
    <definedName name="DCLIREC_2" localSheetId="14">#REF!</definedName>
    <definedName name="DCLIREC_2" localSheetId="15">#REF!</definedName>
    <definedName name="DCLIREC_2">#REF!</definedName>
    <definedName name="Delta" localSheetId="10">#REF!</definedName>
    <definedName name="Delta" localSheetId="11">#REF!</definedName>
    <definedName name="Delta" localSheetId="12">#REF!</definedName>
    <definedName name="Delta" localSheetId="13">#REF!</definedName>
    <definedName name="Delta" localSheetId="14">#REF!</definedName>
    <definedName name="Delta" localSheetId="15">#REF!</definedName>
    <definedName name="Delta">#REF!</definedName>
    <definedName name="DEMJUD" localSheetId="10">#REF!</definedName>
    <definedName name="DEMJUD" localSheetId="11">#REF!</definedName>
    <definedName name="DEMJUD" localSheetId="12">#REF!</definedName>
    <definedName name="DEMJUD" localSheetId="13">#REF!</definedName>
    <definedName name="DEMJUD" localSheetId="14">#REF!</definedName>
    <definedName name="DEMJUD" localSheetId="15">#REF!</definedName>
    <definedName name="DEMJUD">#REF!</definedName>
    <definedName name="DEPJUD" localSheetId="10">#REF!</definedName>
    <definedName name="DEPJUD" localSheetId="11">#REF!</definedName>
    <definedName name="DEPJUD" localSheetId="12">#REF!</definedName>
    <definedName name="DEPJUD" localSheetId="13">#REF!</definedName>
    <definedName name="DEPJUD" localSheetId="14">#REF!</definedName>
    <definedName name="DEPJUD" localSheetId="15">#REF!</definedName>
    <definedName name="DEPJUD">#REF!</definedName>
    <definedName name="DEPJUD_1" localSheetId="10">#REF!</definedName>
    <definedName name="DEPJUD_1" localSheetId="11">#REF!</definedName>
    <definedName name="DEPJUD_1" localSheetId="12">#REF!</definedName>
    <definedName name="DEPJUD_1" localSheetId="13">#REF!</definedName>
    <definedName name="DEPJUD_1" localSheetId="14">#REF!</definedName>
    <definedName name="DEPJUD_1" localSheetId="15">#REF!</definedName>
    <definedName name="DEPJUD_1">#REF!</definedName>
    <definedName name="DEPJUD_MOV" localSheetId="10">#REF!</definedName>
    <definedName name="DEPJUD_MOV" localSheetId="11">#REF!</definedName>
    <definedName name="DEPJUD_MOV" localSheetId="12">#REF!</definedName>
    <definedName name="DEPJUD_MOV" localSheetId="13">#REF!</definedName>
    <definedName name="DEPJUD_MOV" localSheetId="14">#REF!</definedName>
    <definedName name="DEPJUD_MOV" localSheetId="15">#REF!</definedName>
    <definedName name="DEPJUD_MOV">#REF!</definedName>
    <definedName name="DEPRECIAÇÃO">[7]JAN!$O$199:$P$251</definedName>
    <definedName name="DESNAT" localSheetId="10">#REF!</definedName>
    <definedName name="DESNAT" localSheetId="11">#REF!</definedName>
    <definedName name="DESNAT" localSheetId="12">#REF!</definedName>
    <definedName name="DESNAT" localSheetId="13">#REF!</definedName>
    <definedName name="DESNAT" localSheetId="14">#REF!</definedName>
    <definedName name="DESNAT" localSheetId="15">#REF!</definedName>
    <definedName name="DESNAT">#REF!</definedName>
    <definedName name="DespFin">[2]BRGAAP!$E$38:$AX$38</definedName>
    <definedName name="destino_frete_natur" localSheetId="10">#REF!</definedName>
    <definedName name="destino_frete_natur" localSheetId="11">#REF!</definedName>
    <definedName name="destino_frete_natur" localSheetId="12">#REF!</definedName>
    <definedName name="destino_frete_natur" localSheetId="13">#REF!</definedName>
    <definedName name="destino_frete_natur" localSheetId="14">#REF!</definedName>
    <definedName name="destino_frete_natur" localSheetId="15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10">#REF!</definedName>
    <definedName name="DFIN" localSheetId="11">#REF!</definedName>
    <definedName name="DFIN" localSheetId="12">#REF!</definedName>
    <definedName name="DFIN" localSheetId="13">#REF!</definedName>
    <definedName name="DFIN" localSheetId="14">#REF!</definedName>
    <definedName name="DFIN" localSheetId="15">#REF!</definedName>
    <definedName name="DFIN">#REF!</definedName>
    <definedName name="Dia_trab" localSheetId="10">DATE(ano,5,1)</definedName>
    <definedName name="Dia_trab" localSheetId="11">DATE(ano,5,1)</definedName>
    <definedName name="Dia_trab" localSheetId="12">DATE(ano,5,1)</definedName>
    <definedName name="Dia_trab" localSheetId="13">DATE(ano,5,1)</definedName>
    <definedName name="Dia_trab" localSheetId="14">DATE(ano,5,1)</definedName>
    <definedName name="Dia_trab" localSheetId="15">DATE(ano,5,1)</definedName>
    <definedName name="Dia_trab" localSheetId="1">DATE(ano,5,1)</definedName>
    <definedName name="Dia_trab">DATE(ano,5,1)</definedName>
    <definedName name="dias_ano" localSheetId="10">#REF!</definedName>
    <definedName name="dias_ano" localSheetId="11">#REF!</definedName>
    <definedName name="dias_ano" localSheetId="12">#REF!</definedName>
    <definedName name="dias_ano" localSheetId="13">#REF!</definedName>
    <definedName name="dias_ano" localSheetId="14">#REF!</definedName>
    <definedName name="dias_ano" localSheetId="15">#REF!</definedName>
    <definedName name="dias_ano">#REF!</definedName>
    <definedName name="Dias_no_Per" localSheetId="10">#REF!</definedName>
    <definedName name="Dias_no_Per" localSheetId="11">#REF!</definedName>
    <definedName name="Dias_no_Per" localSheetId="12">#REF!</definedName>
    <definedName name="Dias_no_Per" localSheetId="13">#REF!</definedName>
    <definedName name="Dias_no_Per" localSheetId="14">#REF!</definedName>
    <definedName name="Dias_no_Per" localSheetId="15">#REF!</definedName>
    <definedName name="Dias_no_Per">#REF!</definedName>
    <definedName name="DiasAno360">'[6]Input &amp; Macro'!$F$21</definedName>
    <definedName name="DividaLiquida">[2]BRGAAP!$E$17:$AX$17</definedName>
    <definedName name="DIVIDENDOS" localSheetId="10">#REF!</definedName>
    <definedName name="DIVIDENDOS" localSheetId="11">#REF!</definedName>
    <definedName name="DIVIDENDOS" localSheetId="12">#REF!</definedName>
    <definedName name="DIVIDENDOS" localSheetId="13">#REF!</definedName>
    <definedName name="DIVIDENDOS" localSheetId="14">#REF!</definedName>
    <definedName name="DIVIDENDOS" localSheetId="15">#REF!</definedName>
    <definedName name="DIVIDENDOS">#REF!</definedName>
    <definedName name="DMPL" localSheetId="10">#REF!</definedName>
    <definedName name="DMPL" localSheetId="11">#REF!</definedName>
    <definedName name="DMPL" localSheetId="12">#REF!</definedName>
    <definedName name="DMPL" localSheetId="13">#REF!</definedName>
    <definedName name="DMPL" localSheetId="14">#REF!</definedName>
    <definedName name="DMPL" localSheetId="15">#REF!</definedName>
    <definedName name="DMPL">#REF!</definedName>
    <definedName name="DMPL_1" localSheetId="10">#REF!</definedName>
    <definedName name="DMPL_1" localSheetId="11">#REF!</definedName>
    <definedName name="DMPL_1" localSheetId="12">#REF!</definedName>
    <definedName name="DMPL_1" localSheetId="13">#REF!</definedName>
    <definedName name="DMPL_1" localSheetId="14">#REF!</definedName>
    <definedName name="DMPL_1" localSheetId="15">#REF!</definedName>
    <definedName name="DMPL_1">#REF!</definedName>
    <definedName name="Dom_Carna" localSheetId="10">'01. Income Statement'!Dom_Páscoa-49</definedName>
    <definedName name="Dom_Carna" localSheetId="11">'02. BS'!Dom_Páscoa-49</definedName>
    <definedName name="Dom_Carna" localSheetId="12">'03. CF'!Dom_Páscoa-49</definedName>
    <definedName name="Dom_Carna" localSheetId="13">'04. EBITDA'!Dom_Páscoa-49</definedName>
    <definedName name="Dom_Carna" localSheetId="14">'05. Net Debt'!Dom_Páscoa-49</definedName>
    <definedName name="Dom_Carna" localSheetId="15">'06. Installed Capacity'!Dom_Páscoa-49</definedName>
    <definedName name="Dom_Carna" localSheetId="1">Index!Dom_Páscoa-49</definedName>
    <definedName name="Dom_Carna">[0]!Dom_Páscoa-49</definedName>
    <definedName name="Dom_Páscoa" localSheetId="10">FLOOR(DAY(MINUTE(ano/38)/2+56)&amp;"/5/"&amp;ano,7)-34</definedName>
    <definedName name="Dom_Páscoa" localSheetId="11">FLOOR(DAY(MINUTE(ano/38)/2+56)&amp;"/5/"&amp;ano,7)-34</definedName>
    <definedName name="Dom_Páscoa" localSheetId="12">FLOOR(DAY(MINUTE(ano/38)/2+56)&amp;"/5/"&amp;ano,7)-34</definedName>
    <definedName name="Dom_Páscoa" localSheetId="13">FLOOR(DAY(MINUTE(ano/38)/2+56)&amp;"/5/"&amp;ano,7)-34</definedName>
    <definedName name="Dom_Páscoa" localSheetId="14">FLOOR(DAY(MINUTE(ano/38)/2+56)&amp;"/5/"&amp;ano,7)-34</definedName>
    <definedName name="Dom_Páscoa" localSheetId="15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10">#REF!</definedName>
    <definedName name="DRA" localSheetId="11">#REF!</definedName>
    <definedName name="DRA" localSheetId="12">#REF!</definedName>
    <definedName name="DRA" localSheetId="13">#REF!</definedName>
    <definedName name="DRA" localSheetId="14">#REF!</definedName>
    <definedName name="DRA" localSheetId="15">#REF!</definedName>
    <definedName name="DRA">#REF!</definedName>
    <definedName name="DRE" localSheetId="10">#REF!</definedName>
    <definedName name="DRE" localSheetId="11">#REF!</definedName>
    <definedName name="DRE" localSheetId="12">#REF!</definedName>
    <definedName name="DRE" localSheetId="13">#REF!</definedName>
    <definedName name="DRE" localSheetId="14">#REF!</definedName>
    <definedName name="DRE" localSheetId="15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10">#REF!</definedName>
    <definedName name="dresrdssweaswea" localSheetId="11">#REF!</definedName>
    <definedName name="dresrdssweaswea" localSheetId="12">#REF!</definedName>
    <definedName name="dresrdssweaswea" localSheetId="13">#REF!</definedName>
    <definedName name="dresrdssweaswea" localSheetId="14">#REF!</definedName>
    <definedName name="dresrdssweaswea" localSheetId="15">#REF!</definedName>
    <definedName name="dresrdssweaswea">#REF!</definedName>
    <definedName name="dv" localSheetId="10">DATE([0]!ano,1,1)</definedName>
    <definedName name="dv" localSheetId="11">DATE([0]!ano,1,1)</definedName>
    <definedName name="dv" localSheetId="12">DATE([0]!ano,1,1)</definedName>
    <definedName name="dv" localSheetId="13">DATE([0]!ano,1,1)</definedName>
    <definedName name="dv" localSheetId="14">DATE([0]!ano,1,1)</definedName>
    <definedName name="dv" localSheetId="15">DATE([0]!ano,1,1)</definedName>
    <definedName name="dv" localSheetId="1">DATE([0]!ano,1,1)</definedName>
    <definedName name="dv">DATE([0]!ano,1,1)</definedName>
    <definedName name="DVA" localSheetId="10">#REF!</definedName>
    <definedName name="DVA" localSheetId="11">#REF!</definedName>
    <definedName name="DVA" localSheetId="12">#REF!</definedName>
    <definedName name="DVA" localSheetId="13">#REF!</definedName>
    <definedName name="DVA" localSheetId="14">#REF!</definedName>
    <definedName name="DVA" localSheetId="15">#REF!</definedName>
    <definedName name="DVA">#REF!</definedName>
    <definedName name="EBITDA">[2]BRGAAP!$E$37:$AX$37</definedName>
    <definedName name="EMPFIN" localSheetId="10">#REF!</definedName>
    <definedName name="EMPFIN" localSheetId="11">#REF!</definedName>
    <definedName name="EMPFIN" localSheetId="12">#REF!</definedName>
    <definedName name="EMPFIN" localSheetId="13">#REF!</definedName>
    <definedName name="EMPFIN" localSheetId="14">#REF!</definedName>
    <definedName name="EMPFIN" localSheetId="15">#REF!</definedName>
    <definedName name="EMPFIN">#REF!</definedName>
    <definedName name="EMPFIN_1" localSheetId="10">#REF!</definedName>
    <definedName name="EMPFIN_1" localSheetId="11">#REF!</definedName>
    <definedName name="EMPFIN_1" localSheetId="12">#REF!</definedName>
    <definedName name="EMPFIN_1" localSheetId="13">#REF!</definedName>
    <definedName name="EMPFIN_1" localSheetId="14">#REF!</definedName>
    <definedName name="EMPFIN_1" localSheetId="15">#REF!</definedName>
    <definedName name="EMPFIN_1">#REF!</definedName>
    <definedName name="EMPFIN_2" localSheetId="10">#REF!</definedName>
    <definedName name="EMPFIN_2" localSheetId="11">#REF!</definedName>
    <definedName name="EMPFIN_2" localSheetId="12">#REF!</definedName>
    <definedName name="EMPFIN_2" localSheetId="13">#REF!</definedName>
    <definedName name="EMPFIN_2" localSheetId="14">#REF!</definedName>
    <definedName name="EMPFIN_2" localSheetId="15">#REF!</definedName>
    <definedName name="EMPFIN_2">#REF!</definedName>
    <definedName name="ETQ" localSheetId="10">#REF!</definedName>
    <definedName name="ETQ" localSheetId="11">#REF!</definedName>
    <definedName name="ETQ" localSheetId="12">#REF!</definedName>
    <definedName name="ETQ" localSheetId="13">#REF!</definedName>
    <definedName name="ETQ" localSheetId="14">#REF!</definedName>
    <definedName name="ETQ" localSheetId="15">#REF!</definedName>
    <definedName name="ETQ">#REF!</definedName>
    <definedName name="ETQ_1" localSheetId="10">#REF!</definedName>
    <definedName name="ETQ_1" localSheetId="11">#REF!</definedName>
    <definedName name="ETQ_1" localSheetId="12">#REF!</definedName>
    <definedName name="ETQ_1" localSheetId="13">#REF!</definedName>
    <definedName name="ETQ_1" localSheetId="14">#REF!</definedName>
    <definedName name="ETQ_1" localSheetId="15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10">DATE(ano,11,2)</definedName>
    <definedName name="Finados" localSheetId="11">DATE(ano,11,2)</definedName>
    <definedName name="Finados" localSheetId="12">DATE(ano,11,2)</definedName>
    <definedName name="Finados" localSheetId="13">DATE(ano,11,2)</definedName>
    <definedName name="Finados" localSheetId="14">DATE(ano,11,2)</definedName>
    <definedName name="Finados" localSheetId="15">DATE(ano,11,2)</definedName>
    <definedName name="Finados" localSheetId="1">DATE(ano,11,2)</definedName>
    <definedName name="Finados">DATE(ano,11,2)</definedName>
    <definedName name="Finasa" localSheetId="10">#REF!</definedName>
    <definedName name="Finasa" localSheetId="11">#REF!</definedName>
    <definedName name="Finasa" localSheetId="12">#REF!</definedName>
    <definedName name="Finasa" localSheetId="13">#REF!</definedName>
    <definedName name="Finasa" localSheetId="14">#REF!</definedName>
    <definedName name="Finasa" localSheetId="15">#REF!</definedName>
    <definedName name="Finasa">#REF!</definedName>
    <definedName name="frete" localSheetId="10">#REF!</definedName>
    <definedName name="frete" localSheetId="11">#REF!</definedName>
    <definedName name="frete" localSheetId="12">#REF!</definedName>
    <definedName name="frete" localSheetId="13">#REF!</definedName>
    <definedName name="frete" localSheetId="14">#REF!</definedName>
    <definedName name="frete" localSheetId="15">#REF!</definedName>
    <definedName name="frete">#REF!</definedName>
    <definedName name="FullPath">CELL("filename")</definedName>
    <definedName name="GCAPITAL" localSheetId="10">#REF!</definedName>
    <definedName name="GCAPITAL" localSheetId="11">#REF!</definedName>
    <definedName name="GCAPITAL" localSheetId="12">#REF!</definedName>
    <definedName name="GCAPITAL" localSheetId="13">#REF!</definedName>
    <definedName name="GCAPITAL" localSheetId="14">#REF!</definedName>
    <definedName name="GCAPITAL" localSheetId="15">#REF!</definedName>
    <definedName name="GCAPITAL">#REF!</definedName>
    <definedName name="GCAPITAL1" localSheetId="10">#REF!</definedName>
    <definedName name="GCAPITAL1" localSheetId="11">#REF!</definedName>
    <definedName name="GCAPITAL1" localSheetId="12">#REF!</definedName>
    <definedName name="GCAPITAL1" localSheetId="13">#REF!</definedName>
    <definedName name="GCAPITAL1" localSheetId="14">#REF!</definedName>
    <definedName name="GCAPITAL1" localSheetId="15">#REF!</definedName>
    <definedName name="GCAPITAL1">#REF!</definedName>
    <definedName name="gfdrt" localSheetId="10">[8]IOF!#REF!</definedName>
    <definedName name="gfdrt" localSheetId="11">[8]IOF!#REF!</definedName>
    <definedName name="gfdrt" localSheetId="12">[8]IOF!#REF!</definedName>
    <definedName name="gfdrt" localSheetId="13">[8]IOF!#REF!</definedName>
    <definedName name="gfdrt" localSheetId="14">[8]IOF!#REF!</definedName>
    <definedName name="gfdrt" localSheetId="15">[8]IOF!#REF!</definedName>
    <definedName name="gfdrt">[8]IOF!#REF!</definedName>
    <definedName name="ghifdidu" localSheetId="10">#REF!</definedName>
    <definedName name="ghifdidu" localSheetId="11">#REF!</definedName>
    <definedName name="ghifdidu" localSheetId="12">#REF!</definedName>
    <definedName name="ghifdidu" localSheetId="13">#REF!</definedName>
    <definedName name="ghifdidu" localSheetId="14">#REF!</definedName>
    <definedName name="ghifdidu" localSheetId="15">#REF!</definedName>
    <definedName name="ghifdidu">#REF!</definedName>
    <definedName name="grgrgrgrgrgrgrg" localSheetId="10">[8]IOF!#REF!</definedName>
    <definedName name="grgrgrgrgrgrgrg" localSheetId="11">[8]IOF!#REF!</definedName>
    <definedName name="grgrgrgrgrgrgrg" localSheetId="12">[8]IOF!#REF!</definedName>
    <definedName name="grgrgrgrgrgrgrg" localSheetId="13">[8]IOF!#REF!</definedName>
    <definedName name="grgrgrgrgrgrgrg" localSheetId="14">[8]IOF!#REF!</definedName>
    <definedName name="grgrgrgrgrgrgrg" localSheetId="15">[8]IOF!#REF!</definedName>
    <definedName name="grgrgrgrgrgrgrg">[8]IOF!#REF!</definedName>
    <definedName name="grupo4" localSheetId="10">#REF!</definedName>
    <definedName name="grupo4" localSheetId="11">#REF!</definedName>
    <definedName name="grupo4" localSheetId="12">#REF!</definedName>
    <definedName name="grupo4" localSheetId="13">#REF!</definedName>
    <definedName name="grupo4" localSheetId="14">#REF!</definedName>
    <definedName name="grupo4" localSheetId="15">#REF!</definedName>
    <definedName name="grupo4">#REF!</definedName>
    <definedName name="hora" localSheetId="10">#REF!</definedName>
    <definedName name="hora" localSheetId="11">#REF!</definedName>
    <definedName name="hora" localSheetId="12">#REF!</definedName>
    <definedName name="hora" localSheetId="13">#REF!</definedName>
    <definedName name="hora" localSheetId="14">#REF!</definedName>
    <definedName name="hora" localSheetId="15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10">#REF!</definedName>
    <definedName name="IGPM" localSheetId="11">#REF!</definedName>
    <definedName name="IGPM" localSheetId="12">#REF!</definedName>
    <definedName name="IGPM" localSheetId="13">#REF!</definedName>
    <definedName name="IGPM" localSheetId="14">#REF!</definedName>
    <definedName name="IGPM" localSheetId="15">#REF!</definedName>
    <definedName name="IGPM">#REF!</definedName>
    <definedName name="IGPM_acum" localSheetId="10">#REF!</definedName>
    <definedName name="IGPM_acum" localSheetId="11">#REF!</definedName>
    <definedName name="IGPM_acum" localSheetId="12">#REF!</definedName>
    <definedName name="IGPM_acum" localSheetId="13">#REF!</definedName>
    <definedName name="IGPM_acum" localSheetId="14">#REF!</definedName>
    <definedName name="IGPM_acum" localSheetId="15">#REF!</definedName>
    <definedName name="IGPM_acum">#REF!</definedName>
    <definedName name="IMOB" localSheetId="10">#REF!</definedName>
    <definedName name="IMOB" localSheetId="11">#REF!</definedName>
    <definedName name="IMOB" localSheetId="12">#REF!</definedName>
    <definedName name="IMOB" localSheetId="13">#REF!</definedName>
    <definedName name="IMOB" localSheetId="14">#REF!</definedName>
    <definedName name="IMOB" localSheetId="15">#REF!</definedName>
    <definedName name="IMOB">#REF!</definedName>
    <definedName name="IMPREC" localSheetId="10">#REF!</definedName>
    <definedName name="IMPREC" localSheetId="11">#REF!</definedName>
    <definedName name="IMPREC" localSheetId="12">#REF!</definedName>
    <definedName name="IMPREC" localSheetId="13">#REF!</definedName>
    <definedName name="IMPREC" localSheetId="14">#REF!</definedName>
    <definedName name="IMPREC" localSheetId="15">#REF!</definedName>
    <definedName name="IMPREC">#REF!</definedName>
    <definedName name="IMPRECUP" localSheetId="10">#REF!</definedName>
    <definedName name="IMPRECUP" localSheetId="11">#REF!</definedName>
    <definedName name="IMPRECUP" localSheetId="12">#REF!</definedName>
    <definedName name="IMPRECUP" localSheetId="13">#REF!</definedName>
    <definedName name="IMPRECUP" localSheetId="14">#REF!</definedName>
    <definedName name="IMPRECUP" localSheetId="15">#REF!</definedName>
    <definedName name="IMPRECUP">#REF!</definedName>
    <definedName name="Indep_Nac" localSheetId="10">DATE(ano,9,7)</definedName>
    <definedName name="Indep_Nac" localSheetId="11">DATE(ano,9,7)</definedName>
    <definedName name="Indep_Nac" localSheetId="12">DATE(ano,9,7)</definedName>
    <definedName name="Indep_Nac" localSheetId="13">DATE(ano,9,7)</definedName>
    <definedName name="Indep_Nac" localSheetId="14">DATE(ano,9,7)</definedName>
    <definedName name="Indep_Nac" localSheetId="15">DATE(ano,9,7)</definedName>
    <definedName name="Indep_Nac" localSheetId="1">DATE(ano,9,7)</definedName>
    <definedName name="Indep_Nac">DATE(ano,9,7)</definedName>
    <definedName name="iNDEX" localSheetId="15">[0]!Dom_Páscoa+60</definedName>
    <definedName name="iNDEX">[0]!Dom_Páscoa+60</definedName>
    <definedName name="IndexFator" localSheetId="10">#REF!</definedName>
    <definedName name="IndexFator" localSheetId="11">#REF!</definedName>
    <definedName name="IndexFator" localSheetId="12">#REF!</definedName>
    <definedName name="IndexFator" localSheetId="13">#REF!</definedName>
    <definedName name="IndexFator" localSheetId="14">#REF!</definedName>
    <definedName name="IndexFator" localSheetId="15">#REF!</definedName>
    <definedName name="IndexFator">#REF!</definedName>
    <definedName name="IndexNomes" localSheetId="10">#REF!</definedName>
    <definedName name="IndexNomes" localSheetId="11">#REF!</definedName>
    <definedName name="IndexNomes" localSheetId="12">#REF!</definedName>
    <definedName name="IndexNomes" localSheetId="13">#REF!</definedName>
    <definedName name="IndexNomes" localSheetId="14">#REF!</definedName>
    <definedName name="IndexNomes" localSheetId="15">#REF!</definedName>
    <definedName name="IndexNomes">#REF!</definedName>
    <definedName name="INDEXNOMES2" localSheetId="10">#REF!</definedName>
    <definedName name="INDEXNOMES2" localSheetId="11">#REF!</definedName>
    <definedName name="INDEXNOMES2" localSheetId="12">#REF!</definedName>
    <definedName name="INDEXNOMES2" localSheetId="13">#REF!</definedName>
    <definedName name="INDEXNOMES2" localSheetId="14">#REF!</definedName>
    <definedName name="INDEXNOMES2" localSheetId="15">#REF!</definedName>
    <definedName name="INDEXNOMES2">#REF!</definedName>
    <definedName name="INS_FIN" localSheetId="10">#REF!</definedName>
    <definedName name="INS_FIN" localSheetId="11">#REF!</definedName>
    <definedName name="INS_FIN" localSheetId="12">#REF!</definedName>
    <definedName name="INS_FIN" localSheetId="13">#REF!</definedName>
    <definedName name="INS_FIN" localSheetId="14">#REF!</definedName>
    <definedName name="INS_FIN" localSheetId="15">#REF!</definedName>
    <definedName name="INS_FIN">#REF!</definedName>
    <definedName name="INSTFIN" localSheetId="10">#REF!</definedName>
    <definedName name="INSTFIN" localSheetId="11">#REF!</definedName>
    <definedName name="INSTFIN" localSheetId="12">#REF!</definedName>
    <definedName name="INSTFIN" localSheetId="13">#REF!</definedName>
    <definedName name="INSTFIN" localSheetId="14">#REF!</definedName>
    <definedName name="INSTFIN" localSheetId="15">#REF!</definedName>
    <definedName name="INSTFIN">#REF!</definedName>
    <definedName name="INSTFIN_1" localSheetId="10">#REF!</definedName>
    <definedName name="INSTFIN_1" localSheetId="11">#REF!</definedName>
    <definedName name="INSTFIN_1" localSheetId="12">#REF!</definedName>
    <definedName name="INSTFIN_1" localSheetId="13">#REF!</definedName>
    <definedName name="INSTFIN_1" localSheetId="14">#REF!</definedName>
    <definedName name="INSTFIN_1" localSheetId="15">#REF!</definedName>
    <definedName name="INSTFIN_1">#REF!</definedName>
    <definedName name="INSTFIN_2" localSheetId="10">#REF!</definedName>
    <definedName name="INSTFIN_2" localSheetId="11">#REF!</definedName>
    <definedName name="INSTFIN_2" localSheetId="12">#REF!</definedName>
    <definedName name="INSTFIN_2" localSheetId="13">#REF!</definedName>
    <definedName name="INSTFIN_2" localSheetId="14">#REF!</definedName>
    <definedName name="INSTFIN_2" localSheetId="15">#REF!</definedName>
    <definedName name="INSTFIN_2">#REF!</definedName>
    <definedName name="INTANGIVEL" localSheetId="10">#REF!</definedName>
    <definedName name="INTANGIVEL" localSheetId="11">#REF!</definedName>
    <definedName name="INTANGIVEL" localSheetId="12">#REF!</definedName>
    <definedName name="INTANGIVEL" localSheetId="13">#REF!</definedName>
    <definedName name="INTANGIVEL" localSheetId="14">#REF!</definedName>
    <definedName name="INTANGIVEL" localSheetId="15">#REF!</definedName>
    <definedName name="INTANGIVEL">#REF!</definedName>
    <definedName name="INV_2" localSheetId="10">#REF!</definedName>
    <definedName name="INV_2" localSheetId="11">#REF!</definedName>
    <definedName name="INV_2" localSheetId="12">#REF!</definedName>
    <definedName name="INV_2" localSheetId="13">#REF!</definedName>
    <definedName name="INV_2" localSheetId="14">#REF!</definedName>
    <definedName name="INV_2" localSheetId="15">#REF!</definedName>
    <definedName name="INV_2">#REF!</definedName>
    <definedName name="INVSUB" localSheetId="10">#REF!</definedName>
    <definedName name="INVSUB" localSheetId="11">#REF!</definedName>
    <definedName name="INVSUB" localSheetId="12">#REF!</definedName>
    <definedName name="INVSUB" localSheetId="13">#REF!</definedName>
    <definedName name="INVSUB" localSheetId="14">#REF!</definedName>
    <definedName name="INVSUB" localSheetId="15">#REF!</definedName>
    <definedName name="INVSUB">#REF!</definedName>
    <definedName name="INVSUB_1" localSheetId="10">#REF!</definedName>
    <definedName name="INVSUB_1" localSheetId="11">#REF!</definedName>
    <definedName name="INVSUB_1" localSheetId="12">#REF!</definedName>
    <definedName name="INVSUB_1" localSheetId="13">#REF!</definedName>
    <definedName name="INVSUB_1" localSheetId="14">#REF!</definedName>
    <definedName name="INVSUB_1" localSheetId="15">#REF!</definedName>
    <definedName name="INVSUB_1">#REF!</definedName>
    <definedName name="INVSUB_2" localSheetId="10">#REF!</definedName>
    <definedName name="INVSUB_2" localSheetId="11">#REF!</definedName>
    <definedName name="INVSUB_2" localSheetId="12">#REF!</definedName>
    <definedName name="INVSUB_2" localSheetId="13">#REF!</definedName>
    <definedName name="INVSUB_2" localSheetId="14">#REF!</definedName>
    <definedName name="INVSUB_2" localSheetId="15">#REF!</definedName>
    <definedName name="INVSUB_2">#REF!</definedName>
    <definedName name="INVSUB_3" localSheetId="10">#REF!</definedName>
    <definedName name="INVSUB_3" localSheetId="11">#REF!</definedName>
    <definedName name="INVSUB_3" localSheetId="12">#REF!</definedName>
    <definedName name="INVSUB_3" localSheetId="13">#REF!</definedName>
    <definedName name="INVSUB_3" localSheetId="14">#REF!</definedName>
    <definedName name="INVSUB_3" localSheetId="15">#REF!</definedName>
    <definedName name="INVSUB_3">#REF!</definedName>
    <definedName name="INVSUB_4" localSheetId="10">#REF!</definedName>
    <definedName name="INVSUB_4" localSheetId="11">#REF!</definedName>
    <definedName name="INVSUB_4" localSheetId="12">#REF!</definedName>
    <definedName name="INVSUB_4" localSheetId="13">#REF!</definedName>
    <definedName name="INVSUB_4" localSheetId="14">#REF!</definedName>
    <definedName name="INVSUB_4" localSheetId="15">#REF!</definedName>
    <definedName name="INVSUB_4">#REF!</definedName>
    <definedName name="IOF" localSheetId="10">[9]IOF!#REF!</definedName>
    <definedName name="IOF" localSheetId="11">[9]IOF!#REF!</definedName>
    <definedName name="IOF" localSheetId="12">[9]IOF!#REF!</definedName>
    <definedName name="IOF" localSheetId="13">[9]IOF!#REF!</definedName>
    <definedName name="IOF" localSheetId="14">[9]IOF!#REF!</definedName>
    <definedName name="IOF" localSheetId="15">[9]IOF!#REF!</definedName>
    <definedName name="IOF">[9]IOF!#REF!</definedName>
    <definedName name="IstAnos" localSheetId="10">OFFSET(#REF!,0,1,1,COUNTA(#REF!)-1)</definedName>
    <definedName name="IstAnos" localSheetId="11">OFFSET(#REF!,0,1,1,COUNTA(#REF!)-1)</definedName>
    <definedName name="IstAnos" localSheetId="12">OFFSET(#REF!,0,1,1,COUNTA(#REF!)-1)</definedName>
    <definedName name="IstAnos" localSheetId="13">OFFSET(#REF!,0,1,1,COUNTA(#REF!)-1)</definedName>
    <definedName name="IstAnos" localSheetId="14">OFFSET(#REF!,0,1,1,COUNTA(#REF!)-1)</definedName>
    <definedName name="IstAnos" localSheetId="15">OFFSET(#REF!,0,1,1,COUNTA(#REF!)-1)</definedName>
    <definedName name="IstAnos" localSheetId="4">OFFSET(#REF!,0,1,1,COUNTA(#REF!)-1)</definedName>
    <definedName name="IstAnos" localSheetId="3">OFFSET(#REF!,0,1,1,COUNTA(#REF!)-1)</definedName>
    <definedName name="IstAnos" localSheetId="2">OFFSET(#REF!,0,1,1,COUNTA(#REF!)-1)</definedName>
    <definedName name="IstAnos" localSheetId="0">OFFSET(#REF!,0,1,1,COUNTA(#REF!)-1)</definedName>
    <definedName name="IstAnos">OFFSET(#REF!,0,1,1,COUNTA(#REF!)-1)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10">#REF!</definedName>
    <definedName name="jgiu" localSheetId="11">#REF!</definedName>
    <definedName name="jgiu" localSheetId="12">#REF!</definedName>
    <definedName name="jgiu" localSheetId="13">#REF!</definedName>
    <definedName name="jgiu" localSheetId="14">#REF!</definedName>
    <definedName name="jgiu" localSheetId="15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10">#REF!</definedName>
    <definedName name="LDILUIDO" localSheetId="11">#REF!</definedName>
    <definedName name="LDILUIDO" localSheetId="12">#REF!</definedName>
    <definedName name="LDILUIDO" localSheetId="13">#REF!</definedName>
    <definedName name="LDILUIDO" localSheetId="14">#REF!</definedName>
    <definedName name="LDILUIDO" localSheetId="15">#REF!</definedName>
    <definedName name="LDILUIDO">#REF!</definedName>
    <definedName name="Libor" localSheetId="10">#REF!</definedName>
    <definedName name="Libor" localSheetId="11">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>#REF!</definedName>
    <definedName name="lIBOR2" localSheetId="10">#REF!</definedName>
    <definedName name="lIBOR2" localSheetId="11">#REF!</definedName>
    <definedName name="lIBOR2" localSheetId="12">#REF!</definedName>
    <definedName name="lIBOR2" localSheetId="13">#REF!</definedName>
    <definedName name="lIBOR2" localSheetId="14">#REF!</definedName>
    <definedName name="lIBOR2" localSheetId="15">#REF!</definedName>
    <definedName name="lIBOR2">#REF!</definedName>
    <definedName name="lstMétricas" localSheetId="10">OFFSET(#REF!,0,0,COUNTA(#REF!))</definedName>
    <definedName name="lstMétricas" localSheetId="11">OFFSET(#REF!,0,0,COUNTA(#REF!))</definedName>
    <definedName name="lstMétricas" localSheetId="12">OFFSET(#REF!,0,0,COUNTA(#REF!))</definedName>
    <definedName name="lstMétricas" localSheetId="13">OFFSET(#REF!,0,0,COUNTA(#REF!))</definedName>
    <definedName name="lstMétricas" localSheetId="14">OFFSET(#REF!,0,0,COUNTA(#REF!))</definedName>
    <definedName name="lstMétricas" localSheetId="15">OFFSET(#REF!,0,0,COUNTA(#REF!))</definedName>
    <definedName name="lstMétricas" localSheetId="4">OFFSET(#REF!,0,0,COUNTA(#REF!))</definedName>
    <definedName name="lstMétricas" localSheetId="3">OFFSET(#REF!,0,0,COUNTA(#REF!))</definedName>
    <definedName name="lstMétricas" localSheetId="2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10">#REF!</definedName>
    <definedName name="manutenção" localSheetId="11">#REF!</definedName>
    <definedName name="manutenção" localSheetId="12">#REF!</definedName>
    <definedName name="manutenção" localSheetId="13">#REF!</definedName>
    <definedName name="manutenção" localSheetId="14">#REF!</definedName>
    <definedName name="manutenção" localSheetId="15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10">#REF!</definedName>
    <definedName name="meses_per" localSheetId="11">#REF!</definedName>
    <definedName name="meses_per" localSheetId="12">#REF!</definedName>
    <definedName name="meses_per" localSheetId="13">#REF!</definedName>
    <definedName name="meses_per" localSheetId="14">#REF!</definedName>
    <definedName name="meses_per" localSheetId="15">#REF!</definedName>
    <definedName name="meses_per">#REF!</definedName>
    <definedName name="mesesAno" localSheetId="10">#REF!</definedName>
    <definedName name="mesesAno" localSheetId="11">#REF!</definedName>
    <definedName name="mesesAno" localSheetId="12">#REF!</definedName>
    <definedName name="mesesAno" localSheetId="13">#REF!</definedName>
    <definedName name="mesesAno" localSheetId="14">#REF!</definedName>
    <definedName name="mesesAno" localSheetId="15">#REF!</definedName>
    <definedName name="mesesAno">#REF!</definedName>
    <definedName name="MetodoRep" localSheetId="10">[5]NovasDivInput!#REF!</definedName>
    <definedName name="MetodoRep" localSheetId="11">[5]NovasDivInput!#REF!</definedName>
    <definedName name="MetodoRep" localSheetId="12">[5]NovasDivInput!#REF!</definedName>
    <definedName name="MetodoRep" localSheetId="13">[5]NovasDivInput!#REF!</definedName>
    <definedName name="MetodoRep" localSheetId="14">[5]NovasDivInput!#REF!</definedName>
    <definedName name="MetodoRep" localSheetId="15">[5]NovasDivInput!#REF!</definedName>
    <definedName name="MetodoRep">[5]NovasDivInput!#REF!</definedName>
    <definedName name="Mil" localSheetId="10">#REF!</definedName>
    <definedName name="Mil" localSheetId="11">#REF!</definedName>
    <definedName name="Mil" localSheetId="12">#REF!</definedName>
    <definedName name="Mil" localSheetId="13">#REF!</definedName>
    <definedName name="Mil" localSheetId="14">#REF!</definedName>
    <definedName name="Mil" localSheetId="15">#REF!</definedName>
    <definedName name="Mil">#REF!</definedName>
    <definedName name="na" localSheetId="10">#REF!</definedName>
    <definedName name="na" localSheetId="11">#REF!</definedName>
    <definedName name="na" localSheetId="12">#REF!</definedName>
    <definedName name="na" localSheetId="13">#REF!</definedName>
    <definedName name="na" localSheetId="14">#REF!</definedName>
    <definedName name="na" localSheetId="15">#REF!</definedName>
    <definedName name="na">#REF!</definedName>
    <definedName name="NATA" localSheetId="10">[8]IOF!#REF!</definedName>
    <definedName name="NATA" localSheetId="11">[8]IOF!#REF!</definedName>
    <definedName name="NATA" localSheetId="12">[8]IOF!#REF!</definedName>
    <definedName name="NATA" localSheetId="13">[8]IOF!#REF!</definedName>
    <definedName name="NATA" localSheetId="14">[8]IOF!#REF!</definedName>
    <definedName name="NATA" localSheetId="15">[8]IOF!#REF!</definedName>
    <definedName name="NATA">[8]IOF!#REF!</definedName>
    <definedName name="Natal" localSheetId="10">DATE(ano,12,25)</definedName>
    <definedName name="Natal" localSheetId="11">DATE(ano,12,25)</definedName>
    <definedName name="Natal" localSheetId="12">DATE(ano,12,25)</definedName>
    <definedName name="Natal" localSheetId="13">DATE(ano,12,25)</definedName>
    <definedName name="Natal" localSheetId="14">DATE(ano,12,25)</definedName>
    <definedName name="Natal" localSheetId="15">DATE(ano,12,25)</definedName>
    <definedName name="Natal" localSheetId="1">DATE(ano,12,25)</definedName>
    <definedName name="Natal">DATE(ano,12,25)</definedName>
    <definedName name="natana" localSheetId="10">#REF!</definedName>
    <definedName name="natana" localSheetId="11">#REF!</definedName>
    <definedName name="natana" localSheetId="12">#REF!</definedName>
    <definedName name="natana" localSheetId="13">#REF!</definedName>
    <definedName name="natana" localSheetId="14">#REF!</definedName>
    <definedName name="natana" localSheetId="15">#REF!</definedName>
    <definedName name="natana">#REF!</definedName>
    <definedName name="Nome_indicadores" localSheetId="10">#REF!</definedName>
    <definedName name="Nome_indicadores" localSheetId="11">#REF!</definedName>
    <definedName name="Nome_indicadores" localSheetId="12">#REF!</definedName>
    <definedName name="Nome_indicadores" localSheetId="13">#REF!</definedName>
    <definedName name="Nome_indicadores" localSheetId="14">#REF!</definedName>
    <definedName name="Nome_indicadores" localSheetId="15">#REF!</definedName>
    <definedName name="Nome_indicadores">#REF!</definedName>
    <definedName name="NomeDividas" localSheetId="10">[5]NovasDivInput!#REF!</definedName>
    <definedName name="NomeDividas" localSheetId="11">[5]NovasDivInput!#REF!</definedName>
    <definedName name="NomeDividas" localSheetId="12">[5]NovasDivInput!#REF!</definedName>
    <definedName name="NomeDividas" localSheetId="13">[5]NovasDivInput!#REF!</definedName>
    <definedName name="NomeDividas" localSheetId="14">[5]NovasDivInput!#REF!</definedName>
    <definedName name="NomeDividas" localSheetId="15">[5]NovasDivInput!#REF!</definedName>
    <definedName name="NomeDividas">[5]NovasDivInput!#REF!</definedName>
    <definedName name="NomeDividas2" localSheetId="10">#REF!</definedName>
    <definedName name="NomeDividas2" localSheetId="11">#REF!</definedName>
    <definedName name="NomeDividas2" localSheetId="12">#REF!</definedName>
    <definedName name="NomeDividas2" localSheetId="13">#REF!</definedName>
    <definedName name="NomeDividas2" localSheetId="14">#REF!</definedName>
    <definedName name="NomeDividas2" localSheetId="15">#REF!</definedName>
    <definedName name="NomeDividas2">#REF!</definedName>
    <definedName name="NoMesesPeriodicidade" localSheetId="10">[5]NovasDivInput!#REF!</definedName>
    <definedName name="NoMesesPeriodicidade" localSheetId="11">[5]NovasDivInput!#REF!</definedName>
    <definedName name="NoMesesPeriodicidade" localSheetId="12">[5]NovasDivInput!#REF!</definedName>
    <definedName name="NoMesesPeriodicidade" localSheetId="13">[5]NovasDivInput!#REF!</definedName>
    <definedName name="NoMesesPeriodicidade" localSheetId="14">[5]NovasDivInput!#REF!</definedName>
    <definedName name="NoMesesPeriodicidade" localSheetId="15">[5]NovasDivInput!#REF!</definedName>
    <definedName name="NoMesesPeriodicidade">[5]NovasDivInput!#REF!</definedName>
    <definedName name="Noper" localSheetId="10">#REF!</definedName>
    <definedName name="Noper" localSheetId="11">#REF!</definedName>
    <definedName name="Noper" localSheetId="12">#REF!</definedName>
    <definedName name="Noper" localSheetId="13">#REF!</definedName>
    <definedName name="Noper" localSheetId="14">#REF!</definedName>
    <definedName name="Noper" localSheetId="15">#REF!</definedName>
    <definedName name="Noper">#REF!</definedName>
    <definedName name="Nossa_Senhora" localSheetId="10">DATE(ano,10,12)</definedName>
    <definedName name="Nossa_Senhora" localSheetId="11">DATE(ano,10,12)</definedName>
    <definedName name="Nossa_Senhora" localSheetId="12">DATE(ano,10,12)</definedName>
    <definedName name="Nossa_Senhora" localSheetId="13">DATE(ano,10,12)</definedName>
    <definedName name="Nossa_Senhora" localSheetId="14">DATE(ano,10,12)</definedName>
    <definedName name="Nossa_Senhora" localSheetId="15">DATE(ano,10,12)</definedName>
    <definedName name="Nossa_Senhora" localSheetId="1">DATE(ano,10,12)</definedName>
    <definedName name="Nossa_Senhora">DATE(ano,10,12)</definedName>
    <definedName name="NoTrim" localSheetId="10">#REF!</definedName>
    <definedName name="NoTrim" localSheetId="11">#REF!</definedName>
    <definedName name="NoTrim" localSheetId="12">#REF!</definedName>
    <definedName name="NoTrim" localSheetId="13">#REF!</definedName>
    <definedName name="NoTrim" localSheetId="14">#REF!</definedName>
    <definedName name="NoTrim" localSheetId="15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10">#REF!</definedName>
    <definedName name="num_pedido" localSheetId="11">#REF!</definedName>
    <definedName name="num_pedido" localSheetId="12">#REF!</definedName>
    <definedName name="num_pedido" localSheetId="13">#REF!</definedName>
    <definedName name="num_pedido" localSheetId="14">#REF!</definedName>
    <definedName name="num_pedido" localSheetId="15">#REF!</definedName>
    <definedName name="num_pedido">#REF!</definedName>
    <definedName name="num_tot_pedido" localSheetId="10">#REF!</definedName>
    <definedName name="num_tot_pedido" localSheetId="11">#REF!</definedName>
    <definedName name="num_tot_pedido" localSheetId="12">#REF!</definedName>
    <definedName name="num_tot_pedido" localSheetId="13">#REF!</definedName>
    <definedName name="num_tot_pedido" localSheetId="14">#REF!</definedName>
    <definedName name="num_tot_pedido" localSheetId="15">#REF!</definedName>
    <definedName name="num_tot_pedido">#REF!</definedName>
    <definedName name="OATIVOS" localSheetId="10">#REF!</definedName>
    <definedName name="OATIVOS" localSheetId="11">#REF!</definedName>
    <definedName name="OATIVOS" localSheetId="12">#REF!</definedName>
    <definedName name="OATIVOS" localSheetId="13">#REF!</definedName>
    <definedName name="OATIVOS" localSheetId="14">#REF!</definedName>
    <definedName name="OATIVOS" localSheetId="15">#REF!</definedName>
    <definedName name="OATIVOS">#REF!</definedName>
    <definedName name="ODESP_R" localSheetId="10">#REF!</definedName>
    <definedName name="ODESP_R" localSheetId="11">#REF!</definedName>
    <definedName name="ODESP_R" localSheetId="12">#REF!</definedName>
    <definedName name="ODESP_R" localSheetId="13">#REF!</definedName>
    <definedName name="ODESP_R" localSheetId="14">#REF!</definedName>
    <definedName name="ODESP_R" localSheetId="15">#REF!</definedName>
    <definedName name="ODESP_R">#REF!</definedName>
    <definedName name="OPASSIVOS" localSheetId="10">#REF!</definedName>
    <definedName name="OPASSIVOS" localSheetId="11">#REF!</definedName>
    <definedName name="OPASSIVOS" localSheetId="12">#REF!</definedName>
    <definedName name="OPASSIVOS" localSheetId="13">#REF!</definedName>
    <definedName name="OPASSIVOS" localSheetId="14">#REF!</definedName>
    <definedName name="OPASSIVOS" localSheetId="15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10">'01. Income Statement'!Dom_Páscoa-2</definedName>
    <definedName name="P_Cristo" localSheetId="11">'02. BS'!Dom_Páscoa-2</definedName>
    <definedName name="P_Cristo" localSheetId="12">'03. CF'!Dom_Páscoa-2</definedName>
    <definedName name="P_Cristo" localSheetId="13">'04. EBITDA'!Dom_Páscoa-2</definedName>
    <definedName name="P_Cristo" localSheetId="14">'05. Net Debt'!Dom_Páscoa-2</definedName>
    <definedName name="P_Cristo" localSheetId="15">'06. Installed Capacity'!Dom_Páscoa-2</definedName>
    <definedName name="P_Cristo" localSheetId="1">Index!Dom_Páscoa-2</definedName>
    <definedName name="P_Cristo">[0]!Dom_Páscoa-2</definedName>
    <definedName name="P_Rep" localSheetId="10">DATE(ano,11,15)</definedName>
    <definedName name="P_Rep" localSheetId="11">DATE(ano,11,15)</definedName>
    <definedName name="P_Rep" localSheetId="12">DATE(ano,11,15)</definedName>
    <definedName name="P_Rep" localSheetId="13">DATE(ano,11,15)</definedName>
    <definedName name="P_Rep" localSheetId="14">DATE(ano,11,15)</definedName>
    <definedName name="P_Rep" localSheetId="15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10">#REF!</definedName>
    <definedName name="Per_Ano" localSheetId="11">#REF!</definedName>
    <definedName name="Per_Ano" localSheetId="12">#REF!</definedName>
    <definedName name="Per_Ano" localSheetId="13">#REF!</definedName>
    <definedName name="Per_Ano" localSheetId="14">#REF!</definedName>
    <definedName name="Per_Ano" localSheetId="15">#REF!</definedName>
    <definedName name="Per_Ano">#REF!</definedName>
    <definedName name="Periodicidade" localSheetId="10">[5]NovasDivInput!#REF!</definedName>
    <definedName name="Periodicidade" localSheetId="11">[5]NovasDivInput!#REF!</definedName>
    <definedName name="Periodicidade" localSheetId="12">[5]NovasDivInput!#REF!</definedName>
    <definedName name="Periodicidade" localSheetId="13">[5]NovasDivInput!#REF!</definedName>
    <definedName name="Periodicidade" localSheetId="14">[5]NovasDivInput!#REF!</definedName>
    <definedName name="Periodicidade" localSheetId="15">[5]NovasDivInput!#REF!</definedName>
    <definedName name="Periodicidade">[5]NovasDivInput!#REF!</definedName>
    <definedName name="PLAjust">[2]BRGAAP!$E$20:$AX$20</definedName>
    <definedName name="Poli01">'[10]BNDES - Politeno'!$D$7:$N$75</definedName>
    <definedName name="QCAFIN" localSheetId="10">#REF!</definedName>
    <definedName name="QCAFIN" localSheetId="11">#REF!</definedName>
    <definedName name="QCAFIN" localSheetId="12">#REF!</definedName>
    <definedName name="QCAFIN" localSheetId="13">#REF!</definedName>
    <definedName name="QCAFIN" localSheetId="14">#REF!</definedName>
    <definedName name="QCAFIN" localSheetId="15">#REF!</definedName>
    <definedName name="QCAFIN">#REF!</definedName>
    <definedName name="R_Euro_TFim" localSheetId="10">#REF!</definedName>
    <definedName name="R_Euro_TFim" localSheetId="11">#REF!</definedName>
    <definedName name="R_Euro_TFim" localSheetId="12">#REF!</definedName>
    <definedName name="R_Euro_TFim" localSheetId="13">#REF!</definedName>
    <definedName name="R_Euro_TFim" localSheetId="14">#REF!</definedName>
    <definedName name="R_Euro_TFim" localSheetId="15">#REF!</definedName>
    <definedName name="R_Euro_TFim">#REF!</definedName>
    <definedName name="R_Euro_TMed" localSheetId="10">#REF!</definedName>
    <definedName name="R_Euro_TMed" localSheetId="11">#REF!</definedName>
    <definedName name="R_Euro_TMed" localSheetId="12">#REF!</definedName>
    <definedName name="R_Euro_TMed" localSheetId="13">#REF!</definedName>
    <definedName name="R_Euro_TMed" localSheetId="14">#REF!</definedName>
    <definedName name="R_Euro_TMed" localSheetId="15">#REF!</definedName>
    <definedName name="R_Euro_TMed">#REF!</definedName>
    <definedName name="R_US_TFim" localSheetId="10">#REF!</definedName>
    <definedName name="R_US_TFim" localSheetId="11">#REF!</definedName>
    <definedName name="R_US_TFim" localSheetId="12">#REF!</definedName>
    <definedName name="R_US_TFim" localSheetId="13">#REF!</definedName>
    <definedName name="R_US_TFim" localSheetId="14">#REF!</definedName>
    <definedName name="R_US_TFim" localSheetId="15">#REF!</definedName>
    <definedName name="R_US_TFim">#REF!</definedName>
    <definedName name="R_US_TMed" localSheetId="10">#REF!</definedName>
    <definedName name="R_US_TMed" localSheetId="11">#REF!</definedName>
    <definedName name="R_US_TMed" localSheetId="12">#REF!</definedName>
    <definedName name="R_US_TMed" localSheetId="13">#REF!</definedName>
    <definedName name="R_US_TMed" localSheetId="14">#REF!</definedName>
    <definedName name="R_US_TMed" localSheetId="15">#REF!</definedName>
    <definedName name="R_US_TMed">#REF!</definedName>
    <definedName name="RCAMBIAL" localSheetId="10">#REF!</definedName>
    <definedName name="RCAMBIAL" localSheetId="11">#REF!</definedName>
    <definedName name="RCAMBIAL" localSheetId="12">#REF!</definedName>
    <definedName name="RCAMBIAL" localSheetId="13">#REF!</definedName>
    <definedName name="RCAMBIAL" localSheetId="14">#REF!</definedName>
    <definedName name="RCAMBIAL" localSheetId="15">#REF!</definedName>
    <definedName name="RCAMBIAL">#REF!</definedName>
    <definedName name="RecFin">[2]BRGAAP!$E$39:$AX$39</definedName>
    <definedName name="RECLIQ" localSheetId="10">#REF!</definedName>
    <definedName name="RECLIQ" localSheetId="11">#REF!</definedName>
    <definedName name="RECLIQ" localSheetId="12">#REF!</definedName>
    <definedName name="RECLIQ" localSheetId="13">#REF!</definedName>
    <definedName name="RECLIQ" localSheetId="14">#REF!</definedName>
    <definedName name="RECLIQ" localSheetId="15">#REF!</definedName>
    <definedName name="RECLIQ">#REF!</definedName>
    <definedName name="RESULPACAO" localSheetId="10">#REF!</definedName>
    <definedName name="RESULPACAO" localSheetId="11">#REF!</definedName>
    <definedName name="RESULPACAO" localSheetId="12">#REF!</definedName>
    <definedName name="RESULPACAO" localSheetId="13">#REF!</definedName>
    <definedName name="RESULPACAO" localSheetId="14">#REF!</definedName>
    <definedName name="RESULPACAO" localSheetId="15">#REF!</definedName>
    <definedName name="RESULPACAO">#REF!</definedName>
    <definedName name="RFIN" localSheetId="10">#REF!</definedName>
    <definedName name="RFIN" localSheetId="11">#REF!</definedName>
    <definedName name="RFIN" localSheetId="12">#REF!</definedName>
    <definedName name="RFIN" localSheetId="13">#REF!</definedName>
    <definedName name="RFIN" localSheetId="14">#REF!</definedName>
    <definedName name="RFIN" localSheetId="15">#REF!</definedName>
    <definedName name="RFIN">#REF!</definedName>
    <definedName name="saldos" localSheetId="10">#REF!</definedName>
    <definedName name="saldos" localSheetId="11">#REF!</definedName>
    <definedName name="saldos" localSheetId="12">#REF!</definedName>
    <definedName name="saldos" localSheetId="13">#REF!</definedName>
    <definedName name="saldos" localSheetId="14">#REF!</definedName>
    <definedName name="saldos" localSheetId="15">#REF!</definedName>
    <definedName name="saldos">#REF!</definedName>
    <definedName name="Seg_Carna" localSheetId="10">'01. Income Statement'!Dom_Páscoa-48</definedName>
    <definedName name="Seg_Carna" localSheetId="11">'02. BS'!Dom_Páscoa-48</definedName>
    <definedName name="Seg_Carna" localSheetId="12">'03. CF'!Dom_Páscoa-48</definedName>
    <definedName name="Seg_Carna" localSheetId="13">'04. EBITDA'!Dom_Páscoa-48</definedName>
    <definedName name="Seg_Carna" localSheetId="14">'05. Net Debt'!Dom_Páscoa-48</definedName>
    <definedName name="Seg_Carna" localSheetId="15">'06. Installed Capacity'!Dom_Páscoa-48</definedName>
    <definedName name="Seg_Carna" localSheetId="1">Index!Dom_Páscoa-48</definedName>
    <definedName name="Seg_Carna">[0]!Dom_Páscoa-48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10">L3C11:L12C11</definedName>
    <definedName name="Tabela_Taxa" localSheetId="11">L3C11:L12C11</definedName>
    <definedName name="Tabela_Taxa" localSheetId="12">L3C11:L12C11</definedName>
    <definedName name="Tabela_Taxa" localSheetId="13">L3C11:L12C11</definedName>
    <definedName name="Tabela_Taxa" localSheetId="14">L3C11:L12C11</definedName>
    <definedName name="Tabela_Taxa" localSheetId="15">L3C11:L12C11</definedName>
    <definedName name="Tabela_Taxa" localSheetId="1">L3C11:L12C11</definedName>
    <definedName name="Tabela_Taxa">L3C11:L12C11</definedName>
    <definedName name="Ter_Carna" localSheetId="10">'01. Income Statement'!Dom_Páscoa-47</definedName>
    <definedName name="Ter_Carna" localSheetId="11">'02. BS'!Dom_Páscoa-47</definedName>
    <definedName name="Ter_Carna" localSheetId="12">'03. CF'!Dom_Páscoa-47</definedName>
    <definedName name="Ter_Carna" localSheetId="13">'04. EBITDA'!Dom_Páscoa-47</definedName>
    <definedName name="Ter_Carna" localSheetId="14">'05. Net Debt'!Dom_Páscoa-47</definedName>
    <definedName name="Ter_Carna" localSheetId="15">'06. Installed Capacity'!Dom_Páscoa-47</definedName>
    <definedName name="Ter_Carna" localSheetId="1">Index!Dom_Páscoa-47</definedName>
    <definedName name="Ter_Carna">[0]!Dom_Páscoa-47</definedName>
    <definedName name="TextRefCopyRangeCount" hidden="1">1</definedName>
    <definedName name="Tipo_juros" localSheetId="10">[4]NovasDivInput!#REF!</definedName>
    <definedName name="Tipo_juros" localSheetId="11">[4]NovasDivInput!#REF!</definedName>
    <definedName name="Tipo_juros" localSheetId="12">[4]NovasDivInput!#REF!</definedName>
    <definedName name="Tipo_juros" localSheetId="13">[4]NovasDivInput!#REF!</definedName>
    <definedName name="Tipo_juros" localSheetId="14">[4]NovasDivInput!#REF!</definedName>
    <definedName name="Tipo_juros" localSheetId="15">[4]NovasDivInput!#REF!</definedName>
    <definedName name="Tipo_juros">[4]NovasDivInput!#REF!</definedName>
    <definedName name="TipoTxJuros">'[11]Input&amp;Macro'!$A$56:$A$61</definedName>
    <definedName name="Tiradentes" localSheetId="10">DATE(ano,4,21)</definedName>
    <definedName name="Tiradentes" localSheetId="11">DATE(ano,4,21)</definedName>
    <definedName name="Tiradentes" localSheetId="12">DATE(ano,4,21)</definedName>
    <definedName name="Tiradentes" localSheetId="13">DATE(ano,4,21)</definedName>
    <definedName name="Tiradentes" localSheetId="14">DATE(ano,4,21)</definedName>
    <definedName name="Tiradentes" localSheetId="15">DATE(ano,4,21)</definedName>
    <definedName name="Tiradentes" localSheetId="1">DATE(ano,4,21)</definedName>
    <definedName name="Tiradentes">DATE(ano,4,21)</definedName>
    <definedName name="TJLP_base" localSheetId="10">[5]FinCalc!#REF!</definedName>
    <definedName name="TJLP_base" localSheetId="11">[5]FinCalc!#REF!</definedName>
    <definedName name="TJLP_base" localSheetId="12">[5]FinCalc!#REF!</definedName>
    <definedName name="TJLP_base" localSheetId="13">[5]FinCalc!#REF!</definedName>
    <definedName name="TJLP_base" localSheetId="14">[5]FinCalc!#REF!</definedName>
    <definedName name="TJLP_base" localSheetId="15">[5]FinCalc!#REF!</definedName>
    <definedName name="TJLP_base">[5]FinCalc!#REF!</definedName>
    <definedName name="TJLP_base_per" localSheetId="10">[4]FinCalc!#REF!</definedName>
    <definedName name="TJLP_base_per" localSheetId="11">[4]FinCalc!#REF!</definedName>
    <definedName name="TJLP_base_per" localSheetId="12">[4]FinCalc!#REF!</definedName>
    <definedName name="TJLP_base_per" localSheetId="13">[4]FinCalc!#REF!</definedName>
    <definedName name="TJLP_base_per" localSheetId="14">[4]FinCalc!#REF!</definedName>
    <definedName name="TJLP_base_per" localSheetId="15">[4]FinCalc!#REF!</definedName>
    <definedName name="TJLP_base_per">[4]FinCalc!#REF!</definedName>
    <definedName name="TxJuros">'[11]Input&amp;Macro'!$F$56:$FR$61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'[11]Input&amp;Macro'!$F$62:$FR$62</definedName>
    <definedName name="VC_US_Tfim" localSheetId="10">[4]FinCalc!#REF!</definedName>
    <definedName name="VC_US_Tfim" localSheetId="11">[4]FinCalc!#REF!</definedName>
    <definedName name="VC_US_Tfim" localSheetId="12">[4]FinCalc!#REF!</definedName>
    <definedName name="VC_US_Tfim" localSheetId="13">[4]FinCalc!#REF!</definedName>
    <definedName name="VC_US_Tfim" localSheetId="14">[4]FinCalc!#REF!</definedName>
    <definedName name="VC_US_Tfim" localSheetId="15">[4]FinCalc!#REF!</definedName>
    <definedName name="VC_US_Tfim">[4]FinCalc!#REF!</definedName>
    <definedName name="VC_US_Tmed" localSheetId="10">[4]FinCalc!#REF!</definedName>
    <definedName name="VC_US_Tmed" localSheetId="11">[4]FinCalc!#REF!</definedName>
    <definedName name="VC_US_Tmed" localSheetId="12">[4]FinCalc!#REF!</definedName>
    <definedName name="VC_US_Tmed" localSheetId="13">[4]FinCalc!#REF!</definedName>
    <definedName name="VC_US_Tmed" localSheetId="14">[4]FinCalc!#REF!</definedName>
    <definedName name="VC_US_Tmed" localSheetId="15">[4]FinCalc!#REF!</definedName>
    <definedName name="VC_US_Tmed">[4]FinCalc!#REF!</definedName>
    <definedName name="w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D19" i="11"/>
  <c r="D11" i="11"/>
  <c r="D22" i="11" s="1"/>
  <c r="D26" i="11" s="1"/>
  <c r="D28" i="11" s="1"/>
  <c r="C17" i="13"/>
  <c r="C89" i="56"/>
  <c r="C78" i="56"/>
  <c r="C60" i="56"/>
  <c r="C46" i="56"/>
  <c r="C62" i="56" s="1"/>
  <c r="C64" i="56" s="1"/>
  <c r="C91" i="56" s="1"/>
  <c r="C93" i="56" s="1"/>
  <c r="C57" i="55"/>
  <c r="C49" i="55"/>
  <c r="C38" i="55"/>
  <c r="C37" i="55" s="1"/>
  <c r="C22" i="55"/>
  <c r="C21" i="55" s="1"/>
  <c r="C13" i="55"/>
  <c r="C23" i="54"/>
  <c r="C14" i="54"/>
  <c r="C22" i="54" s="1"/>
  <c r="C26" i="54" s="1"/>
  <c r="C28" i="54" s="1"/>
  <c r="C20" i="18"/>
  <c r="C12" i="18"/>
  <c r="D26" i="60"/>
  <c r="D20" i="60"/>
  <c r="D25" i="60" s="1"/>
  <c r="D29" i="60" s="1"/>
  <c r="D31" i="60" s="1"/>
  <c r="D11" i="60"/>
  <c r="C17" i="64"/>
  <c r="C87" i="63"/>
  <c r="C77" i="63"/>
  <c r="C60" i="63"/>
  <c r="C48" i="63"/>
  <c r="C62" i="63" s="1"/>
  <c r="C64" i="63" s="1"/>
  <c r="C90" i="63" s="1"/>
  <c r="C92" i="63" s="1"/>
  <c r="C59" i="59"/>
  <c r="C50" i="59"/>
  <c r="C38" i="59"/>
  <c r="C37" i="59" s="1"/>
  <c r="C22" i="59"/>
  <c r="C21" i="59"/>
  <c r="C13" i="59"/>
  <c r="C23" i="62"/>
  <c r="C14" i="62"/>
  <c r="C22" i="62" s="1"/>
  <c r="C26" i="62" s="1"/>
  <c r="C28" i="62" s="1"/>
  <c r="E25" i="11"/>
  <c r="E24" i="11"/>
  <c r="E23" i="11" s="1"/>
  <c r="E19" i="11"/>
  <c r="E11" i="11"/>
  <c r="E22" i="11" s="1"/>
  <c r="D17" i="13"/>
  <c r="D89" i="56"/>
  <c r="D78" i="56"/>
  <c r="D60" i="56"/>
  <c r="D46" i="56"/>
  <c r="D61" i="55"/>
  <c r="D57" i="55"/>
  <c r="D49" i="55"/>
  <c r="D38" i="55"/>
  <c r="D22" i="55"/>
  <c r="D21" i="55"/>
  <c r="D13" i="55"/>
  <c r="D23" i="54"/>
  <c r="D14" i="54"/>
  <c r="D22" i="54" s="1"/>
  <c r="D26" i="54" s="1"/>
  <c r="D28" i="54" s="1"/>
  <c r="D20" i="18"/>
  <c r="D12" i="18"/>
  <c r="E28" i="60"/>
  <c r="E27" i="60"/>
  <c r="E20" i="60"/>
  <c r="E25" i="60" s="1"/>
  <c r="E11" i="60"/>
  <c r="D17" i="64"/>
  <c r="D87" i="63"/>
  <c r="D77" i="63"/>
  <c r="D60" i="63"/>
  <c r="D48" i="63"/>
  <c r="D63" i="59"/>
  <c r="D59" i="59" s="1"/>
  <c r="D50" i="59"/>
  <c r="D38" i="59"/>
  <c r="D22" i="59"/>
  <c r="D21" i="59" s="1"/>
  <c r="D13" i="59"/>
  <c r="D23" i="62"/>
  <c r="D14" i="62"/>
  <c r="D22" i="62" s="1"/>
  <c r="D62" i="56" l="1"/>
  <c r="D64" i="56" s="1"/>
  <c r="D91" i="56" s="1"/>
  <c r="D93" i="56" s="1"/>
  <c r="C12" i="55"/>
  <c r="D12" i="55"/>
  <c r="D37" i="55"/>
  <c r="E26" i="60"/>
  <c r="E29" i="60" s="1"/>
  <c r="E31" i="60" s="1"/>
  <c r="D62" i="63"/>
  <c r="D64" i="63" s="1"/>
  <c r="D90" i="63" s="1"/>
  <c r="D92" i="63" s="1"/>
  <c r="C12" i="59"/>
  <c r="D37" i="59"/>
  <c r="D12" i="59"/>
  <c r="D26" i="62"/>
  <c r="D28" i="62" s="1"/>
  <c r="E26" i="11"/>
  <c r="E28" i="11" s="1"/>
  <c r="E87" i="63" l="1"/>
  <c r="E77" i="63"/>
  <c r="E60" i="63"/>
  <c r="E48" i="63"/>
  <c r="E89" i="56"/>
  <c r="E78" i="56"/>
  <c r="E60" i="56"/>
  <c r="E46" i="56"/>
  <c r="F23" i="11"/>
  <c r="F19" i="11"/>
  <c r="F11" i="11"/>
  <c r="E57" i="55"/>
  <c r="E49" i="55"/>
  <c r="E38" i="55"/>
  <c r="E22" i="55"/>
  <c r="E21" i="55" s="1"/>
  <c r="E13" i="55"/>
  <c r="F23" i="54"/>
  <c r="E23" i="54"/>
  <c r="F14" i="54"/>
  <c r="F22" i="54" s="1"/>
  <c r="F26" i="54" s="1"/>
  <c r="F28" i="54" s="1"/>
  <c r="E14" i="54"/>
  <c r="E22" i="54" s="1"/>
  <c r="E20" i="18"/>
  <c r="E12" i="18"/>
  <c r="F26" i="60"/>
  <c r="F20" i="60"/>
  <c r="F11" i="60"/>
  <c r="F17" i="64"/>
  <c r="E17" i="64"/>
  <c r="E63" i="59"/>
  <c r="E59" i="59" s="1"/>
  <c r="E50" i="59"/>
  <c r="E49" i="59"/>
  <c r="E38" i="59" s="1"/>
  <c r="E22" i="59"/>
  <c r="E21" i="59" s="1"/>
  <c r="E13" i="59"/>
  <c r="F23" i="62"/>
  <c r="E23" i="62"/>
  <c r="F14" i="62"/>
  <c r="F22" i="62" s="1"/>
  <c r="F26" i="62" s="1"/>
  <c r="F28" i="62" s="1"/>
  <c r="E14" i="62"/>
  <c r="E22" i="62" s="1"/>
  <c r="E26" i="62" s="1"/>
  <c r="E28" i="62" s="1"/>
  <c r="F17" i="13"/>
  <c r="E17" i="13"/>
  <c r="G23" i="62"/>
  <c r="G14" i="62"/>
  <c r="G22" i="62" s="1"/>
  <c r="F59" i="59"/>
  <c r="F50" i="59"/>
  <c r="F38" i="59"/>
  <c r="F22" i="59"/>
  <c r="F21" i="59" s="1"/>
  <c r="F13" i="59"/>
  <c r="F87" i="63"/>
  <c r="F77" i="63"/>
  <c r="F60" i="63"/>
  <c r="F48" i="63"/>
  <c r="G17" i="64"/>
  <c r="H26" i="60"/>
  <c r="G26" i="60"/>
  <c r="H20" i="60"/>
  <c r="G20" i="60"/>
  <c r="H11" i="60"/>
  <c r="G11" i="60"/>
  <c r="F20" i="18"/>
  <c r="F12" i="18"/>
  <c r="G23" i="54"/>
  <c r="G14" i="54"/>
  <c r="G22" i="54" s="1"/>
  <c r="G26" i="54" s="1"/>
  <c r="G28" i="54" s="1"/>
  <c r="F57" i="55"/>
  <c r="F49" i="55"/>
  <c r="F38" i="55"/>
  <c r="F22" i="55"/>
  <c r="F21" i="55" s="1"/>
  <c r="F13" i="55"/>
  <c r="F89" i="56"/>
  <c r="F78" i="56"/>
  <c r="F60" i="56"/>
  <c r="F46" i="56"/>
  <c r="G17" i="13"/>
  <c r="G23" i="11"/>
  <c r="G19" i="11"/>
  <c r="G11" i="11"/>
  <c r="H23" i="11"/>
  <c r="H19" i="11"/>
  <c r="H11" i="11"/>
  <c r="H22" i="11" s="1"/>
  <c r="H17" i="13"/>
  <c r="G89" i="56"/>
  <c r="G78" i="56"/>
  <c r="G60" i="56"/>
  <c r="G46" i="56"/>
  <c r="G57" i="55"/>
  <c r="G49" i="55"/>
  <c r="G38" i="55"/>
  <c r="G22" i="55"/>
  <c r="G21" i="55" s="1"/>
  <c r="G13" i="55"/>
  <c r="H23" i="54"/>
  <c r="H14" i="54"/>
  <c r="H22" i="54" s="1"/>
  <c r="G20" i="18"/>
  <c r="G12" i="18"/>
  <c r="H17" i="64"/>
  <c r="G87" i="63"/>
  <c r="G77" i="63"/>
  <c r="G60" i="63"/>
  <c r="G48" i="63"/>
  <c r="G62" i="63" s="1"/>
  <c r="G64" i="63" s="1"/>
  <c r="G59" i="59"/>
  <c r="G50" i="59"/>
  <c r="G40" i="59"/>
  <c r="G38" i="59" s="1"/>
  <c r="G22" i="59"/>
  <c r="G21" i="59" s="1"/>
  <c r="G13" i="59"/>
  <c r="H23" i="62"/>
  <c r="H14" i="62"/>
  <c r="H22" i="62" s="1"/>
  <c r="I23" i="11"/>
  <c r="I19" i="11"/>
  <c r="I11" i="11"/>
  <c r="I22" i="11" s="1"/>
  <c r="I17" i="13"/>
  <c r="H89" i="56"/>
  <c r="H78" i="56"/>
  <c r="H60" i="56"/>
  <c r="H46" i="56"/>
  <c r="H57" i="55"/>
  <c r="H49" i="55"/>
  <c r="H38" i="55"/>
  <c r="H22" i="55"/>
  <c r="H21" i="55" s="1"/>
  <c r="H13" i="55"/>
  <c r="I23" i="54"/>
  <c r="I14" i="54"/>
  <c r="I22" i="54" s="1"/>
  <c r="I26" i="54" s="1"/>
  <c r="I28" i="54" s="1"/>
  <c r="H20" i="18"/>
  <c r="H12" i="18"/>
  <c r="I28" i="60"/>
  <c r="I26" i="60" s="1"/>
  <c r="I20" i="60"/>
  <c r="I11" i="60"/>
  <c r="I17" i="64"/>
  <c r="M48" i="63"/>
  <c r="L48" i="63"/>
  <c r="K48" i="63"/>
  <c r="J48" i="63"/>
  <c r="I48" i="63"/>
  <c r="H87" i="63"/>
  <c r="H77" i="63"/>
  <c r="H60" i="63"/>
  <c r="H48" i="63"/>
  <c r="H59" i="59"/>
  <c r="H50" i="59"/>
  <c r="H38" i="59"/>
  <c r="H22" i="59"/>
  <c r="H21" i="59" s="1"/>
  <c r="H13" i="59"/>
  <c r="I23" i="62"/>
  <c r="I14" i="62"/>
  <c r="I22" i="62" s="1"/>
  <c r="J23" i="11"/>
  <c r="J19" i="11"/>
  <c r="J11" i="11"/>
  <c r="J22" i="11" s="1"/>
  <c r="K17" i="13"/>
  <c r="J17" i="13"/>
  <c r="I89" i="56"/>
  <c r="I78" i="56"/>
  <c r="I60" i="56"/>
  <c r="I46" i="56"/>
  <c r="I57" i="55"/>
  <c r="I49" i="55"/>
  <c r="I38" i="55"/>
  <c r="I22" i="55"/>
  <c r="I21" i="55" s="1"/>
  <c r="I13" i="55"/>
  <c r="K23" i="54"/>
  <c r="J23" i="54"/>
  <c r="K14" i="54"/>
  <c r="K22" i="54" s="1"/>
  <c r="K26" i="54" s="1"/>
  <c r="K28" i="54" s="1"/>
  <c r="J14" i="54"/>
  <c r="J22" i="54" s="1"/>
  <c r="J26" i="54" s="1"/>
  <c r="J28" i="54" s="1"/>
  <c r="I20" i="18"/>
  <c r="I12" i="18"/>
  <c r="J26" i="60"/>
  <c r="J20" i="60"/>
  <c r="J11" i="60"/>
  <c r="K17" i="64"/>
  <c r="J17" i="64"/>
  <c r="I87" i="63"/>
  <c r="I77" i="63"/>
  <c r="I60" i="63"/>
  <c r="I59" i="59"/>
  <c r="I50" i="59"/>
  <c r="I38" i="59"/>
  <c r="I22" i="59"/>
  <c r="I21" i="59" s="1"/>
  <c r="I13" i="59"/>
  <c r="K23" i="62"/>
  <c r="J23" i="62"/>
  <c r="K14" i="62"/>
  <c r="K22" i="62" s="1"/>
  <c r="J14" i="62"/>
  <c r="J22" i="62" s="1"/>
  <c r="K23" i="11"/>
  <c r="K19" i="11"/>
  <c r="K11" i="11"/>
  <c r="K22" i="11" s="1"/>
  <c r="L17" i="13"/>
  <c r="J93" i="56"/>
  <c r="J89" i="56"/>
  <c r="J78" i="56"/>
  <c r="J60" i="56"/>
  <c r="J46" i="56"/>
  <c r="J57" i="55"/>
  <c r="J49" i="55"/>
  <c r="J38" i="55"/>
  <c r="J22" i="55"/>
  <c r="J21" i="55" s="1"/>
  <c r="J13" i="55"/>
  <c r="L23" i="54"/>
  <c r="L14" i="54"/>
  <c r="L22" i="54" s="1"/>
  <c r="L26" i="54" s="1"/>
  <c r="L28" i="54" s="1"/>
  <c r="J20" i="18"/>
  <c r="J12" i="18"/>
  <c r="K26" i="60"/>
  <c r="K20" i="60"/>
  <c r="K11" i="60"/>
  <c r="L17" i="64"/>
  <c r="J87" i="63"/>
  <c r="J77" i="63"/>
  <c r="J60" i="63"/>
  <c r="J59" i="59"/>
  <c r="J50" i="59"/>
  <c r="J38" i="59"/>
  <c r="J22" i="59"/>
  <c r="J21" i="59" s="1"/>
  <c r="J13" i="59"/>
  <c r="L23" i="62"/>
  <c r="L14" i="62"/>
  <c r="L22" i="62" s="1"/>
  <c r="H26" i="11" l="1"/>
  <c r="H28" i="11" s="1"/>
  <c r="F62" i="56"/>
  <c r="F64" i="56" s="1"/>
  <c r="E62" i="56"/>
  <c r="E64" i="56" s="1"/>
  <c r="E91" i="56" s="1"/>
  <c r="E93" i="56" s="1"/>
  <c r="F37" i="55"/>
  <c r="E26" i="54"/>
  <c r="E28" i="54" s="1"/>
  <c r="E62" i="63"/>
  <c r="E64" i="63" s="1"/>
  <c r="E90" i="63" s="1"/>
  <c r="E92" i="63" s="1"/>
  <c r="G37" i="55"/>
  <c r="E37" i="55"/>
  <c r="F25" i="60"/>
  <c r="F29" i="60" s="1"/>
  <c r="F31" i="60" s="1"/>
  <c r="E37" i="59"/>
  <c r="J37" i="59"/>
  <c r="E12" i="59"/>
  <c r="G26" i="62"/>
  <c r="G28" i="62" s="1"/>
  <c r="J26" i="62"/>
  <c r="J28" i="62" s="1"/>
  <c r="H62" i="63"/>
  <c r="H64" i="63" s="1"/>
  <c r="H90" i="63" s="1"/>
  <c r="H92" i="63" s="1"/>
  <c r="F62" i="63"/>
  <c r="F64" i="63" s="1"/>
  <c r="F90" i="63" s="1"/>
  <c r="F92" i="63" s="1"/>
  <c r="F91" i="56"/>
  <c r="F93" i="56" s="1"/>
  <c r="G22" i="11"/>
  <c r="G26" i="11" s="1"/>
  <c r="G28" i="11" s="1"/>
  <c r="F22" i="11"/>
  <c r="F26" i="11" s="1"/>
  <c r="F28" i="11" s="1"/>
  <c r="E12" i="55"/>
  <c r="H37" i="55"/>
  <c r="F12" i="55"/>
  <c r="H26" i="54"/>
  <c r="H28" i="54" s="1"/>
  <c r="G25" i="60"/>
  <c r="H25" i="60"/>
  <c r="H29" i="60" s="1"/>
  <c r="H31" i="60" s="1"/>
  <c r="I62" i="56"/>
  <c r="I64" i="56" s="1"/>
  <c r="I91" i="56" s="1"/>
  <c r="I93" i="56" s="1"/>
  <c r="G62" i="56"/>
  <c r="G64" i="56" s="1"/>
  <c r="G91" i="56" s="1"/>
  <c r="G93" i="56" s="1"/>
  <c r="I37" i="55"/>
  <c r="I25" i="60"/>
  <c r="I29" i="60" s="1"/>
  <c r="I31" i="60" s="1"/>
  <c r="J25" i="60"/>
  <c r="J29" i="60" s="1"/>
  <c r="J31" i="60" s="1"/>
  <c r="G29" i="60"/>
  <c r="G31" i="60" s="1"/>
  <c r="G90" i="63"/>
  <c r="G92" i="63" s="1"/>
  <c r="F37" i="59"/>
  <c r="I12" i="59"/>
  <c r="H37" i="59"/>
  <c r="I37" i="59"/>
  <c r="F12" i="59"/>
  <c r="G12" i="59"/>
  <c r="K26" i="62"/>
  <c r="K28" i="62" s="1"/>
  <c r="H26" i="62"/>
  <c r="H28" i="62" s="1"/>
  <c r="G37" i="59"/>
  <c r="H62" i="56"/>
  <c r="H64" i="56" s="1"/>
  <c r="H91" i="56" s="1"/>
  <c r="H93" i="56" s="1"/>
  <c r="K26" i="11"/>
  <c r="K28" i="11" s="1"/>
  <c r="I26" i="11"/>
  <c r="I28" i="11" s="1"/>
  <c r="G12" i="55"/>
  <c r="J37" i="55"/>
  <c r="H12" i="59"/>
  <c r="I26" i="62"/>
  <c r="I28" i="62" s="1"/>
  <c r="J26" i="11"/>
  <c r="J28" i="11" s="1"/>
  <c r="J62" i="56"/>
  <c r="J64" i="56" s="1"/>
  <c r="H12" i="55"/>
  <c r="I12" i="55"/>
  <c r="J62" i="63"/>
  <c r="J64" i="63" s="1"/>
  <c r="J90" i="63" s="1"/>
  <c r="J92" i="63" s="1"/>
  <c r="I62" i="63"/>
  <c r="I64" i="63" s="1"/>
  <c r="I90" i="63" s="1"/>
  <c r="I92" i="63" s="1"/>
  <c r="J12" i="55"/>
  <c r="K25" i="60"/>
  <c r="K29" i="60" s="1"/>
  <c r="K31" i="60" s="1"/>
  <c r="J12" i="59"/>
  <c r="L26" i="62"/>
  <c r="L28" i="62" s="1"/>
  <c r="L23" i="11"/>
  <c r="L19" i="11"/>
  <c r="L11" i="11"/>
  <c r="L22" i="11" s="1"/>
  <c r="M17" i="13"/>
  <c r="K93" i="56"/>
  <c r="K89" i="56"/>
  <c r="K78" i="56"/>
  <c r="K60" i="56"/>
  <c r="K46" i="56"/>
  <c r="K57" i="55"/>
  <c r="K49" i="55"/>
  <c r="K38" i="55"/>
  <c r="K22" i="55"/>
  <c r="K21" i="55" s="1"/>
  <c r="K13" i="55"/>
  <c r="M23" i="54"/>
  <c r="M14" i="54"/>
  <c r="M22" i="54" s="1"/>
  <c r="K20" i="18"/>
  <c r="K12" i="18"/>
  <c r="L26" i="60"/>
  <c r="L20" i="60"/>
  <c r="L11" i="60"/>
  <c r="M17" i="64"/>
  <c r="N17" i="64"/>
  <c r="K87" i="63"/>
  <c r="K77" i="63"/>
  <c r="K60" i="63"/>
  <c r="K62" i="63" s="1"/>
  <c r="K64" i="63" s="1"/>
  <c r="K59" i="59"/>
  <c r="K50" i="59"/>
  <c r="K38" i="59"/>
  <c r="K22" i="59"/>
  <c r="K21" i="59" s="1"/>
  <c r="K13" i="59"/>
  <c r="M23" i="62"/>
  <c r="M14" i="62"/>
  <c r="M22" i="62" s="1"/>
  <c r="M87" i="63"/>
  <c r="L87" i="63"/>
  <c r="M77" i="63"/>
  <c r="L77" i="63"/>
  <c r="M60" i="63"/>
  <c r="L60" i="63"/>
  <c r="Q77" i="63"/>
  <c r="R77" i="63"/>
  <c r="S77" i="63"/>
  <c r="T77" i="63"/>
  <c r="U77" i="63"/>
  <c r="V77" i="63"/>
  <c r="W77" i="63"/>
  <c r="X77" i="63"/>
  <c r="Y77" i="63"/>
  <c r="Z77" i="63"/>
  <c r="AA77" i="63"/>
  <c r="AB77" i="63"/>
  <c r="AC77" i="63"/>
  <c r="AD77" i="63"/>
  <c r="AE77" i="63"/>
  <c r="O77" i="63"/>
  <c r="N77" i="63"/>
  <c r="M23" i="11"/>
  <c r="M19" i="11"/>
  <c r="M11" i="11"/>
  <c r="M22" i="11" s="1"/>
  <c r="N17" i="13"/>
  <c r="L93" i="56"/>
  <c r="M89" i="56"/>
  <c r="L89" i="56"/>
  <c r="M78" i="56"/>
  <c r="L78" i="56"/>
  <c r="M60" i="56"/>
  <c r="L60" i="56"/>
  <c r="M46" i="56"/>
  <c r="L46" i="56"/>
  <c r="L57" i="55"/>
  <c r="L49" i="55"/>
  <c r="L38" i="55"/>
  <c r="L22" i="55"/>
  <c r="L21" i="55" s="1"/>
  <c r="L13" i="55"/>
  <c r="N23" i="54"/>
  <c r="N14" i="54"/>
  <c r="N22" i="54" s="1"/>
  <c r="L12" i="18"/>
  <c r="M26" i="60"/>
  <c r="M20" i="60"/>
  <c r="M11" i="60"/>
  <c r="L59" i="59"/>
  <c r="L50" i="59"/>
  <c r="L38" i="59"/>
  <c r="L22" i="59"/>
  <c r="L21" i="59" s="1"/>
  <c r="L13" i="59"/>
  <c r="N23" i="62"/>
  <c r="N14" i="62"/>
  <c r="N22" i="62" s="1"/>
  <c r="N23" i="11"/>
  <c r="N11" i="11"/>
  <c r="N22" i="11" s="1"/>
  <c r="P17" i="13"/>
  <c r="O17" i="13"/>
  <c r="M57" i="55"/>
  <c r="M49" i="55"/>
  <c r="M38" i="55"/>
  <c r="M22" i="55"/>
  <c r="M21" i="55" s="1"/>
  <c r="M13" i="55"/>
  <c r="P23" i="54"/>
  <c r="O23" i="54"/>
  <c r="P14" i="54"/>
  <c r="P22" i="54" s="1"/>
  <c r="O14" i="54"/>
  <c r="O22" i="54" s="1"/>
  <c r="M20" i="18"/>
  <c r="M12" i="18"/>
  <c r="N26" i="60"/>
  <c r="N11" i="60"/>
  <c r="N25" i="60" s="1"/>
  <c r="P17" i="64"/>
  <c r="O17" i="64"/>
  <c r="M59" i="59"/>
  <c r="M50" i="59"/>
  <c r="M38" i="59"/>
  <c r="M22" i="59"/>
  <c r="M21" i="59" s="1"/>
  <c r="M13" i="59"/>
  <c r="P23" i="62"/>
  <c r="O23" i="62"/>
  <c r="P14" i="62"/>
  <c r="P22" i="62" s="1"/>
  <c r="O14" i="62"/>
  <c r="O22" i="62" s="1"/>
  <c r="N26" i="62" l="1"/>
  <c r="N28" i="62" s="1"/>
  <c r="O26" i="62"/>
  <c r="O28" i="62" s="1"/>
  <c r="N29" i="60"/>
  <c r="N31" i="60" s="1"/>
  <c r="L26" i="11"/>
  <c r="L28" i="11" s="1"/>
  <c r="N26" i="11"/>
  <c r="N28" i="11" s="1"/>
  <c r="L62" i="56"/>
  <c r="L64" i="56" s="1"/>
  <c r="K37" i="55"/>
  <c r="N26" i="54"/>
  <c r="N28" i="54" s="1"/>
  <c r="O26" i="54"/>
  <c r="O28" i="54" s="1"/>
  <c r="M62" i="63"/>
  <c r="M64" i="63" s="1"/>
  <c r="M90" i="63" s="1"/>
  <c r="M92" i="63" s="1"/>
  <c r="M26" i="62"/>
  <c r="M28" i="62" s="1"/>
  <c r="K12" i="55"/>
  <c r="L37" i="55"/>
  <c r="L25" i="60"/>
  <c r="L29" i="60" s="1"/>
  <c r="L31" i="60" s="1"/>
  <c r="L62" i="63"/>
  <c r="L64" i="63" s="1"/>
  <c r="L90" i="63" s="1"/>
  <c r="L92" i="63" s="1"/>
  <c r="K90" i="63"/>
  <c r="K92" i="63" s="1"/>
  <c r="K12" i="59"/>
  <c r="M37" i="59"/>
  <c r="L37" i="59"/>
  <c r="P26" i="62"/>
  <c r="P28" i="62" s="1"/>
  <c r="K62" i="56"/>
  <c r="K64" i="56" s="1"/>
  <c r="M62" i="56"/>
  <c r="M64" i="56" s="1"/>
  <c r="M91" i="56" s="1"/>
  <c r="M93" i="56" s="1"/>
  <c r="M37" i="55"/>
  <c r="M26" i="54"/>
  <c r="M28" i="54" s="1"/>
  <c r="L12" i="59"/>
  <c r="K37" i="59"/>
  <c r="M26" i="11"/>
  <c r="M28" i="11" s="1"/>
  <c r="L12" i="55"/>
  <c r="M25" i="60"/>
  <c r="M29" i="60" s="1"/>
  <c r="M31" i="60" s="1"/>
  <c r="M12" i="55"/>
  <c r="P26" i="54"/>
  <c r="P28" i="54" s="1"/>
  <c r="M12" i="59"/>
  <c r="O23" i="11" l="1"/>
  <c r="O19" i="11"/>
  <c r="O11" i="11"/>
  <c r="O22" i="11" s="1"/>
  <c r="Q17" i="13"/>
  <c r="N92" i="56"/>
  <c r="N89" i="56"/>
  <c r="N78" i="56"/>
  <c r="N60" i="56"/>
  <c r="N46" i="56"/>
  <c r="N57" i="55"/>
  <c r="N49" i="55"/>
  <c r="N38" i="55"/>
  <c r="N22" i="55"/>
  <c r="N21" i="55" s="1"/>
  <c r="N13" i="55"/>
  <c r="Q23" i="54"/>
  <c r="Q14" i="54"/>
  <c r="Q22" i="54" s="1"/>
  <c r="Q26" i="54" s="1"/>
  <c r="Q28" i="54" s="1"/>
  <c r="N20" i="18"/>
  <c r="N12" i="18"/>
  <c r="O26" i="60"/>
  <c r="O20" i="60"/>
  <c r="O11" i="60"/>
  <c r="Q17" i="64"/>
  <c r="N91" i="63"/>
  <c r="N87" i="63"/>
  <c r="N60" i="63"/>
  <c r="N48" i="63"/>
  <c r="N59" i="59"/>
  <c r="N50" i="59"/>
  <c r="N38" i="59"/>
  <c r="N22" i="59"/>
  <c r="N21" i="59" s="1"/>
  <c r="N13" i="59"/>
  <c r="Q23" i="62"/>
  <c r="Q14" i="62"/>
  <c r="Q22" i="62" s="1"/>
  <c r="T87" i="63"/>
  <c r="S87" i="63"/>
  <c r="T60" i="63"/>
  <c r="S60" i="63"/>
  <c r="T48" i="63"/>
  <c r="S48" i="63"/>
  <c r="O25" i="60" l="1"/>
  <c r="O29" i="60" s="1"/>
  <c r="O31" i="60" s="1"/>
  <c r="N37" i="59"/>
  <c r="O26" i="11"/>
  <c r="O28" i="11" s="1"/>
  <c r="N37" i="55"/>
  <c r="N12" i="59"/>
  <c r="N62" i="63"/>
  <c r="N64" i="63" s="1"/>
  <c r="N90" i="63" s="1"/>
  <c r="N92" i="63" s="1"/>
  <c r="Q26" i="62"/>
  <c r="Q28" i="62" s="1"/>
  <c r="N62" i="56"/>
  <c r="N64" i="56" s="1"/>
  <c r="N91" i="56" s="1"/>
  <c r="N93" i="56" s="1"/>
  <c r="T62" i="63"/>
  <c r="T64" i="63" s="1"/>
  <c r="T90" i="63" s="1"/>
  <c r="T92" i="63" s="1"/>
  <c r="N12" i="55"/>
  <c r="S62" i="63"/>
  <c r="S64" i="63" s="1"/>
  <c r="S90" i="63" s="1"/>
  <c r="S92" i="63" s="1"/>
  <c r="P23" i="11"/>
  <c r="P26" i="11" s="1"/>
  <c r="P28" i="11" s="1"/>
  <c r="P19" i="11"/>
  <c r="P11" i="11"/>
  <c r="R17" i="13"/>
  <c r="S89" i="56"/>
  <c r="S78" i="56"/>
  <c r="S60" i="56"/>
  <c r="S46" i="56"/>
  <c r="O89" i="56"/>
  <c r="O78" i="56"/>
  <c r="O60" i="56"/>
  <c r="O46" i="56"/>
  <c r="O57" i="55"/>
  <c r="O49" i="55"/>
  <c r="O38" i="55"/>
  <c r="O22" i="55"/>
  <c r="O21" i="55" s="1"/>
  <c r="O13" i="55"/>
  <c r="R23" i="54"/>
  <c r="R14" i="54"/>
  <c r="R22" i="54" s="1"/>
  <c r="O20" i="18"/>
  <c r="O12" i="18"/>
  <c r="P31" i="60"/>
  <c r="P26" i="60"/>
  <c r="P11" i="60"/>
  <c r="P25" i="60" s="1"/>
  <c r="R17" i="64"/>
  <c r="O87" i="63"/>
  <c r="O60" i="63"/>
  <c r="O48" i="63"/>
  <c r="O59" i="59"/>
  <c r="O50" i="59"/>
  <c r="O38" i="59"/>
  <c r="O22" i="59"/>
  <c r="O21" i="59" s="1"/>
  <c r="O13" i="59"/>
  <c r="R23" i="62"/>
  <c r="R14" i="62"/>
  <c r="R22" i="62" s="1"/>
  <c r="P87" i="63"/>
  <c r="P77" i="63"/>
  <c r="P60" i="63"/>
  <c r="P48" i="63"/>
  <c r="O12" i="55" l="1"/>
  <c r="O62" i="56"/>
  <c r="O64" i="56" s="1"/>
  <c r="O91" i="56" s="1"/>
  <c r="O93" i="56" s="1"/>
  <c r="O62" i="63"/>
  <c r="O64" i="63" s="1"/>
  <c r="O90" i="63" s="1"/>
  <c r="O92" i="63" s="1"/>
  <c r="R26" i="62"/>
  <c r="R28" i="62" s="1"/>
  <c r="R26" i="54"/>
  <c r="R28" i="54" s="1"/>
  <c r="O37" i="55"/>
  <c r="O37" i="59"/>
  <c r="O12" i="59"/>
  <c r="S62" i="56"/>
  <c r="S64" i="56" s="1"/>
  <c r="S91" i="56" s="1"/>
  <c r="S93" i="56" s="1"/>
  <c r="P62" i="63"/>
  <c r="P64" i="63" s="1"/>
  <c r="P90" i="63" s="1"/>
  <c r="P92" i="63" s="1"/>
  <c r="S17" i="13"/>
  <c r="P57" i="55" l="1"/>
  <c r="P49" i="55"/>
  <c r="P38" i="55"/>
  <c r="P22" i="55"/>
  <c r="P21" i="55" s="1"/>
  <c r="P13" i="55"/>
  <c r="S23" i="54"/>
  <c r="S14" i="54"/>
  <c r="S22" i="54" s="1"/>
  <c r="P20" i="18"/>
  <c r="P12" i="18"/>
  <c r="Q31" i="60"/>
  <c r="Q26" i="60"/>
  <c r="Q20" i="60"/>
  <c r="Q11" i="60"/>
  <c r="S17" i="64"/>
  <c r="P59" i="59"/>
  <c r="P50" i="59"/>
  <c r="P38" i="59"/>
  <c r="P22" i="59"/>
  <c r="P21" i="59" s="1"/>
  <c r="P13" i="59"/>
  <c r="S14" i="62"/>
  <c r="S22" i="62" s="1"/>
  <c r="S26" i="62" s="1"/>
  <c r="S28" i="62" s="1"/>
  <c r="R23" i="11"/>
  <c r="R26" i="11" s="1"/>
  <c r="R28" i="11" s="1"/>
  <c r="R11" i="11"/>
  <c r="S26" i="54" l="1"/>
  <c r="S28" i="54" s="1"/>
  <c r="P37" i="55"/>
  <c r="P12" i="55"/>
  <c r="P12" i="59"/>
  <c r="P37" i="59"/>
  <c r="U91" i="63"/>
  <c r="Q91" i="63"/>
  <c r="U87" i="63"/>
  <c r="Q87" i="63"/>
  <c r="U22" i="54"/>
  <c r="T22" i="54"/>
  <c r="U22" i="62"/>
  <c r="T22" i="62"/>
  <c r="Q90" i="63" l="1"/>
  <c r="Q92" i="63" s="1"/>
  <c r="U90" i="63"/>
  <c r="U92" i="63" s="1"/>
  <c r="R46" i="56"/>
  <c r="R48" i="63"/>
  <c r="S31" i="60" l="1"/>
  <c r="S26" i="60"/>
  <c r="S20" i="60"/>
  <c r="S11" i="60"/>
  <c r="V17" i="64"/>
  <c r="R87" i="63"/>
  <c r="R60" i="63"/>
  <c r="R62" i="63" s="1"/>
  <c r="R64" i="63" s="1"/>
  <c r="R59" i="59"/>
  <c r="R50" i="59"/>
  <c r="R38" i="59"/>
  <c r="R22" i="59"/>
  <c r="R21" i="59" s="1"/>
  <c r="R13" i="59"/>
  <c r="V14" i="62"/>
  <c r="V22" i="62" s="1"/>
  <c r="V26" i="62" s="1"/>
  <c r="V28" i="62" s="1"/>
  <c r="R20" i="18"/>
  <c r="R12" i="18"/>
  <c r="S23" i="11"/>
  <c r="S26" i="11" s="1"/>
  <c r="S28" i="11" s="1"/>
  <c r="S19" i="11"/>
  <c r="S11" i="11"/>
  <c r="V17" i="13"/>
  <c r="R89" i="56"/>
  <c r="R78" i="56"/>
  <c r="R60" i="56"/>
  <c r="R62" i="56" s="1"/>
  <c r="R64" i="56" s="1"/>
  <c r="R57" i="55"/>
  <c r="R49" i="55"/>
  <c r="R38" i="55"/>
  <c r="R22" i="55"/>
  <c r="R21" i="55" s="1"/>
  <c r="R13" i="55"/>
  <c r="V23" i="54"/>
  <c r="V14" i="54"/>
  <c r="V22" i="54" s="1"/>
  <c r="R12" i="55" l="1"/>
  <c r="R91" i="56"/>
  <c r="R93" i="56" s="1"/>
  <c r="V26" i="54"/>
  <c r="V28" i="54" s="1"/>
  <c r="S25" i="60"/>
  <c r="R90" i="63"/>
  <c r="R92" i="63" s="1"/>
  <c r="R37" i="59"/>
  <c r="R12" i="59"/>
  <c r="R37" i="55"/>
  <c r="T31" i="60"/>
  <c r="T26" i="60"/>
  <c r="T20" i="60"/>
  <c r="T11" i="60"/>
  <c r="W17" i="64"/>
  <c r="S59" i="59"/>
  <c r="S50" i="59"/>
  <c r="S38" i="59"/>
  <c r="S22" i="59"/>
  <c r="S21" i="59" s="1"/>
  <c r="S13" i="59"/>
  <c r="W23" i="62"/>
  <c r="W14" i="62"/>
  <c r="W22" i="62" s="1"/>
  <c r="T20" i="18"/>
  <c r="S20" i="18"/>
  <c r="T12" i="18"/>
  <c r="S12" i="18"/>
  <c r="T23" i="11"/>
  <c r="T26" i="11" s="1"/>
  <c r="T28" i="11" s="1"/>
  <c r="T19" i="11"/>
  <c r="T11" i="11"/>
  <c r="W17" i="13"/>
  <c r="S57" i="55"/>
  <c r="S49" i="55"/>
  <c r="S38" i="55"/>
  <c r="S22" i="55"/>
  <c r="S21" i="55" s="1"/>
  <c r="S13" i="55"/>
  <c r="W23" i="54"/>
  <c r="W14" i="54"/>
  <c r="W22" i="54" s="1"/>
  <c r="W26" i="54" s="1"/>
  <c r="W28" i="54" s="1"/>
  <c r="S37" i="59" l="1"/>
  <c r="T25" i="60"/>
  <c r="S12" i="59"/>
  <c r="S37" i="55"/>
  <c r="W26" i="62"/>
  <c r="W28" i="62" s="1"/>
  <c r="S12" i="55"/>
  <c r="X17" i="64" l="1"/>
  <c r="Y17" i="64"/>
  <c r="T59" i="59"/>
  <c r="T50" i="59"/>
  <c r="T38" i="59"/>
  <c r="T22" i="59"/>
  <c r="T21" i="59" s="1"/>
  <c r="T13" i="59"/>
  <c r="X23" i="62"/>
  <c r="X14" i="62"/>
  <c r="X22" i="62" s="1"/>
  <c r="U23" i="11"/>
  <c r="U26" i="11" s="1"/>
  <c r="U28" i="11" s="1"/>
  <c r="T13" i="55"/>
  <c r="X23" i="54"/>
  <c r="X14" i="54"/>
  <c r="X22" i="54" s="1"/>
  <c r="X26" i="62" l="1"/>
  <c r="X28" i="62" s="1"/>
  <c r="X26" i="54"/>
  <c r="X28" i="54" s="1"/>
  <c r="T37" i="59"/>
  <c r="T12" i="59"/>
  <c r="U19" i="11" l="1"/>
  <c r="U11" i="11"/>
  <c r="X17" i="13"/>
  <c r="T89" i="56"/>
  <c r="T78" i="56"/>
  <c r="T60" i="56"/>
  <c r="T46" i="56"/>
  <c r="T62" i="56" l="1"/>
  <c r="T64" i="56" s="1"/>
  <c r="T91" i="56" s="1"/>
  <c r="T93" i="56" s="1"/>
  <c r="T57" i="55"/>
  <c r="T49" i="55"/>
  <c r="T38" i="55"/>
  <c r="T22" i="55"/>
  <c r="T21" i="55" s="1"/>
  <c r="T12" i="55" s="1"/>
  <c r="T37" i="55" l="1"/>
  <c r="U59" i="59"/>
  <c r="U50" i="59"/>
  <c r="U38" i="59"/>
  <c r="U22" i="59"/>
  <c r="U21" i="59" s="1"/>
  <c r="U13" i="59"/>
  <c r="Z17" i="64"/>
  <c r="V31" i="60"/>
  <c r="V26" i="60"/>
  <c r="V20" i="60"/>
  <c r="V11" i="60"/>
  <c r="U20" i="18"/>
  <c r="U15" i="18"/>
  <c r="U14" i="18"/>
  <c r="U13" i="18"/>
  <c r="V23" i="11"/>
  <c r="V26" i="11" s="1"/>
  <c r="V28" i="11" s="1"/>
  <c r="V19" i="11"/>
  <c r="V11" i="11"/>
  <c r="U92" i="56"/>
  <c r="U89" i="56"/>
  <c r="U78" i="56"/>
  <c r="U60" i="56"/>
  <c r="U46" i="56"/>
  <c r="U38" i="55"/>
  <c r="U57" i="55"/>
  <c r="U49" i="55"/>
  <c r="U22" i="55"/>
  <c r="U21" i="55" s="1"/>
  <c r="U13" i="55"/>
  <c r="U12" i="18" l="1"/>
  <c r="U37" i="55"/>
  <c r="U62" i="56"/>
  <c r="U64" i="56" s="1"/>
  <c r="U91" i="56" s="1"/>
  <c r="U93" i="56" s="1"/>
  <c r="U12" i="55"/>
  <c r="V25" i="60"/>
  <c r="U37" i="59"/>
  <c r="U12" i="59"/>
  <c r="AL17" i="64" l="1"/>
  <c r="AK17" i="64"/>
  <c r="AI17" i="64"/>
  <c r="AD17" i="64"/>
  <c r="AH17" i="64"/>
  <c r="AK23" i="62"/>
  <c r="AJ23" i="62"/>
  <c r="AI23" i="62"/>
  <c r="AL14" i="62"/>
  <c r="AL22" i="62" s="1"/>
  <c r="AK14" i="62"/>
  <c r="AK22" i="62" s="1"/>
  <c r="AJ14" i="62"/>
  <c r="AJ22" i="62" s="1"/>
  <c r="AI14" i="62"/>
  <c r="AI22" i="62" s="1"/>
  <c r="AH23" i="62"/>
  <c r="AG23" i="62"/>
  <c r="AF23" i="62"/>
  <c r="AE23" i="62"/>
  <c r="AD23" i="62"/>
  <c r="AH14" i="62"/>
  <c r="AH22" i="62" s="1"/>
  <c r="AG14" i="62"/>
  <c r="AG22" i="62" s="1"/>
  <c r="AF14" i="62"/>
  <c r="AF22" i="62" s="1"/>
  <c r="AE14" i="62"/>
  <c r="AE22" i="62" s="1"/>
  <c r="AD14" i="62"/>
  <c r="AD22" i="62" s="1"/>
  <c r="AB23" i="62"/>
  <c r="AA23" i="62"/>
  <c r="Z23" i="62"/>
  <c r="Y23" i="62"/>
  <c r="AC14" i="62"/>
  <c r="AB14" i="62"/>
  <c r="AA14" i="62"/>
  <c r="AA22" i="62" s="1"/>
  <c r="Z14" i="62"/>
  <c r="Z22" i="62" s="1"/>
  <c r="Y14" i="62"/>
  <c r="Y22" i="62" s="1"/>
  <c r="AL23" i="54"/>
  <c r="AK23" i="54"/>
  <c r="AJ23" i="54"/>
  <c r="AI23" i="54"/>
  <c r="AL17" i="54"/>
  <c r="AL14" i="54"/>
  <c r="AK14" i="54"/>
  <c r="AK22" i="54" s="1"/>
  <c r="AJ14" i="54"/>
  <c r="AJ22" i="54" s="1"/>
  <c r="AI14" i="54"/>
  <c r="AI22" i="54" s="1"/>
  <c r="AH23" i="54"/>
  <c r="AG23" i="54"/>
  <c r="AF23" i="54"/>
  <c r="AE23" i="54"/>
  <c r="AD23" i="54"/>
  <c r="AH14" i="54"/>
  <c r="AH22" i="54" s="1"/>
  <c r="AG14" i="54"/>
  <c r="AG22" i="54" s="1"/>
  <c r="AF14" i="54"/>
  <c r="AF22" i="54" s="1"/>
  <c r="AE14" i="54"/>
  <c r="AE22" i="54" s="1"/>
  <c r="AD14" i="54"/>
  <c r="AD22" i="54" s="1"/>
  <c r="AA23" i="54"/>
  <c r="AA14" i="54"/>
  <c r="AA22" i="54" s="1"/>
  <c r="AG26" i="54" l="1"/>
  <c r="AG28" i="54" s="1"/>
  <c r="AH26" i="54"/>
  <c r="AH28" i="54" s="1"/>
  <c r="AJ26" i="54"/>
  <c r="AJ28" i="54" s="1"/>
  <c r="AD26" i="54"/>
  <c r="AD28" i="54" s="1"/>
  <c r="AF26" i="62"/>
  <c r="AF28" i="62" s="1"/>
  <c r="AI26" i="62"/>
  <c r="AI28" i="62" s="1"/>
  <c r="AG26" i="62"/>
  <c r="AG28" i="62" s="1"/>
  <c r="AJ26" i="62"/>
  <c r="AJ28" i="62" s="1"/>
  <c r="AK26" i="62"/>
  <c r="AK28" i="62" s="1"/>
  <c r="AF17" i="64"/>
  <c r="AE17" i="64"/>
  <c r="AG17" i="64"/>
  <c r="AJ17" i="64"/>
  <c r="Z26" i="62"/>
  <c r="Z28" i="62" s="1"/>
  <c r="AD26" i="62"/>
  <c r="AD28" i="62" s="1"/>
  <c r="AH26" i="62"/>
  <c r="AH28" i="62" s="1"/>
  <c r="AA26" i="62"/>
  <c r="AA28" i="62" s="1"/>
  <c r="AE26" i="62"/>
  <c r="AE28" i="62" s="1"/>
  <c r="Y26" i="62"/>
  <c r="Y28" i="62" s="1"/>
  <c r="AI26" i="54"/>
  <c r="AI28" i="54" s="1"/>
  <c r="AK26" i="54"/>
  <c r="AK28" i="54" s="1"/>
  <c r="AL22" i="54"/>
  <c r="AL26" i="54" s="1"/>
  <c r="AL28" i="54" s="1"/>
  <c r="AF26" i="54"/>
  <c r="AF28" i="54" s="1"/>
  <c r="AE26" i="54"/>
  <c r="AE28" i="54" s="1"/>
  <c r="AA26" i="54"/>
  <c r="AA28" i="54" s="1"/>
  <c r="V87" i="63" l="1"/>
  <c r="V60" i="63"/>
  <c r="V48" i="63"/>
  <c r="W31" i="60"/>
  <c r="W26" i="60"/>
  <c r="W20" i="60"/>
  <c r="W11" i="60"/>
  <c r="V59" i="59"/>
  <c r="V50" i="59"/>
  <c r="V38" i="59"/>
  <c r="V22" i="59"/>
  <c r="V21" i="59" s="1"/>
  <c r="V13" i="59"/>
  <c r="V20" i="18"/>
  <c r="V15" i="18"/>
  <c r="V14" i="18"/>
  <c r="V13" i="18"/>
  <c r="W28" i="11"/>
  <c r="W23" i="11"/>
  <c r="W19" i="11"/>
  <c r="W11" i="11"/>
  <c r="Z17" i="13"/>
  <c r="Y17" i="13"/>
  <c r="V78" i="56"/>
  <c r="V89" i="56"/>
  <c r="V60" i="56"/>
  <c r="V46" i="56"/>
  <c r="V57" i="55"/>
  <c r="V49" i="55"/>
  <c r="V38" i="55"/>
  <c r="V22" i="55"/>
  <c r="V21" i="55" s="1"/>
  <c r="V13" i="55"/>
  <c r="V62" i="63" l="1"/>
  <c r="V64" i="63" s="1"/>
  <c r="V90" i="63" s="1"/>
  <c r="V92" i="63" s="1"/>
  <c r="V62" i="56"/>
  <c r="V64" i="56" s="1"/>
  <c r="V12" i="18"/>
  <c r="V37" i="59"/>
  <c r="V12" i="59"/>
  <c r="V37" i="55"/>
  <c r="V12" i="55"/>
  <c r="Z23" i="54"/>
  <c r="Y23" i="54"/>
  <c r="Z14" i="54"/>
  <c r="Z22" i="54" s="1"/>
  <c r="Y14" i="54"/>
  <c r="Y22" i="54" s="1"/>
  <c r="Y26" i="54" l="1"/>
  <c r="Y28" i="54" s="1"/>
  <c r="Z26" i="54"/>
  <c r="Z28" i="54" s="1"/>
  <c r="X26" i="60"/>
  <c r="X20" i="60"/>
  <c r="X11" i="60"/>
  <c r="AB17" i="64"/>
  <c r="AA17" i="64"/>
  <c r="W87" i="63"/>
  <c r="W60" i="63"/>
  <c r="W48" i="63"/>
  <c r="W59" i="59"/>
  <c r="W50" i="59"/>
  <c r="W38" i="59"/>
  <c r="W22" i="59"/>
  <c r="W21" i="59" s="1"/>
  <c r="W13" i="59"/>
  <c r="W20" i="18"/>
  <c r="W12" i="18"/>
  <c r="X28" i="11"/>
  <c r="X19" i="11"/>
  <c r="X11" i="11"/>
  <c r="AB17" i="13"/>
  <c r="AA17" i="13"/>
  <c r="W89" i="56"/>
  <c r="W78" i="56"/>
  <c r="W60" i="56"/>
  <c r="W46" i="56"/>
  <c r="W57" i="55"/>
  <c r="W49" i="55"/>
  <c r="W38" i="55"/>
  <c r="W22" i="55"/>
  <c r="W21" i="55" s="1"/>
  <c r="W13" i="55"/>
  <c r="AB23" i="54"/>
  <c r="AB14" i="54"/>
  <c r="AB22" i="54" s="1"/>
  <c r="AB26" i="54" l="1"/>
  <c r="AB28" i="54" s="1"/>
  <c r="W37" i="55"/>
  <c r="W12" i="59"/>
  <c r="X25" i="60"/>
  <c r="X29" i="60" s="1"/>
  <c r="X31" i="60" s="1"/>
  <c r="W37" i="59"/>
  <c r="W12" i="55"/>
  <c r="W62" i="63"/>
  <c r="W64" i="63" s="1"/>
  <c r="W90" i="63" s="1"/>
  <c r="W92" i="63" s="1"/>
  <c r="W62" i="56"/>
  <c r="W64" i="56" s="1"/>
  <c r="Y26" i="60"/>
  <c r="Y20" i="60"/>
  <c r="Y11" i="60"/>
  <c r="AC17" i="64"/>
  <c r="X87" i="63"/>
  <c r="X60" i="63"/>
  <c r="X48" i="63"/>
  <c r="X59" i="59"/>
  <c r="X50" i="59"/>
  <c r="X38" i="59"/>
  <c r="X22" i="59"/>
  <c r="X21" i="59" s="1"/>
  <c r="X13" i="59"/>
  <c r="X20" i="18"/>
  <c r="X12" i="18"/>
  <c r="Y23" i="11"/>
  <c r="Y19" i="11"/>
  <c r="Y11" i="11"/>
  <c r="AC17" i="13"/>
  <c r="X89" i="56"/>
  <c r="X78" i="56"/>
  <c r="X60" i="56"/>
  <c r="X46" i="56"/>
  <c r="X57" i="55"/>
  <c r="X49" i="55"/>
  <c r="X38" i="55"/>
  <c r="X22" i="55"/>
  <c r="X21" i="55" s="1"/>
  <c r="X13" i="55"/>
  <c r="Y22" i="11" l="1"/>
  <c r="Y26" i="11" s="1"/>
  <c r="Y28" i="11" s="1"/>
  <c r="X12" i="59"/>
  <c r="X37" i="59"/>
  <c r="Y25" i="60"/>
  <c r="Y29" i="60" s="1"/>
  <c r="Y31" i="60" s="1"/>
  <c r="X62" i="63"/>
  <c r="X64" i="63" s="1"/>
  <c r="X90" i="63" s="1"/>
  <c r="X92" i="63" s="1"/>
  <c r="X62" i="56"/>
  <c r="X64" i="56" s="1"/>
  <c r="X37" i="55"/>
  <c r="X12" i="55"/>
  <c r="AC14" i="54"/>
  <c r="AC22" i="54" s="1"/>
  <c r="AC26" i="54" s="1"/>
  <c r="AC28" i="54" s="1"/>
  <c r="Z26" i="60" l="1"/>
  <c r="Z20" i="60"/>
  <c r="Z11" i="60"/>
  <c r="Y87" i="63"/>
  <c r="Y60" i="63"/>
  <c r="Y48" i="63"/>
  <c r="Y59" i="59"/>
  <c r="Y50" i="59"/>
  <c r="Y38" i="59"/>
  <c r="Y22" i="59"/>
  <c r="Y21" i="59" s="1"/>
  <c r="Y13" i="59"/>
  <c r="AC21" i="62"/>
  <c r="AB21" i="62" s="1"/>
  <c r="AC20" i="62"/>
  <c r="AB20" i="62" s="1"/>
  <c r="AC19" i="62"/>
  <c r="Y20" i="18"/>
  <c r="Y12" i="18"/>
  <c r="Z23" i="11"/>
  <c r="Z11" i="11"/>
  <c r="Z22" i="11" s="1"/>
  <c r="Z26" i="11" s="1"/>
  <c r="Z28" i="11" s="1"/>
  <c r="AD17" i="13"/>
  <c r="AE17" i="13"/>
  <c r="Y89" i="56"/>
  <c r="Y78" i="56"/>
  <c r="Y60" i="56"/>
  <c r="Y46" i="56"/>
  <c r="Y57" i="55"/>
  <c r="Y49" i="55"/>
  <c r="Y38" i="55"/>
  <c r="Y22" i="55"/>
  <c r="Y21" i="55" s="1"/>
  <c r="Y13" i="55"/>
  <c r="Z25" i="60" l="1"/>
  <c r="Z29" i="60" s="1"/>
  <c r="Z31" i="60" s="1"/>
  <c r="Y12" i="59"/>
  <c r="Y37" i="59"/>
  <c r="AB19" i="62"/>
  <c r="AB22" i="62" s="1"/>
  <c r="AB26" i="62" s="1"/>
  <c r="AB28" i="62" s="1"/>
  <c r="AC22" i="62"/>
  <c r="AC26" i="62" s="1"/>
  <c r="AC28" i="62" s="1"/>
  <c r="Y12" i="55"/>
  <c r="Y37" i="55"/>
  <c r="Y62" i="56"/>
  <c r="Y64" i="56" s="1"/>
  <c r="Y91" i="56" s="1"/>
  <c r="Y62" i="63"/>
  <c r="Y64" i="63" s="1"/>
  <c r="Y90" i="63" s="1"/>
  <c r="AA26" i="60"/>
  <c r="AA20" i="60"/>
  <c r="AA11" i="60"/>
  <c r="Z87" i="63"/>
  <c r="Z60" i="63"/>
  <c r="Z48" i="63"/>
  <c r="Z59" i="59"/>
  <c r="Z58" i="59"/>
  <c r="Z57" i="59"/>
  <c r="Z43" i="59"/>
  <c r="Z42" i="59"/>
  <c r="Z22" i="59"/>
  <c r="Z21" i="59" s="1"/>
  <c r="Z13" i="59"/>
  <c r="AA23" i="11"/>
  <c r="AA19" i="11"/>
  <c r="AA11" i="11"/>
  <c r="Z89" i="56"/>
  <c r="Z78" i="56"/>
  <c r="Z60" i="56"/>
  <c r="Z46" i="56"/>
  <c r="Z57" i="55"/>
  <c r="Z53" i="55"/>
  <c r="Z49" i="55" s="1"/>
  <c r="Z43" i="55"/>
  <c r="Z38" i="55" s="1"/>
  <c r="Z22" i="55"/>
  <c r="Z21" i="55" s="1"/>
  <c r="Z13" i="55"/>
  <c r="Z50" i="59" l="1"/>
  <c r="Z62" i="63"/>
  <c r="Z64" i="63" s="1"/>
  <c r="Z90" i="63" s="1"/>
  <c r="Z12" i="59"/>
  <c r="AA25" i="60"/>
  <c r="AA29" i="60" s="1"/>
  <c r="AA31" i="60" s="1"/>
  <c r="AA22" i="11"/>
  <c r="AA26" i="11" s="1"/>
  <c r="AA28" i="11" s="1"/>
  <c r="Z38" i="59"/>
  <c r="Z37" i="55"/>
  <c r="Z62" i="56"/>
  <c r="Z64" i="56" s="1"/>
  <c r="Z91" i="56" s="1"/>
  <c r="Z12" i="55"/>
  <c r="AF17" i="13"/>
  <c r="Z37" i="59" l="1"/>
  <c r="AL14" i="60"/>
  <c r="AK14" i="60"/>
  <c r="AJ14" i="60"/>
  <c r="AI14" i="60"/>
  <c r="AH14" i="60"/>
  <c r="AG14" i="60"/>
  <c r="AF14" i="60"/>
  <c r="AE14" i="60"/>
  <c r="AD14" i="60"/>
  <c r="AC14" i="60"/>
  <c r="AP15" i="11" l="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G12" i="60"/>
  <c r="AF12" i="60"/>
  <c r="AE12" i="60"/>
  <c r="AD12" i="60"/>
  <c r="AG12" i="11"/>
  <c r="AF12" i="11"/>
  <c r="AE12" i="11"/>
  <c r="AD12" i="11"/>
  <c r="AC12" i="11"/>
  <c r="AB26" i="60" l="1"/>
  <c r="AB20" i="60"/>
  <c r="AB11" i="60"/>
  <c r="AA91" i="63"/>
  <c r="Z91" i="63" s="1"/>
  <c r="AA87" i="63"/>
  <c r="AA60" i="63"/>
  <c r="AA48" i="63"/>
  <c r="AA59" i="59"/>
  <c r="AA50" i="59"/>
  <c r="AA38" i="59"/>
  <c r="AA22" i="59"/>
  <c r="AA21" i="59" s="1"/>
  <c r="AA13" i="59"/>
  <c r="AB23" i="11"/>
  <c r="AB19" i="11"/>
  <c r="AB11" i="11"/>
  <c r="AG17" i="13"/>
  <c r="AA92" i="56"/>
  <c r="Z92" i="56" s="1"/>
  <c r="AA89" i="56"/>
  <c r="AA78" i="56"/>
  <c r="AA60" i="56"/>
  <c r="AA46" i="56"/>
  <c r="AA57" i="55"/>
  <c r="AA49" i="55"/>
  <c r="AA38" i="55"/>
  <c r="AA22" i="55"/>
  <c r="AA21" i="55" s="1"/>
  <c r="AA13" i="55"/>
  <c r="AB25" i="60" l="1"/>
  <c r="AB29" i="60" s="1"/>
  <c r="AB31" i="60" s="1"/>
  <c r="Y91" i="63"/>
  <c r="Y92" i="63" s="1"/>
  <c r="Z92" i="63"/>
  <c r="AB22" i="11"/>
  <c r="AB26" i="11" s="1"/>
  <c r="AB28" i="11" s="1"/>
  <c r="Y92" i="56"/>
  <c r="Y93" i="56" s="1"/>
  <c r="Z93" i="56"/>
  <c r="AA62" i="63"/>
  <c r="AA64" i="63" s="1"/>
  <c r="AA90" i="63" s="1"/>
  <c r="AA92" i="63" s="1"/>
  <c r="AA62" i="56"/>
  <c r="AA64" i="56" s="1"/>
  <c r="AA91" i="56" s="1"/>
  <c r="AA93" i="56" s="1"/>
  <c r="AA37" i="59"/>
  <c r="AA12" i="59"/>
  <c r="AA37" i="55"/>
  <c r="AA12" i="55"/>
  <c r="AK58" i="59"/>
  <c r="AJ58" i="59"/>
  <c r="AI58" i="59"/>
  <c r="AH58" i="59"/>
  <c r="AG58" i="59"/>
  <c r="AF58" i="59"/>
  <c r="AE58" i="59"/>
  <c r="AD58" i="59"/>
  <c r="AC58" i="59"/>
  <c r="AK57" i="59"/>
  <c r="AJ57" i="59"/>
  <c r="AI57" i="59"/>
  <c r="AH57" i="59"/>
  <c r="AG57" i="59"/>
  <c r="AE57" i="59"/>
  <c r="AD57" i="59"/>
  <c r="AC57" i="59"/>
  <c r="AK43" i="59"/>
  <c r="AJ43" i="59"/>
  <c r="AI43" i="59"/>
  <c r="AH43" i="59"/>
  <c r="AG43" i="59"/>
  <c r="AF43" i="59"/>
  <c r="AE43" i="59"/>
  <c r="AD43" i="59"/>
  <c r="AC43" i="59"/>
  <c r="AB22" i="59"/>
  <c r="AB21" i="59" s="1"/>
  <c r="AB13" i="59"/>
  <c r="AA20" i="18"/>
  <c r="AB20" i="18"/>
  <c r="AC20" i="18"/>
  <c r="AD20" i="18"/>
  <c r="AE20" i="18"/>
  <c r="AC14" i="11"/>
  <c r="AC11" i="11" s="1"/>
  <c r="AH17" i="13"/>
  <c r="AB89" i="56"/>
  <c r="AB78" i="56"/>
  <c r="AB60" i="56"/>
  <c r="AB46" i="56"/>
  <c r="AB57" i="55"/>
  <c r="AB49" i="55"/>
  <c r="AB38" i="55"/>
  <c r="AB22" i="55"/>
  <c r="AB21" i="55" s="1"/>
  <c r="AB13" i="55"/>
  <c r="AC26" i="60"/>
  <c r="AC20" i="60"/>
  <c r="AB87" i="63"/>
  <c r="AB60" i="63"/>
  <c r="AB48" i="63"/>
  <c r="AB59" i="59"/>
  <c r="AB50" i="59"/>
  <c r="AB38" i="59"/>
  <c r="AC23" i="11"/>
  <c r="AC19" i="11"/>
  <c r="AC22" i="11" l="1"/>
  <c r="AC26" i="11" s="1"/>
  <c r="AC28" i="11" s="1"/>
  <c r="AB37" i="55"/>
  <c r="AB12" i="55"/>
  <c r="AB62" i="56"/>
  <c r="AB64" i="56" s="1"/>
  <c r="AB91" i="56" s="1"/>
  <c r="AB93" i="56" s="1"/>
  <c r="AB62" i="63"/>
  <c r="AB64" i="63" s="1"/>
  <c r="AB90" i="63" s="1"/>
  <c r="AB92" i="63" s="1"/>
  <c r="AB12" i="59"/>
  <c r="AB37" i="59"/>
  <c r="AD26" i="60"/>
  <c r="AD20" i="60"/>
  <c r="AD11" i="60"/>
  <c r="AC87" i="63"/>
  <c r="AC60" i="63"/>
  <c r="AC48" i="63"/>
  <c r="AC59" i="59"/>
  <c r="AC50" i="59"/>
  <c r="AC38" i="59"/>
  <c r="AC22" i="59"/>
  <c r="AC21" i="59" s="1"/>
  <c r="AC13" i="59"/>
  <c r="Z20" i="18"/>
  <c r="Z12" i="18"/>
  <c r="AD23" i="11"/>
  <c r="AD19" i="11"/>
  <c r="AD11" i="11"/>
  <c r="AJ17" i="13"/>
  <c r="AC89" i="56"/>
  <c r="AC78" i="56"/>
  <c r="AC60" i="56"/>
  <c r="AC46" i="56"/>
  <c r="AC57" i="55"/>
  <c r="AC49" i="55"/>
  <c r="AC43" i="55"/>
  <c r="AC38" i="55" s="1"/>
  <c r="AC22" i="55"/>
  <c r="AC21" i="55" s="1"/>
  <c r="AC13" i="55"/>
  <c r="AC37" i="55" l="1"/>
  <c r="AC37" i="59"/>
  <c r="AC12" i="55"/>
  <c r="AI17" i="13"/>
  <c r="AC62" i="56"/>
  <c r="AC64" i="56" s="1"/>
  <c r="AC91" i="56" s="1"/>
  <c r="AC93" i="56" s="1"/>
  <c r="AD25" i="60"/>
  <c r="AD29" i="60" s="1"/>
  <c r="AD31" i="60" s="1"/>
  <c r="AD22" i="11"/>
  <c r="AD26" i="11" s="1"/>
  <c r="AD28" i="11" s="1"/>
  <c r="AC12" i="59"/>
  <c r="AC62" i="63"/>
  <c r="AC64" i="63" s="1"/>
  <c r="AC90" i="63" s="1"/>
  <c r="AC92" i="63" s="1"/>
  <c r="AE26" i="60" l="1"/>
  <c r="AE20" i="60"/>
  <c r="AE11" i="60"/>
  <c r="AD87" i="63"/>
  <c r="AD60" i="63"/>
  <c r="AD48" i="63"/>
  <c r="AD59" i="59"/>
  <c r="AD50" i="59"/>
  <c r="AD38" i="59"/>
  <c r="AD22" i="59"/>
  <c r="AD21" i="59" s="1"/>
  <c r="AD13" i="59"/>
  <c r="AE23" i="11"/>
  <c r="AE11" i="11"/>
  <c r="AE19" i="11"/>
  <c r="AK17" i="13"/>
  <c r="AE22" i="11" l="1"/>
  <c r="AE26" i="11" s="1"/>
  <c r="AE28" i="11" s="1"/>
  <c r="AE25" i="60"/>
  <c r="AE29" i="60" s="1"/>
  <c r="AE31" i="60" s="1"/>
  <c r="AD62" i="63"/>
  <c r="AD64" i="63" s="1"/>
  <c r="AD90" i="63" s="1"/>
  <c r="AD92" i="63" s="1"/>
  <c r="AD37" i="59"/>
  <c r="AD12" i="59"/>
  <c r="AD89" i="56" l="1"/>
  <c r="AD78" i="56"/>
  <c r="AD60" i="56"/>
  <c r="AD46" i="56"/>
  <c r="AE46" i="56"/>
  <c r="AD57" i="55"/>
  <c r="AD49" i="55"/>
  <c r="AD38" i="55"/>
  <c r="AD22" i="55"/>
  <c r="AD21" i="55" s="1"/>
  <c r="AD13" i="55"/>
  <c r="AD62" i="56" l="1"/>
  <c r="AD64" i="56" s="1"/>
  <c r="AD91" i="56" s="1"/>
  <c r="AD93" i="56" s="1"/>
  <c r="AD12" i="55"/>
  <c r="AD37" i="55"/>
  <c r="AE59" i="59"/>
  <c r="AE50" i="59"/>
  <c r="AE38" i="59"/>
  <c r="AE13" i="59"/>
  <c r="AE22" i="59"/>
  <c r="AE21" i="59" s="1"/>
  <c r="AE48" i="55"/>
  <c r="AE38" i="55" s="1"/>
  <c r="AE57" i="55"/>
  <c r="AE49" i="55"/>
  <c r="AE22" i="55"/>
  <c r="AE21" i="55" s="1"/>
  <c r="AE13" i="55"/>
  <c r="AE12" i="59" l="1"/>
  <c r="AE12" i="55"/>
  <c r="AE37" i="59"/>
  <c r="AE37" i="55"/>
  <c r="AE93" i="56" l="1"/>
  <c r="AE89" i="56"/>
  <c r="AE78" i="56"/>
  <c r="AE60" i="56"/>
  <c r="AE62" i="56" s="1"/>
  <c r="AE64" i="56" s="1"/>
  <c r="AE87" i="63"/>
  <c r="AK60" i="63"/>
  <c r="AJ60" i="63"/>
  <c r="AI60" i="63"/>
  <c r="AH60" i="63"/>
  <c r="AG60" i="63"/>
  <c r="AF60" i="63"/>
  <c r="AE60" i="63"/>
  <c r="AE48" i="63"/>
  <c r="AJ28" i="11"/>
  <c r="AG26" i="11"/>
  <c r="AF19" i="11"/>
  <c r="AF23" i="11"/>
  <c r="AF11" i="11"/>
  <c r="AE62" i="63" l="1"/>
  <c r="AE64" i="63" s="1"/>
  <c r="AE90" i="63" s="1"/>
  <c r="AE92" i="63" s="1"/>
  <c r="AF22" i="11"/>
  <c r="AF26" i="11" s="1"/>
  <c r="AF28" i="11" s="1"/>
  <c r="AF26" i="60"/>
  <c r="AF20" i="60"/>
  <c r="AF11" i="60"/>
  <c r="AF30" i="60"/>
  <c r="AL17" i="13"/>
  <c r="AF25" i="60" l="1"/>
  <c r="AF29" i="60" s="1"/>
  <c r="AF31" i="60" s="1"/>
  <c r="AI15" i="60" l="1"/>
  <c r="AM62" i="56" l="1"/>
  <c r="AM64" i="56" s="1"/>
  <c r="AQ66" i="56" l="1"/>
  <c r="AE12" i="18" l="1"/>
  <c r="AD12" i="18" l="1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D3" i="34"/>
  <c r="F4" i="34"/>
  <c r="F3" i="34"/>
  <c r="C5" i="34"/>
  <c r="D5" i="34" s="1"/>
  <c r="G5" i="34"/>
  <c r="H5" i="34" s="1"/>
  <c r="C10" i="34"/>
  <c r="C11" i="34" s="1"/>
  <c r="D11" i="34" s="1"/>
  <c r="E11" i="34"/>
  <c r="F11" i="34" s="1"/>
  <c r="C19" i="34"/>
  <c r="G19" i="34"/>
  <c r="H19" i="34" s="1"/>
  <c r="E22" i="34"/>
  <c r="C23" i="34"/>
  <c r="D23" i="34" s="1"/>
  <c r="G23" i="34"/>
  <c r="H22" i="34" s="1"/>
  <c r="G11" i="34"/>
  <c r="H11" i="34" s="1"/>
  <c r="E19" i="34"/>
  <c r="E23" i="34"/>
  <c r="F23" i="34" s="1"/>
  <c r="H20" i="34" l="1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H12" i="30" s="1"/>
  <c r="U11" i="30"/>
  <c r="T11" i="30"/>
  <c r="S11" i="30"/>
  <c r="Q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Q12" i="30" s="1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2" i="30" l="1"/>
  <c r="R12" i="30"/>
  <c r="I12" i="30"/>
  <c r="Q10" i="30"/>
  <c r="V11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E11" i="6"/>
  <c r="D11" i="6"/>
  <c r="F11" i="6" l="1"/>
  <c r="J11" i="30"/>
  <c r="J12" i="30" l="1"/>
  <c r="L11" i="30"/>
  <c r="C11" i="38" l="1"/>
  <c r="C12" i="38" s="1"/>
  <c r="E11" i="38"/>
  <c r="E12" i="38" s="1"/>
  <c r="D11" i="38"/>
  <c r="D12" i="38" s="1"/>
  <c r="AC11" i="60"/>
  <c r="AC25" i="60" s="1"/>
  <c r="AC29" i="60" s="1"/>
  <c r="AC3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K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K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K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sharedStrings.xml><?xml version="1.0" encoding="utf-8"?>
<sst xmlns="http://schemas.openxmlformats.org/spreadsheetml/2006/main" count="1037" uniqueCount="451">
  <si>
    <t>4T12</t>
  </si>
  <si>
    <t>2T13</t>
  </si>
  <si>
    <t>3T13</t>
  </si>
  <si>
    <t>Lucro Líquido</t>
  </si>
  <si>
    <t>4T13</t>
  </si>
  <si>
    <t>1T14</t>
  </si>
  <si>
    <t>2T14</t>
  </si>
  <si>
    <t>Value</t>
  </si>
  <si>
    <t>Change</t>
  </si>
  <si>
    <t>Operacional</t>
  </si>
  <si>
    <t>Investimento</t>
  </si>
  <si>
    <t>Financiamento</t>
  </si>
  <si>
    <t>Aplicações Financeiras</t>
  </si>
  <si>
    <t>Dívida líquida</t>
  </si>
  <si>
    <t>1S14</t>
  </si>
  <si>
    <t xml:space="preserve">1T13 </t>
  </si>
  <si>
    <t>Imposto de Renda/Contribuição Social</t>
  </si>
  <si>
    <t>Resultado Financeiro Líquido</t>
  </si>
  <si>
    <t>Depreciação e amortização</t>
  </si>
  <si>
    <t>Custo</t>
  </si>
  <si>
    <t>Despesas</t>
  </si>
  <si>
    <t>EBITDA¹</t>
  </si>
  <si>
    <t>¹ EBITDA calculado de acordo com a instrução CVM Nº 527/12.</t>
  </si>
  <si>
    <t>Mercado interno</t>
  </si>
  <si>
    <t>Mercado externo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</si>
  <si>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</si>
  <si>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</si>
  <si>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</si>
  <si>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</si>
  <si>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</si>
  <si>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Outros</t>
  </si>
  <si>
    <t>Despesas com vendas</t>
  </si>
  <si>
    <t>Despesas gerais e administrativas</t>
  </si>
  <si>
    <t>Custos das vendas</t>
  </si>
  <si>
    <t xml:space="preserve">2T14 </t>
  </si>
  <si>
    <t xml:space="preserve">1T14 </t>
  </si>
  <si>
    <t>Var(%)</t>
  </si>
  <si>
    <t>Var(R$ mil)</t>
  </si>
  <si>
    <t>Custos totais das vendas, despesas com vendas e despesas administrativas</t>
  </si>
  <si>
    <t>Energia elétrica</t>
  </si>
  <si>
    <t>Despesas por natureza (valores em R$ mil)</t>
  </si>
  <si>
    <t>Caixa e Eq. Inicial</t>
  </si>
  <si>
    <t>Caixa e Eq. Final</t>
  </si>
  <si>
    <t>Caixa e Eq. +Aplicações Financeiras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</si>
  <si>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</si>
  <si>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</si>
  <si>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</si>
  <si>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</si>
  <si>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</si>
  <si>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</si>
  <si>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</si>
  <si>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</si>
  <si>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</si>
  <si>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</si>
  <si>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</si>
  <si>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</si>
  <si>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</si>
  <si>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</si>
  <si>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</si>
  <si>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</si>
  <si>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</si>
  <si>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</si>
  <si>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</si>
  <si>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</si>
  <si>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</si>
  <si>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</si>
  <si>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</si>
  <si>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</si>
  <si>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</si>
  <si>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</si>
  <si>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Preço</t>
  </si>
  <si>
    <t>Retorno</t>
  </si>
  <si>
    <t>UNIP3</t>
  </si>
  <si>
    <t>UNIP6</t>
  </si>
  <si>
    <t>UNIP5</t>
  </si>
  <si>
    <t>IBOV</t>
  </si>
  <si>
    <t>Média</t>
  </si>
  <si>
    <t>Desvio padrão</t>
  </si>
  <si>
    <t>ON</t>
  </si>
  <si>
    <t>Pref"A"</t>
  </si>
  <si>
    <t>Pref"B"</t>
  </si>
  <si>
    <t>9M13</t>
  </si>
  <si>
    <t>9M12</t>
  </si>
  <si>
    <t>* ajustado por proventos</t>
  </si>
  <si>
    <t>Participação nos pregões 12 meses</t>
  </si>
  <si>
    <t>Volume médio diário negociado 2T14 R$</t>
  </si>
  <si>
    <t>(D) Fechamento (dez/13)</t>
  </si>
  <si>
    <t>RESUMO DAS AÇÕES DA COMPANHIA NA BM&amp;FBOVESPA*</t>
  </si>
  <si>
    <t>3T14</t>
  </si>
  <si>
    <t>(E) = (B)/(D) = Valorização 9M14</t>
  </si>
  <si>
    <t>(F) Fechamento (jun/14)</t>
  </si>
  <si>
    <t>(G) = (B)/(F) = Valorização 3T14</t>
  </si>
  <si>
    <t>Volume médio diário negociado 3T14 R$</t>
  </si>
  <si>
    <t>4T14</t>
  </si>
  <si>
    <t>Var(%) 2014 vs 2013</t>
  </si>
  <si>
    <t>Var(%) 4T14 vs 3T14</t>
  </si>
  <si>
    <t>Var(%) 4T14 vs 4T13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</si>
  <si>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</si>
  <si>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198/248</t>
  </si>
  <si>
    <t>241/248</t>
  </si>
  <si>
    <t>248/248</t>
  </si>
  <si>
    <t>Participação nos pregões 2014</t>
  </si>
  <si>
    <t>Fonte: Bloomberg e BM&amp;FBovespa</t>
  </si>
  <si>
    <t>Dívida líquida/EBITDA</t>
  </si>
  <si>
    <t>Juros, encargos e variações monetárias - despesa</t>
  </si>
  <si>
    <t>Juros capitalizados</t>
  </si>
  <si>
    <t>Pagamentos de juros</t>
  </si>
  <si>
    <t>Transferências - incorporação Carbocloro</t>
  </si>
  <si>
    <t>Transferências da dívida de longo prazo</t>
  </si>
  <si>
    <t>Captações</t>
  </si>
  <si>
    <t>Pagamento de principal</t>
  </si>
  <si>
    <t>Saldo incial</t>
  </si>
  <si>
    <t>-</t>
  </si>
  <si>
    <t>Saldo final</t>
  </si>
  <si>
    <t>Transferências para dívida de curto prazo</t>
  </si>
  <si>
    <t>Movimentação empréstimos e financiamentos de longo prazo</t>
  </si>
  <si>
    <t>Movimentação de empréstimos e financiamentos de curto prazo</t>
  </si>
  <si>
    <t>Volume médio diário negociado 2014 R$</t>
  </si>
  <si>
    <t>1T15</t>
  </si>
  <si>
    <t>(B) Fechamento (mar/15)</t>
  </si>
  <si>
    <t>(C) = (B)/(A) = Valorização 3 meses</t>
  </si>
  <si>
    <t>Menor Cotação  de janeiro a março 2015</t>
  </si>
  <si>
    <t>Participação nos pregões 2015</t>
  </si>
  <si>
    <t>Volume médio diário negociado 2015 R$</t>
  </si>
  <si>
    <t>18/61</t>
  </si>
  <si>
    <t>45/61</t>
  </si>
  <si>
    <t>61/61</t>
  </si>
  <si>
    <t>Maior Cotação  de janeiro a março 2015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</si>
  <si>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</si>
  <si>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</si>
  <si>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</si>
  <si>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</si>
  <si>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</si>
  <si>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</si>
  <si>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</si>
  <si>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</si>
  <si>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</si>
  <si>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</si>
  <si>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Empréstimos e Financiamentos</t>
  </si>
  <si>
    <t>Passivo não Circulante</t>
  </si>
  <si>
    <t>Passivo Total</t>
  </si>
  <si>
    <t>(A) Fechamento (mar/14)</t>
  </si>
  <si>
    <t>UNIP3 ON</t>
  </si>
  <si>
    <t>UNIP5 Pref"A"</t>
  </si>
  <si>
    <t>UNIP6 Pref"B"</t>
  </si>
  <si>
    <t>2014</t>
  </si>
  <si>
    <t>2015</t>
  </si>
  <si>
    <t>9M16</t>
  </si>
  <si>
    <t>2016</t>
  </si>
  <si>
    <t xml:space="preserve"> R$ </t>
  </si>
  <si>
    <t xml:space="preserve"> AR$ </t>
  </si>
  <si>
    <t xml:space="preserve"> US$ </t>
  </si>
  <si>
    <t>0,28x</t>
  </si>
  <si>
    <t>0,18x</t>
  </si>
  <si>
    <t>0,23x</t>
  </si>
  <si>
    <t>EBITDA ¹</t>
  </si>
  <si>
    <t>9M17</t>
  </si>
  <si>
    <t xml:space="preserve">             -  </t>
  </si>
  <si>
    <t>0,41x</t>
  </si>
  <si>
    <t xml:space="preserve">                -  </t>
  </si>
  <si>
    <t>0,44x</t>
  </si>
  <si>
    <t>2017</t>
  </si>
  <si>
    <t>9M18</t>
  </si>
  <si>
    <t>(R$ thousand)</t>
  </si>
  <si>
    <t>3Q18</t>
  </si>
  <si>
    <t>1H18</t>
  </si>
  <si>
    <t>2Q18</t>
  </si>
  <si>
    <t>1Q18</t>
  </si>
  <si>
    <t>4Q17</t>
  </si>
  <si>
    <t>3Q17</t>
  </si>
  <si>
    <t>1H17</t>
  </si>
  <si>
    <t>2Q17</t>
  </si>
  <si>
    <t>1Q17</t>
  </si>
  <si>
    <t>4Q16</t>
  </si>
  <si>
    <t>3Q16</t>
  </si>
  <si>
    <t>1H16</t>
  </si>
  <si>
    <t>2Q16</t>
  </si>
  <si>
    <t>1Q16</t>
  </si>
  <si>
    <t>2013</t>
  </si>
  <si>
    <t>Currency</t>
  </si>
  <si>
    <t>R$</t>
  </si>
  <si>
    <t>US$</t>
  </si>
  <si>
    <t>Net operating revenue</t>
  </si>
  <si>
    <t>Cost of goods sold</t>
  </si>
  <si>
    <t>Gross profit</t>
  </si>
  <si>
    <t>Selling expenses</t>
  </si>
  <si>
    <t>Administrative expenses</t>
  </si>
  <si>
    <t>Other operating income (expenses), net</t>
  </si>
  <si>
    <t>Business combination result</t>
  </si>
  <si>
    <t>Loss due to non-recoverability of assets</t>
  </si>
  <si>
    <t>Acquisition price adjustment</t>
  </si>
  <si>
    <t>Equity method result</t>
  </si>
  <si>
    <t>Income before financial result, income tax and social contribution</t>
  </si>
  <si>
    <t>Financial income (expenses), net</t>
  </si>
  <si>
    <t>Financial income</t>
  </si>
  <si>
    <t>Financial expenses</t>
  </si>
  <si>
    <t>Income before income tax and social contribution</t>
  </si>
  <si>
    <t>Deferred (current) income and socialcontribution taxes</t>
  </si>
  <si>
    <t>Net income for the period</t>
  </si>
  <si>
    <t>Total assets</t>
  </si>
  <si>
    <t>Current assets</t>
  </si>
  <si>
    <t>Cash and cash equivalent</t>
  </si>
  <si>
    <t>Financial investments</t>
  </si>
  <si>
    <t>Accounts receivable from clients</t>
  </si>
  <si>
    <t>Taxes recoverable</t>
  </si>
  <si>
    <t>Inventories</t>
  </si>
  <si>
    <t>Prepaid expenses</t>
  </si>
  <si>
    <t>Other current assets</t>
  </si>
  <si>
    <t>Non-current assets</t>
  </si>
  <si>
    <t>Long-term assets</t>
  </si>
  <si>
    <t>Deposits in court</t>
  </si>
  <si>
    <t>Investments</t>
  </si>
  <si>
    <t>Property, plant and equipment</t>
  </si>
  <si>
    <t>Intangible</t>
  </si>
  <si>
    <t>Total liabilities</t>
  </si>
  <si>
    <t>Current liabilities</t>
  </si>
  <si>
    <t>Suppliers</t>
  </si>
  <si>
    <t>Loans and Financing</t>
  </si>
  <si>
    <t>Salaries and social charges</t>
  </si>
  <si>
    <t>Income tax and social contribution</t>
  </si>
  <si>
    <t>Dividends payable</t>
  </si>
  <si>
    <t>Judicial claims</t>
  </si>
  <si>
    <t>Electricity</t>
  </si>
  <si>
    <t>Other current liabilities</t>
  </si>
  <si>
    <t>Non-current liabilities</t>
  </si>
  <si>
    <t>Deferred income and social contribution taxes</t>
  </si>
  <si>
    <t>Obligations with retirement benefits</t>
  </si>
  <si>
    <t>Other non-current liabilities</t>
  </si>
  <si>
    <t>Shareholders' Equity</t>
  </si>
  <si>
    <t>Capital stock</t>
  </si>
  <si>
    <t>Treasury shares</t>
  </si>
  <si>
    <t>Profit reserves</t>
  </si>
  <si>
    <t>Retained earnings</t>
  </si>
  <si>
    <t>Other comprehensive income for the period</t>
  </si>
  <si>
    <t>Other non-current assets</t>
  </si>
  <si>
    <t>Debt with third parties</t>
  </si>
  <si>
    <t>Non-controlling interest</t>
  </si>
  <si>
    <t>Cash flow from operating activities</t>
  </si>
  <si>
    <t>Adjustments to net income</t>
  </si>
  <si>
    <t>Depreciation and amortization</t>
  </si>
  <si>
    <t>Result from assets</t>
  </si>
  <si>
    <t>Provision for judicial claims</t>
  </si>
  <si>
    <t>Provision for doubtfull accounts</t>
  </si>
  <si>
    <t>Deferred income taxes and social contribution</t>
  </si>
  <si>
    <t>Provision for electricity charges</t>
  </si>
  <si>
    <t>Reversal of actuarial provision - FGTS fine and prior notice</t>
  </si>
  <si>
    <t>Provision for loss debentures - Tecsis</t>
  </si>
  <si>
    <t>Amortization of goodwill - Tecsis</t>
  </si>
  <si>
    <t>Reversal of loss provision - Tecsis</t>
  </si>
  <si>
    <t>Comprehensive results from prior years - Tecsis</t>
  </si>
  <si>
    <t>Losses in the first quarter of 2017 - Tecsis</t>
  </si>
  <si>
    <t>Financial loss on debentures - Tecsis</t>
  </si>
  <si>
    <t>Income from held-to-maturity investments</t>
  </si>
  <si>
    <t>FX changes on financial investments</t>
  </si>
  <si>
    <t>Provision for inventory adjustments</t>
  </si>
  <si>
    <t>Changes in assets and liabilities</t>
  </si>
  <si>
    <t>Taxes Recoverable</t>
  </si>
  <si>
    <t>Other assets</t>
  </si>
  <si>
    <t>Taxes, fees and contributions</t>
  </si>
  <si>
    <t>Employee benefit obligations</t>
  </si>
  <si>
    <t>Other liabilities</t>
  </si>
  <si>
    <t>Dividends and interest on capital received</t>
  </si>
  <si>
    <t>Cash provided by operating activities</t>
  </si>
  <si>
    <t>Income tax and social contribution paid</t>
  </si>
  <si>
    <t>Net cash provided by operating activities</t>
  </si>
  <si>
    <t>Cash flow from investing activities</t>
  </si>
  <si>
    <t>Net financial investments from redemptions</t>
  </si>
  <si>
    <t>Receipt on acquisition of minority shares</t>
  </si>
  <si>
    <t>Purchase of fixed assetsnad intangible assets</t>
  </si>
  <si>
    <t>Receipt from the sale of property, plant and equipment</t>
  </si>
  <si>
    <t>Desinvestment Tecsis</t>
  </si>
  <si>
    <t>Contribution of capital to investee</t>
  </si>
  <si>
    <t>Acquisition of a company net of cash</t>
  </si>
  <si>
    <t>Cash generated (invested) in investing activities</t>
  </si>
  <si>
    <t>Cash flow from financing activities</t>
  </si>
  <si>
    <t>Loans/debentures payments</t>
  </si>
  <si>
    <t>Payment of interest and other charges</t>
  </si>
  <si>
    <t>Borrowings</t>
  </si>
  <si>
    <t>Dividends paid</t>
  </si>
  <si>
    <t>Net cash provided by (used in) financing activities</t>
  </si>
  <si>
    <t>Increase (decrease) in cash and cash equivalents, net</t>
  </si>
  <si>
    <t>Cash and cash equivalents at end of the year</t>
  </si>
  <si>
    <t>Cash and cash equivalents at beginning of the year</t>
  </si>
  <si>
    <t>Provision for interest and other charges and loans</t>
  </si>
  <si>
    <t>Provision for restructuring</t>
  </si>
  <si>
    <t>Dividends received</t>
  </si>
  <si>
    <t>Cash of company acquired in business combination</t>
  </si>
  <si>
    <t>FX change on cash and cash equivalents</t>
  </si>
  <si>
    <t>Net Income</t>
  </si>
  <si>
    <t>Net Financial Result</t>
  </si>
  <si>
    <t>Income Tax / Social Contribution</t>
  </si>
  <si>
    <t>Depreciation and Amortization</t>
  </si>
  <si>
    <t>Funding in national currency ²</t>
  </si>
  <si>
    <t>Funding in foreign currency ²</t>
  </si>
  <si>
    <t>Gross Debt</t>
  </si>
  <si>
    <t>Cash and cash equivalents and financial investments</t>
  </si>
  <si>
    <t>Cash and cash equivalents</t>
  </si>
  <si>
    <t>Net Debt</t>
  </si>
  <si>
    <t>EBITDA ltm¹</t>
  </si>
  <si>
    <t>Net Debt/EBITDA ltm¹</t>
  </si>
  <si>
    <t>Number of Shares - thousand**</t>
  </si>
  <si>
    <t>Closing Price - R$</t>
  </si>
  <si>
    <t>Daily Average Volume - R$</t>
  </si>
  <si>
    <t>Market Value - R$ thousand**</t>
  </si>
  <si>
    <t>* adjusted by dividends</t>
  </si>
  <si>
    <t>** ex-treasury stocks</t>
  </si>
  <si>
    <t>Source: Bloomberg /B3</t>
  </si>
  <si>
    <t>4Q18</t>
  </si>
  <si>
    <t>2018</t>
  </si>
  <si>
    <t>Others</t>
  </si>
  <si>
    <t>Provision for environmental contingencies</t>
  </si>
  <si>
    <t>1Q19</t>
  </si>
  <si>
    <t>Working Capital</t>
  </si>
  <si>
    <t>Fiscal obligation</t>
  </si>
  <si>
    <t>Provision</t>
  </si>
  <si>
    <t>2Q19</t>
  </si>
  <si>
    <t>1H19</t>
  </si>
  <si>
    <t>Debentures</t>
  </si>
  <si>
    <t>BNDES</t>
  </si>
  <si>
    <t>Funding in foreign currency</t>
  </si>
  <si>
    <t>Funding in national currency</t>
  </si>
  <si>
    <t>Working Capital ²</t>
  </si>
  <si>
    <t>² Includes promissory notes and Debentures issued with the purpose of financing the working capital</t>
  </si>
  <si>
    <t>Other</t>
  </si>
  <si>
    <t>Currency basket</t>
  </si>
  <si>
    <t>3Q19</t>
  </si>
  <si>
    <t>9M19</t>
  </si>
  <si>
    <t>2019</t>
  </si>
  <si>
    <t>4Q19</t>
  </si>
  <si>
    <t>1Q20</t>
  </si>
  <si>
    <t>Share-based payment</t>
  </si>
  <si>
    <t>2Q20</t>
  </si>
  <si>
    <t>1H20</t>
  </si>
  <si>
    <t>6/30/2020</t>
  </si>
  <si>
    <t>3/31/2020</t>
  </si>
  <si>
    <t>Accounts receivable from clients/Related Company</t>
  </si>
  <si>
    <t>9M20</t>
  </si>
  <si>
    <t>3Q20</t>
  </si>
  <si>
    <t xml:space="preserve">Provision </t>
  </si>
  <si>
    <t>Share buyback</t>
  </si>
  <si>
    <t>Effect of the Adoption of IAS 29(Hyperinflation)</t>
  </si>
  <si>
    <t>4Q20</t>
  </si>
  <si>
    <t>2020</t>
  </si>
  <si>
    <t>Provisions for Revenues from Bondage Agreements</t>
  </si>
  <si>
    <t>1Q21</t>
  </si>
  <si>
    <t>3/31/2021</t>
  </si>
  <si>
    <t>Provision of receivables from repayable credits</t>
  </si>
  <si>
    <t>2Q21</t>
  </si>
  <si>
    <t>6/30/2021</t>
  </si>
  <si>
    <t>1H21</t>
  </si>
  <si>
    <t>Acquisition of interest in a jointly controlled company</t>
  </si>
  <si>
    <t>3Q21</t>
  </si>
  <si>
    <t>9/30/2021</t>
  </si>
  <si>
    <t>9M21</t>
  </si>
  <si>
    <t>PIS/COFINS Credit (Exclusion of ICMS from calculation basis)</t>
  </si>
  <si>
    <t>Promissory Notes</t>
  </si>
  <si>
    <t xml:space="preserve">Provision (Reversal) of Environmental Contingencies </t>
  </si>
  <si>
    <t>4Q21</t>
  </si>
  <si>
    <t>2021</t>
  </si>
  <si>
    <t>12/31/2021</t>
  </si>
  <si>
    <t>December 31, 2021</t>
  </si>
  <si>
    <t>Acquisition of interest in a controlled company</t>
  </si>
  <si>
    <t>Profit before Income Tax and Social Contribution</t>
  </si>
  <si>
    <t>1Q22</t>
  </si>
  <si>
    <t>3/31/2022</t>
  </si>
  <si>
    <t>2Q22</t>
  </si>
  <si>
    <t>06/30/2022</t>
  </si>
  <si>
    <t>1H22</t>
  </si>
  <si>
    <t>6/30/2022</t>
  </si>
  <si>
    <t>Interest received - Credits with related companies</t>
  </si>
  <si>
    <t>05. Net Debt - Consolidated</t>
  </si>
  <si>
    <t>04. EBITDA - Consolidated</t>
  </si>
  <si>
    <t>03. Cah Flow Statement - Consolidated</t>
  </si>
  <si>
    <t>02. Balance Sheet - Consolidated</t>
  </si>
  <si>
    <t>01. Income Statement - Consolidated</t>
  </si>
  <si>
    <r>
      <t>Assets</t>
    </r>
    <r>
      <rPr>
        <sz val="12"/>
        <color indexed="9"/>
        <rFont val="Arial"/>
        <family val="2"/>
      </rPr>
      <t xml:space="preserve"> (R$ thousand)</t>
    </r>
  </si>
  <si>
    <r>
      <t xml:space="preserve">Liabilities </t>
    </r>
    <r>
      <rPr>
        <sz val="12"/>
        <color indexed="9"/>
        <rFont val="Arial"/>
        <family val="2"/>
      </rPr>
      <t>(R$ thousand)</t>
    </r>
  </si>
  <si>
    <r>
      <rPr>
        <b/>
        <sz val="12"/>
        <color indexed="9"/>
        <rFont val="Arial"/>
        <family val="2"/>
      </rPr>
      <t xml:space="preserve">Loans and Financing </t>
    </r>
    <r>
      <rPr>
        <sz val="12"/>
        <color indexed="9"/>
        <rFont val="Arial"/>
        <family val="2"/>
      </rPr>
      <t>(R$ thousand)</t>
    </r>
  </si>
  <si>
    <t>Utilization of Installed Capacity %</t>
  </si>
  <si>
    <t>07. Share Performance*</t>
  </si>
  <si>
    <t>08. Income Statement - Parent Company</t>
  </si>
  <si>
    <t>09. Balance Sheet - Parent Company</t>
  </si>
  <si>
    <t>10. Cash Flow Statement - Parent Company</t>
  </si>
  <si>
    <t>11. EBITDA - Parent Company</t>
  </si>
  <si>
    <t>12. Net Debt - Parent Company</t>
  </si>
  <si>
    <t>3Q22</t>
  </si>
  <si>
    <t>09/30/2022</t>
  </si>
  <si>
    <t>9M22</t>
  </si>
  <si>
    <t>September 30, 2022</t>
  </si>
  <si>
    <t>Other reserves</t>
  </si>
  <si>
    <t>2022</t>
  </si>
  <si>
    <t>4Q22</t>
  </si>
  <si>
    <t>12/31/2022</t>
  </si>
  <si>
    <t>December 31, 2022</t>
  </si>
  <si>
    <t>1Q23</t>
  </si>
  <si>
    <t>9/30/2022</t>
  </si>
  <si>
    <t>3/31/2023</t>
  </si>
  <si>
    <t>March 31, 2023</t>
  </si>
  <si>
    <t>Acquisition of interest in jointly controlled company/associated company</t>
  </si>
  <si>
    <t>Acquisition of net cash company</t>
  </si>
  <si>
    <t>Acquisition of interest in an affiliated company</t>
  </si>
  <si>
    <t>2Q23</t>
  </si>
  <si>
    <t>6/30/2023</t>
  </si>
  <si>
    <t>1H23</t>
  </si>
  <si>
    <t>3Q23</t>
  </si>
  <si>
    <t>9/30/2023</t>
  </si>
  <si>
    <t>9M23</t>
  </si>
  <si>
    <t>September 30, 2023</t>
  </si>
  <si>
    <t>Losses with other receivables/other</t>
  </si>
  <si>
    <t>2023</t>
  </si>
  <si>
    <t>4Q23</t>
  </si>
  <si>
    <t>12/31/2023</t>
  </si>
  <si>
    <t>Lease by right of use</t>
  </si>
  <si>
    <t>Amortization of right-of-use assets</t>
  </si>
  <si>
    <t>Provision of lease interest</t>
  </si>
  <si>
    <t>Payment of principal - right-of-use lease</t>
  </si>
  <si>
    <t>Payment of interest - right-of-use lease</t>
  </si>
  <si>
    <t>¹ EBITDA calculated according to CVM Instruction Nº 156/22.</t>
  </si>
  <si>
    <t>December 31, 2023</t>
  </si>
  <si>
    <t>1T24</t>
  </si>
  <si>
    <t>1Q24</t>
  </si>
  <si>
    <t>3/31/2024</t>
  </si>
  <si>
    <t>Reversal of Actuarial Provision – FGTS Fine and Advance Notice</t>
  </si>
  <si>
    <t>March 31, 2024</t>
  </si>
  <si>
    <t>3T23</t>
  </si>
  <si>
    <t>Brazil</t>
  </si>
  <si>
    <t>Argentina</t>
  </si>
  <si>
    <t>06. Installed Capacity - 
Electrolysis</t>
  </si>
  <si>
    <t>ECA</t>
  </si>
  <si>
    <t>2Q24</t>
  </si>
  <si>
    <t>1H24</t>
  </si>
  <si>
    <t>6/30/2024</t>
  </si>
  <si>
    <t>3Q24</t>
  </si>
  <si>
    <t>9M24</t>
  </si>
  <si>
    <t>9/30/2024</t>
  </si>
  <si>
    <t>September 30, 2024</t>
  </si>
  <si>
    <t>4Q24</t>
  </si>
  <si>
    <t>2024</t>
  </si>
  <si>
    <t>12/31/2024</t>
  </si>
  <si>
    <t>December 31, 2024</t>
  </si>
  <si>
    <t>BNB</t>
  </si>
  <si>
    <t>Provision (Reversal) for Employee Benefit Plans</t>
  </si>
  <si>
    <t>Provision for reorganization expenses</t>
  </si>
  <si>
    <t>Provision (Reversal) for monetary restatement of PIS COFINS credits -  exclusion of ICMS from the calculation basis</t>
  </si>
  <si>
    <t>1Q25</t>
  </si>
  <si>
    <t>3/31/2025</t>
  </si>
  <si>
    <t>March 31, 2025</t>
  </si>
  <si>
    <t>2Q25</t>
  </si>
  <si>
    <t>Derivatives</t>
  </si>
  <si>
    <t>6/30/2025</t>
  </si>
  <si>
    <t>1H25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</si>
</sst>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  <numFmt numFmtId="201" formatCode="m/d/yyyy;@"/>
    <numFmt numFmtId="202" formatCode="[$-409]mmmm\ d\,\ yyyy;@"/>
  </numFmts>
  <fonts count="136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/>
      <top/>
      <bottom style="thin">
        <color theme="0" tint="-0.14996795556505021"/>
      </bottom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1"/>
      </right>
      <top style="hair">
        <color auto="1"/>
      </top>
      <bottom/>
      <diagonal/>
    </border>
    <border>
      <left/>
      <right style="hair">
        <color theme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6">
    <xf numFmtId="0" fontId="0" fillId="0" borderId="0" applyFill="0" applyBorder="0">
      <alignment vertical="center"/>
    </xf>
    <xf numFmtId="9" fontId="13" fillId="0" borderId="0" applyFont="0" applyFill="0" applyBorder="0" applyAlignment="0" applyProtection="0"/>
    <xf numFmtId="0" fontId="14" fillId="2" borderId="0">
      <alignment horizontal="center" vertical="center"/>
    </xf>
    <xf numFmtId="9" fontId="15" fillId="0" borderId="0">
      <alignment horizontal="left" vertical="center" indent="1"/>
    </xf>
    <xf numFmtId="164" fontId="16" fillId="0" borderId="3">
      <alignment horizontal="center" vertical="center"/>
    </xf>
    <xf numFmtId="43" fontId="17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0" fillId="0" borderId="0"/>
    <xf numFmtId="168" fontId="18" fillId="0" borderId="0" applyFont="0" applyFill="0" applyBorder="0" applyAlignment="0" applyProtection="0"/>
    <xf numFmtId="0" fontId="10" fillId="0" borderId="0"/>
    <xf numFmtId="0" fontId="10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9" fillId="0" borderId="0"/>
    <xf numFmtId="171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0"/>
    <xf numFmtId="168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18" fillId="1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4" fillId="0" borderId="14">
      <protection hidden="1"/>
    </xf>
    <xf numFmtId="0" fontId="55" fillId="25" borderId="14" applyNumberFormat="0" applyFont="0" applyBorder="0" applyAlignment="0" applyProtection="0">
      <protection hidden="1"/>
    </xf>
    <xf numFmtId="0" fontId="56" fillId="13" borderId="0" applyNumberFormat="0" applyBorder="0" applyAlignment="0" applyProtection="0"/>
    <xf numFmtId="0" fontId="1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179" fontId="58" fillId="0" borderId="0" applyFill="0" applyBorder="0" applyAlignment="0"/>
    <xf numFmtId="180" fontId="5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0" fillId="26" borderId="19" applyNumberFormat="0" applyAlignment="0" applyProtection="0"/>
    <xf numFmtId="0" fontId="61" fillId="0" borderId="2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7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>
      <protection locked="0"/>
    </xf>
    <xf numFmtId="14" fontId="65" fillId="0" borderId="0" applyFill="0" applyBorder="0" applyAlignment="0"/>
    <xf numFmtId="0" fontId="66" fillId="5" borderId="21" applyNumberFormat="0" applyBorder="0" applyAlignment="0">
      <alignment horizontal="center"/>
    </xf>
    <xf numFmtId="37" fontId="67" fillId="27" borderId="22" applyNumberFormat="0" applyAlignment="0">
      <alignment horizontal="left"/>
    </xf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0" borderId="0">
      <alignment vertical="top"/>
    </xf>
    <xf numFmtId="181" fontId="18" fillId="0" borderId="0" applyFont="0" applyFill="0" applyBorder="0" applyAlignment="0" applyProtection="0"/>
    <xf numFmtId="182" fontId="69" fillId="0" borderId="0" applyFont="0" applyFill="0" applyBorder="0" applyAlignment="0" applyProtection="0"/>
    <xf numFmtId="183" fontId="64" fillId="0" borderId="0">
      <protection locked="0"/>
    </xf>
    <xf numFmtId="38" fontId="70" fillId="5" borderId="0" applyNumberFormat="0" applyBorder="0" applyAlignment="0" applyProtection="0"/>
    <xf numFmtId="0" fontId="52" fillId="0" borderId="23" applyNumberFormat="0" applyAlignment="0" applyProtection="0">
      <alignment horizontal="left" vertical="center"/>
    </xf>
    <xf numFmtId="0" fontId="52" fillId="0" borderId="24">
      <alignment horizontal="left" vertical="center"/>
    </xf>
    <xf numFmtId="0" fontId="71" fillId="0" borderId="0">
      <protection locked="0"/>
    </xf>
    <xf numFmtId="0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12" borderId="0" applyNumberFormat="0" applyBorder="0" applyAlignment="0" applyProtection="0"/>
    <xf numFmtId="0" fontId="74" fillId="0" borderId="0"/>
    <xf numFmtId="184" fontId="58" fillId="0" borderId="0"/>
    <xf numFmtId="185" fontId="58" fillId="0" borderId="0"/>
    <xf numFmtId="186" fontId="58" fillId="0" borderId="0"/>
    <xf numFmtId="10" fontId="70" fillId="32" borderId="13" applyNumberFormat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76" fillId="0" borderId="14">
      <alignment horizontal="left"/>
      <protection locked="0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77" fillId="0" borderId="0" applyBorder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78" fillId="33" borderId="0" applyNumberFormat="0" applyBorder="0" applyAlignment="0" applyProtection="0"/>
    <xf numFmtId="37" fontId="79" fillId="0" borderId="0"/>
    <xf numFmtId="0" fontId="74" fillId="0" borderId="0"/>
    <xf numFmtId="0" fontId="18" fillId="0" borderId="0"/>
    <xf numFmtId="184" fontId="58" fillId="0" borderId="0"/>
    <xf numFmtId="185" fontId="58" fillId="0" borderId="0"/>
    <xf numFmtId="186" fontId="58" fillId="0" borderId="0"/>
    <xf numFmtId="189" fontId="58" fillId="0" borderId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9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81" fillId="0" borderId="0">
      <alignment vertical="center"/>
    </xf>
    <xf numFmtId="0" fontId="51" fillId="0" borderId="0"/>
    <xf numFmtId="0" fontId="18" fillId="0" borderId="0"/>
    <xf numFmtId="0" fontId="18" fillId="0" borderId="0"/>
    <xf numFmtId="0" fontId="51" fillId="0" borderId="0"/>
    <xf numFmtId="0" fontId="5" fillId="0" borderId="0"/>
    <xf numFmtId="0" fontId="18" fillId="0" borderId="0"/>
    <xf numFmtId="0" fontId="18" fillId="0" borderId="0"/>
    <xf numFmtId="0" fontId="82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3" fontId="18" fillId="0" borderId="0" applyFont="0" applyFill="0" applyBorder="0" applyAlignment="0" applyProtection="0"/>
    <xf numFmtId="0" fontId="83" fillId="0" borderId="14" applyNumberFormat="0" applyFill="0" applyBorder="0" applyAlignment="0" applyProtection="0">
      <protection hidden="1"/>
    </xf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3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9" fontId="65" fillId="0" borderId="0" applyFill="0" applyBorder="0" applyAlignment="0"/>
    <xf numFmtId="190" fontId="58" fillId="0" borderId="0" applyFill="0" applyBorder="0" applyAlignment="0"/>
    <xf numFmtId="190" fontId="58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25" borderId="14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191" fontId="82" fillId="0" borderId="0" applyFont="0" applyFill="0" applyBorder="0" applyAlignment="0" applyProtection="0"/>
    <xf numFmtId="191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2" fontId="94" fillId="0" borderId="0" applyFont="0" applyFill="0" applyBorder="0" applyProtection="0">
      <alignment horizontal="right" vertical="top" shrinkToFit="1"/>
    </xf>
    <xf numFmtId="178" fontId="95" fillId="0" borderId="0" applyFont="0" applyFill="0" applyBorder="0" applyProtection="0">
      <alignment horizontal="right" vertical="top" shrinkToFit="1"/>
    </xf>
    <xf numFmtId="193" fontId="95" fillId="0" borderId="0" applyFont="0" applyFill="0" applyBorder="0" applyProtection="0">
      <alignment horizontal="right" vertical="top" shrinkToFit="1"/>
    </xf>
    <xf numFmtId="194" fontId="95" fillId="0" borderId="0" applyFont="0" applyFill="0" applyBorder="0" applyProtection="0">
      <alignment horizontal="right" vertical="top" shrinkToFit="1"/>
    </xf>
    <xf numFmtId="195" fontId="95" fillId="0" borderId="0" applyFont="0" applyFill="0" applyBorder="0" applyProtection="0">
      <alignment horizontal="right" vertical="top" shrinkToFit="1"/>
    </xf>
    <xf numFmtId="0" fontId="4" fillId="0" borderId="0"/>
    <xf numFmtId="0" fontId="97" fillId="0" borderId="36" applyNumberFormat="0" applyFill="0" applyAlignment="0" applyProtection="0"/>
    <xf numFmtId="0" fontId="98" fillId="0" borderId="37" applyNumberFormat="0" applyFill="0" applyAlignment="0" applyProtection="0"/>
    <xf numFmtId="0" fontId="99" fillId="0" borderId="38" applyNumberFormat="0" applyFill="0" applyAlignment="0" applyProtection="0"/>
    <xf numFmtId="0" fontId="99" fillId="0" borderId="0" applyNumberFormat="0" applyFill="0" applyBorder="0" applyAlignment="0" applyProtection="0"/>
    <xf numFmtId="0" fontId="100" fillId="35" borderId="0" applyNumberFormat="0" applyBorder="0" applyAlignment="0" applyProtection="0"/>
    <xf numFmtId="0" fontId="101" fillId="36" borderId="0" applyNumberFormat="0" applyBorder="0" applyAlignment="0" applyProtection="0"/>
    <xf numFmtId="0" fontId="102" fillId="37" borderId="0" applyNumberFormat="0" applyBorder="0" applyAlignment="0" applyProtection="0"/>
    <xf numFmtId="0" fontId="103" fillId="38" borderId="39" applyNumberFormat="0" applyAlignment="0" applyProtection="0"/>
    <xf numFmtId="0" fontId="104" fillId="39" borderId="40" applyNumberFormat="0" applyAlignment="0" applyProtection="0"/>
    <xf numFmtId="0" fontId="105" fillId="39" borderId="39" applyNumberFormat="0" applyAlignment="0" applyProtection="0"/>
    <xf numFmtId="0" fontId="106" fillId="0" borderId="41" applyNumberFormat="0" applyFill="0" applyAlignment="0" applyProtection="0"/>
    <xf numFmtId="0" fontId="107" fillId="40" borderId="42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11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10" fillId="45" borderId="0" applyNumberFormat="0" applyBorder="0" applyAlignment="0" applyProtection="0"/>
    <xf numFmtId="0" fontId="11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10" fillId="49" borderId="0" applyNumberFormat="0" applyBorder="0" applyAlignment="0" applyProtection="0"/>
    <xf numFmtId="0" fontId="11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10" fillId="53" borderId="0" applyNumberFormat="0" applyBorder="0" applyAlignment="0" applyProtection="0"/>
    <xf numFmtId="0" fontId="11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110" fillId="57" borderId="0" applyNumberFormat="0" applyBorder="0" applyAlignment="0" applyProtection="0"/>
    <xf numFmtId="0" fontId="110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110" fillId="61" borderId="0" applyNumberFormat="0" applyBorder="0" applyAlignment="0" applyProtection="0"/>
    <xf numFmtId="0" fontId="110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110" fillId="65" borderId="0" applyNumberFormat="0" applyBorder="0" applyAlignment="0" applyProtection="0"/>
    <xf numFmtId="9" fontId="3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0" fontId="70" fillId="32" borderId="45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8" fillId="0" borderId="0"/>
    <xf numFmtId="197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96" fillId="0" borderId="0" applyNumberFormat="0" applyFill="0" applyBorder="0" applyAlignment="0" applyProtection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24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18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>
      <alignment vertical="top"/>
    </xf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97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18" fillId="0" borderId="0" applyFont="0" applyFill="0" applyBorder="0" applyAlignment="0" applyProtection="0"/>
    <xf numFmtId="0" fontId="18" fillId="0" borderId="0">
      <alignment vertical="top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1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2" fillId="0" borderId="47">
      <alignment horizontal="left" vertical="center"/>
    </xf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10" fontId="70" fillId="32" borderId="45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68" fillId="16" borderId="18" applyNumberFormat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59" fillId="25" borderId="18" applyNumberFormat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0" fillId="34" borderId="25" applyNumberFormat="0" applyFont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2" fillId="0" borderId="47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55" borderId="0" applyNumberFormat="0" applyBorder="0" applyAlignment="0" applyProtection="0"/>
    <xf numFmtId="0" fontId="93" fillId="0" borderId="30" applyNumberFormat="0" applyFill="0" applyAlignment="0" applyProtection="0"/>
    <xf numFmtId="0" fontId="3" fillId="59" borderId="0" applyNumberFormat="0" applyBorder="0" applyAlignment="0" applyProtection="0"/>
    <xf numFmtId="0" fontId="93" fillId="0" borderId="30" applyNumberFormat="0" applyFill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59" fillId="25" borderId="18" applyNumberFormat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84" fillId="25" borderId="26" applyNumberFormat="0" applyAlignment="0" applyProtection="0"/>
    <xf numFmtId="0" fontId="3" fillId="0" borderId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3" fillId="0" borderId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68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16" borderId="18" applyNumberFormat="0" applyAlignment="0" applyProtection="0"/>
    <xf numFmtId="168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8" fillId="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65" fillId="11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5" fillId="12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5" fillId="13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65" fillId="1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5" fillId="1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65" fillId="16" borderId="0" applyNumberFormat="0" applyBorder="0" applyAlignment="0" applyProtection="0"/>
    <xf numFmtId="0" fontId="3" fillId="63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65" fillId="17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5" fillId="1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65" fillId="19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5" fillId="14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65" fillId="17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5" fillId="20" borderId="0" applyNumberFormat="0" applyBorder="0" applyAlignment="0" applyProtection="0"/>
    <xf numFmtId="0" fontId="3" fillId="64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112" fillId="21" borderId="0" applyNumberFormat="0" applyBorder="0" applyAlignment="0" applyProtection="0"/>
    <xf numFmtId="0" fontId="112" fillId="18" borderId="0" applyNumberFormat="0" applyBorder="0" applyAlignment="0" applyProtection="0"/>
    <xf numFmtId="0" fontId="112" fillId="19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73" fillId="12" borderId="0" applyNumberFormat="0" applyBorder="0" applyAlignment="0" applyProtection="0"/>
    <xf numFmtId="0" fontId="113" fillId="13" borderId="0" applyNumberFormat="0" applyBorder="0" applyAlignment="0" applyProtection="0"/>
    <xf numFmtId="0" fontId="59" fillId="25" borderId="18" applyNumberFormat="0" applyAlignment="0" applyProtection="0"/>
    <xf numFmtId="0" fontId="39" fillId="26" borderId="19" applyNumberFormat="0" applyAlignment="0" applyProtection="0"/>
    <xf numFmtId="0" fontId="114" fillId="0" borderId="20" applyNumberFormat="0" applyFill="0" applyAlignment="0" applyProtection="0"/>
    <xf numFmtId="0" fontId="60" fillId="26" borderId="19" applyNumberFormat="0" applyAlignment="0" applyProtection="0"/>
    <xf numFmtId="0" fontId="115" fillId="0" borderId="0" applyNumberFormat="0" applyFill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30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31" borderId="0" applyNumberFormat="0" applyBorder="0" applyAlignment="0" applyProtection="0"/>
    <xf numFmtId="0" fontId="87" fillId="0" borderId="0" applyNumberFormat="0" applyFill="0" applyBorder="0" applyAlignment="0" applyProtection="0"/>
    <xf numFmtId="0" fontId="56" fillId="13" borderId="0" applyNumberFormat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16" fillId="12" borderId="0" applyNumberFormat="0" applyBorder="0" applyAlignment="0" applyProtection="0"/>
    <xf numFmtId="0" fontId="68" fillId="16" borderId="18" applyNumberFormat="0" applyAlignment="0" applyProtection="0"/>
    <xf numFmtId="0" fontId="61" fillId="0" borderId="20" applyNumberFormat="0" applyFill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8" fontId="49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117" fillId="33" borderId="0" applyNumberFormat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8" fillId="25" borderId="26" applyNumberFormat="0" applyAlignment="0" applyProtection="0"/>
    <xf numFmtId="0" fontId="1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3" fillId="0" borderId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47">
      <alignment horizontal="left" vertic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84" fillId="25" borderId="26" applyNumberFormat="0" applyAlignment="0" applyProtection="0"/>
    <xf numFmtId="0" fontId="3" fillId="0" borderId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18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0" fontId="118" fillId="25" borderId="26" applyNumberFormat="0" applyAlignment="0" applyProtection="0"/>
    <xf numFmtId="0" fontId="3" fillId="0" borderId="0"/>
    <xf numFmtId="0" fontId="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19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2" fillId="0" borderId="47">
      <alignment horizontal="left" vertical="center"/>
    </xf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120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52" fillId="0" borderId="24">
      <alignment horizontal="left" vertical="center"/>
    </xf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47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8" fillId="16" borderId="18" applyNumberFormat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44" fontId="3" fillId="0" borderId="0" applyFont="0" applyFill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48" borderId="0" applyNumberFormat="0" applyBorder="0" applyAlignment="0" applyProtection="0"/>
    <xf numFmtId="0" fontId="59" fillId="25" borderId="18" applyNumberFormat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68" fillId="16" borderId="18" applyNumberFormat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66" fillId="5" borderId="21" applyNumberFormat="0" applyBorder="0" applyAlignment="0">
      <alignment horizontal="center"/>
    </xf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" fillId="64" borderId="0" applyNumberFormat="0" applyBorder="0" applyAlignment="0" applyProtection="0"/>
    <xf numFmtId="0" fontId="3" fillId="59" borderId="0" applyNumberFormat="0" applyBorder="0" applyAlignment="0" applyProtection="0"/>
    <xf numFmtId="0" fontId="3" fillId="52" borderId="0" applyNumberFormat="0" applyBorder="0" applyAlignment="0" applyProtection="0"/>
    <xf numFmtId="0" fontId="3" fillId="64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168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5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90">
    <xf numFmtId="0" fontId="0" fillId="0" borderId="0" xfId="0">
      <alignment vertical="center"/>
    </xf>
    <xf numFmtId="166" fontId="0" fillId="0" borderId="0" xfId="9" applyNumberFormat="1" applyFont="1"/>
    <xf numFmtId="0" fontId="18" fillId="0" borderId="0" xfId="6"/>
    <xf numFmtId="0" fontId="22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8" fillId="0" borderId="0" xfId="9" applyFont="1"/>
    <xf numFmtId="43" fontId="18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2" fillId="0" borderId="0" xfId="9" applyNumberFormat="1" applyFont="1"/>
    <xf numFmtId="0" fontId="23" fillId="4" borderId="0" xfId="11" applyFont="1" applyFill="1" applyAlignment="1">
      <alignment vertical="center"/>
    </xf>
    <xf numFmtId="0" fontId="23" fillId="4" borderId="0" xfId="11" applyFont="1" applyFill="1" applyAlignment="1">
      <alignment horizontal="right" vertical="center"/>
    </xf>
    <xf numFmtId="0" fontId="10" fillId="0" borderId="0" xfId="12"/>
    <xf numFmtId="0" fontId="19" fillId="0" borderId="0" xfId="12" applyFont="1" applyAlignment="1">
      <alignment horizontal="left" vertical="center" indent="1"/>
    </xf>
    <xf numFmtId="3" fontId="19" fillId="0" borderId="0" xfId="12" applyNumberFormat="1" applyFont="1" applyAlignment="1">
      <alignment horizontal="right" vertical="center"/>
    </xf>
    <xf numFmtId="0" fontId="23" fillId="4" borderId="0" xfId="11" applyFont="1" applyFill="1" applyAlignment="1">
      <alignment horizontal="center" vertical="center" wrapText="1"/>
    </xf>
    <xf numFmtId="9" fontId="19" fillId="0" borderId="0" xfId="1" applyFont="1" applyBorder="1" applyAlignment="1">
      <alignment horizontal="center" vertical="center"/>
    </xf>
    <xf numFmtId="0" fontId="25" fillId="0" borderId="2" xfId="12" applyFont="1" applyBorder="1" applyAlignment="1">
      <alignment vertical="center"/>
    </xf>
    <xf numFmtId="0" fontId="21" fillId="0" borderId="0" xfId="12" applyFont="1"/>
    <xf numFmtId="0" fontId="20" fillId="0" borderId="1" xfId="12" applyFont="1" applyBorder="1" applyAlignment="1">
      <alignment vertical="center"/>
    </xf>
    <xf numFmtId="0" fontId="26" fillId="0" borderId="1" xfId="11" applyFont="1" applyBorder="1" applyAlignment="1">
      <alignment horizontal="right" vertical="center"/>
    </xf>
    <xf numFmtId="0" fontId="19" fillId="0" borderId="1" xfId="12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9" fontId="19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19" fillId="0" borderId="0" xfId="12" applyFont="1" applyAlignment="1">
      <alignment horizontal="left" vertical="center" wrapText="1" indent="1"/>
    </xf>
    <xf numFmtId="3" fontId="25" fillId="0" borderId="2" xfId="12" applyNumberFormat="1" applyFont="1" applyBorder="1" applyAlignment="1">
      <alignment vertical="center"/>
    </xf>
    <xf numFmtId="9" fontId="25" fillId="0" borderId="2" xfId="1" applyFont="1" applyBorder="1" applyAlignment="1">
      <alignment horizontal="center" vertical="center"/>
    </xf>
    <xf numFmtId="0" fontId="23" fillId="4" borderId="0" xfId="11" applyFont="1" applyFill="1" applyAlignment="1">
      <alignment horizontal="right" vertical="center" wrapText="1"/>
    </xf>
    <xf numFmtId="3" fontId="10" fillId="0" borderId="0" xfId="12" applyNumberFormat="1"/>
    <xf numFmtId="9" fontId="10" fillId="0" borderId="0" xfId="1" applyFont="1"/>
    <xf numFmtId="166" fontId="25" fillId="0" borderId="2" xfId="5" applyNumberFormat="1" applyFont="1" applyBorder="1" applyAlignment="1">
      <alignment horizontal="center" vertical="center"/>
    </xf>
    <xf numFmtId="0" fontId="9" fillId="0" borderId="0" xfId="12" applyFont="1"/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166" fontId="10" fillId="0" borderId="0" xfId="5" applyNumberFormat="1" applyFont="1"/>
    <xf numFmtId="170" fontId="19" fillId="0" borderId="0" xfId="5" applyNumberFormat="1" applyFont="1" applyBorder="1" applyAlignment="1">
      <alignment horizontal="center" vertical="center"/>
    </xf>
    <xf numFmtId="170" fontId="29" fillId="0" borderId="0" xfId="5" applyNumberFormat="1" applyFont="1" applyBorder="1"/>
    <xf numFmtId="0" fontId="29" fillId="0" borderId="0" xfId="6" applyFont="1"/>
    <xf numFmtId="0" fontId="24" fillId="0" borderId="0" xfId="6" applyFont="1"/>
    <xf numFmtId="0" fontId="25" fillId="0" borderId="0" xfId="12" applyFont="1"/>
    <xf numFmtId="170" fontId="19" fillId="0" borderId="1" xfId="5" applyNumberFormat="1" applyFont="1" applyBorder="1" applyAlignment="1">
      <alignment horizontal="center" vertical="center"/>
    </xf>
    <xf numFmtId="2" fontId="10" fillId="0" borderId="0" xfId="12" applyNumberFormat="1"/>
    <xf numFmtId="166" fontId="10" fillId="0" borderId="0" xfId="12" applyNumberFormat="1"/>
    <xf numFmtId="172" fontId="18" fillId="0" borderId="0" xfId="6" applyNumberFormat="1"/>
    <xf numFmtId="0" fontId="19" fillId="0" borderId="0" xfId="12" applyFont="1" applyAlignment="1">
      <alignment horizontal="left" vertical="center" indent="2"/>
    </xf>
    <xf numFmtId="0" fontId="28" fillId="0" borderId="0" xfId="0" applyFont="1">
      <alignment vertical="center"/>
    </xf>
    <xf numFmtId="0" fontId="31" fillId="0" borderId="0" xfId="0" applyFont="1" applyAlignment="1"/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28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8" fillId="0" borderId="0" xfId="50" applyNumberFormat="1"/>
    <xf numFmtId="43" fontId="0" fillId="0" borderId="0" xfId="51" applyFont="1"/>
    <xf numFmtId="0" fontId="8" fillId="0" borderId="0" xfId="50"/>
    <xf numFmtId="43" fontId="8" fillId="0" borderId="0" xfId="50" applyNumberFormat="1"/>
    <xf numFmtId="0" fontId="34" fillId="0" borderId="13" xfId="50" applyFont="1" applyBorder="1" applyAlignment="1">
      <alignment horizontal="center" vertical="center"/>
    </xf>
    <xf numFmtId="43" fontId="0" fillId="7" borderId="0" xfId="51" applyFont="1" applyFill="1"/>
    <xf numFmtId="175" fontId="8" fillId="7" borderId="0" xfId="50" applyNumberFormat="1" applyFill="1"/>
    <xf numFmtId="176" fontId="0" fillId="0" borderId="0" xfId="52" applyNumberFormat="1" applyFont="1"/>
    <xf numFmtId="0" fontId="34" fillId="0" borderId="14" xfId="50" applyFont="1" applyBorder="1" applyAlignment="1">
      <alignment horizontal="center" vertical="center"/>
    </xf>
    <xf numFmtId="0" fontId="36" fillId="8" borderId="1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center"/>
    </xf>
    <xf numFmtId="0" fontId="35" fillId="9" borderId="16" xfId="0" applyFont="1" applyFill="1" applyBorder="1" applyAlignment="1">
      <alignment horizontal="center"/>
    </xf>
    <xf numFmtId="43" fontId="18" fillId="0" borderId="0" xfId="5" applyFont="1"/>
    <xf numFmtId="2" fontId="8" fillId="0" borderId="0" xfId="50" applyNumberFormat="1"/>
    <xf numFmtId="2" fontId="34" fillId="0" borderId="14" xfId="50" applyNumberFormat="1" applyFont="1" applyBorder="1" applyAlignment="1">
      <alignment horizontal="center" vertical="center"/>
    </xf>
    <xf numFmtId="1" fontId="34" fillId="0" borderId="13" xfId="50" applyNumberFormat="1" applyFont="1" applyBorder="1" applyAlignment="1">
      <alignment horizontal="center" vertical="center"/>
    </xf>
    <xf numFmtId="9" fontId="8" fillId="0" borderId="0" xfId="50" applyNumberFormat="1"/>
    <xf numFmtId="173" fontId="34" fillId="0" borderId="13" xfId="50" applyNumberFormat="1" applyFont="1" applyBorder="1" applyAlignment="1">
      <alignment horizontal="center" vertical="center"/>
    </xf>
    <xf numFmtId="9" fontId="0" fillId="0" borderId="0" xfId="52" applyFont="1"/>
    <xf numFmtId="170" fontId="18" fillId="0" borderId="0" xfId="6" applyNumberFormat="1"/>
    <xf numFmtId="0" fontId="36" fillId="8" borderId="0" xfId="0" applyFont="1" applyFill="1" applyBorder="1" applyAlignment="1"/>
    <xf numFmtId="0" fontId="36" fillId="8" borderId="15" xfId="0" applyFont="1" applyFill="1" applyBorder="1">
      <alignment vertical="center"/>
    </xf>
    <xf numFmtId="0" fontId="36" fillId="8" borderId="1" xfId="0" applyFont="1" applyFill="1" applyBorder="1">
      <alignment vertical="center"/>
    </xf>
    <xf numFmtId="2" fontId="36" fillId="8" borderId="1" xfId="0" applyNumberFormat="1" applyFont="1" applyFill="1" applyBorder="1">
      <alignment vertical="center"/>
    </xf>
    <xf numFmtId="3" fontId="36" fillId="8" borderId="1" xfId="51" applyNumberFormat="1" applyFont="1" applyFill="1" applyBorder="1" applyAlignment="1">
      <alignment horizontal="right" vertical="center"/>
    </xf>
    <xf numFmtId="3" fontId="36" fillId="8" borderId="1" xfId="0" applyNumberFormat="1" applyFont="1" applyFill="1" applyBorder="1" applyAlignment="1">
      <alignment horizontal="right" vertical="center"/>
    </xf>
    <xf numFmtId="0" fontId="37" fillId="8" borderId="1" xfId="0" applyFont="1" applyFill="1" applyBorder="1">
      <alignment vertical="center"/>
    </xf>
    <xf numFmtId="9" fontId="37" fillId="8" borderId="1" xfId="52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7" fillId="8" borderId="0" xfId="0" applyFont="1" applyFill="1" applyBorder="1">
      <alignment vertical="center"/>
    </xf>
    <xf numFmtId="9" fontId="18" fillId="0" borderId="0" xfId="1" applyFont="1"/>
    <xf numFmtId="165" fontId="18" fillId="0" borderId="0" xfId="1" applyNumberFormat="1" applyFont="1"/>
    <xf numFmtId="167" fontId="18" fillId="0" borderId="0" xfId="5" applyNumberFormat="1" applyFont="1"/>
    <xf numFmtId="43" fontId="36" fillId="8" borderId="15" xfId="0" applyNumberFormat="1" applyFont="1" applyFill="1" applyBorder="1">
      <alignment vertical="center"/>
    </xf>
    <xf numFmtId="43" fontId="36" fillId="8" borderId="15" xfId="0" applyNumberFormat="1" applyFont="1" applyFill="1" applyBorder="1" applyAlignment="1">
      <alignment horizontal="right" vertical="center"/>
    </xf>
    <xf numFmtId="43" fontId="36" fillId="8" borderId="1" xfId="0" applyNumberFormat="1" applyFont="1" applyFill="1" applyBorder="1">
      <alignment vertical="center"/>
    </xf>
    <xf numFmtId="43" fontId="36" fillId="8" borderId="1" xfId="0" applyNumberFormat="1" applyFont="1" applyFill="1" applyBorder="1" applyAlignment="1">
      <alignment horizontal="right" vertical="center"/>
    </xf>
    <xf numFmtId="43" fontId="10" fillId="0" borderId="0" xfId="5" applyFont="1"/>
    <xf numFmtId="170" fontId="24" fillId="0" borderId="4" xfId="5" applyNumberFormat="1" applyFont="1" applyBorder="1" applyAlignment="1">
      <alignment vertical="center"/>
    </xf>
    <xf numFmtId="169" fontId="24" fillId="0" borderId="0" xfId="13" applyNumberFormat="1" applyFont="1" applyBorder="1" applyAlignment="1">
      <alignment horizontal="right" wrapText="1"/>
    </xf>
    <xf numFmtId="0" fontId="39" fillId="4" borderId="0" xfId="11" applyFont="1" applyFill="1" applyAlignment="1">
      <alignment vertical="center"/>
    </xf>
    <xf numFmtId="0" fontId="39" fillId="4" borderId="0" xfId="11" applyFont="1" applyFill="1" applyAlignment="1">
      <alignment horizontal="right" vertical="center"/>
    </xf>
    <xf numFmtId="0" fontId="39" fillId="4" borderId="0" xfId="11" applyFont="1" applyFill="1" applyAlignment="1">
      <alignment horizontal="right" vertical="center" wrapText="1"/>
    </xf>
    <xf numFmtId="0" fontId="39" fillId="0" borderId="0" xfId="11" applyFont="1" applyAlignment="1">
      <alignment horizontal="right" vertical="center" wrapText="1"/>
    </xf>
    <xf numFmtId="0" fontId="41" fillId="0" borderId="4" xfId="6" applyFont="1" applyBorder="1" applyAlignment="1">
      <alignment vertical="center"/>
    </xf>
    <xf numFmtId="170" fontId="41" fillId="0" borderId="4" xfId="5" applyNumberFormat="1" applyFont="1" applyBorder="1" applyAlignment="1">
      <alignment vertical="center"/>
    </xf>
    <xf numFmtId="170" fontId="41" fillId="0" borderId="4" xfId="5" applyNumberFormat="1" applyFont="1" applyFill="1" applyBorder="1" applyAlignment="1">
      <alignment vertical="center"/>
    </xf>
    <xf numFmtId="9" fontId="41" fillId="0" borderId="4" xfId="1" applyFont="1" applyBorder="1" applyAlignment="1">
      <alignment vertical="center"/>
    </xf>
    <xf numFmtId="174" fontId="41" fillId="0" borderId="4" xfId="1" applyNumberFormat="1" applyFont="1" applyBorder="1" applyAlignment="1">
      <alignment vertical="center"/>
    </xf>
    <xf numFmtId="170" fontId="41" fillId="0" borderId="0" xfId="5" applyNumberFormat="1" applyFont="1" applyFill="1" applyBorder="1" applyAlignment="1">
      <alignment vertical="center"/>
    </xf>
    <xf numFmtId="0" fontId="18" fillId="0" borderId="0" xfId="6" applyAlignment="1">
      <alignment horizontal="left" wrapText="1" indent="2"/>
    </xf>
    <xf numFmtId="170" fontId="18" fillId="0" borderId="0" xfId="5" applyNumberFormat="1" applyFont="1" applyBorder="1"/>
    <xf numFmtId="170" fontId="18" fillId="0" borderId="0" xfId="5" applyNumberFormat="1" applyFont="1" applyFill="1" applyBorder="1"/>
    <xf numFmtId="9" fontId="18" fillId="0" borderId="0" xfId="1" applyFont="1" applyBorder="1"/>
    <xf numFmtId="174" fontId="18" fillId="0" borderId="0" xfId="1" applyNumberFormat="1" applyFont="1" applyBorder="1"/>
    <xf numFmtId="0" fontId="18" fillId="0" borderId="0" xfId="6" applyAlignment="1">
      <alignment horizontal="left" wrapText="1" indent="3"/>
    </xf>
    <xf numFmtId="0" fontId="18" fillId="0" borderId="0" xfId="6" applyAlignment="1">
      <alignment wrapText="1"/>
    </xf>
    <xf numFmtId="0" fontId="41" fillId="0" borderId="0" xfId="6" quotePrefix="1" applyFont="1" applyAlignment="1">
      <alignment horizontal="left" wrapText="1"/>
    </xf>
    <xf numFmtId="169" fontId="41" fillId="0" borderId="0" xfId="13" applyNumberFormat="1" applyFont="1" applyBorder="1" applyAlignment="1">
      <alignment horizontal="right" wrapText="1"/>
    </xf>
    <xf numFmtId="169" fontId="41" fillId="0" borderId="0" xfId="13" applyNumberFormat="1" applyFont="1" applyFill="1" applyBorder="1" applyAlignment="1">
      <alignment horizontal="right" wrapText="1"/>
    </xf>
    <xf numFmtId="43" fontId="18" fillId="0" borderId="0" xfId="1" applyNumberFormat="1" applyFont="1"/>
    <xf numFmtId="168" fontId="41" fillId="0" borderId="4" xfId="5" applyNumberFormat="1" applyFont="1" applyBorder="1" applyAlignment="1">
      <alignment vertical="center"/>
    </xf>
    <xf numFmtId="0" fontId="18" fillId="0" borderId="4" xfId="6" applyBorder="1" applyAlignment="1">
      <alignment vertical="center"/>
    </xf>
    <xf numFmtId="170" fontId="18" fillId="0" borderId="4" xfId="5" applyNumberFormat="1" applyFont="1" applyBorder="1" applyAlignment="1">
      <alignment vertical="center"/>
    </xf>
    <xf numFmtId="170" fontId="18" fillId="0" borderId="4" xfId="5" applyNumberFormat="1" applyFont="1" applyFill="1" applyBorder="1" applyAlignment="1">
      <alignment vertical="center"/>
    </xf>
    <xf numFmtId="9" fontId="18" fillId="0" borderId="4" xfId="1" applyFont="1" applyBorder="1" applyAlignment="1">
      <alignment vertical="center"/>
    </xf>
    <xf numFmtId="174" fontId="18" fillId="0" borderId="4" xfId="1" applyNumberFormat="1" applyFont="1" applyBorder="1" applyAlignment="1">
      <alignment vertical="center"/>
    </xf>
    <xf numFmtId="170" fontId="18" fillId="0" borderId="0" xfId="5" applyNumberFormat="1" applyFont="1" applyFill="1" applyBorder="1" applyAlignment="1">
      <alignment vertical="center"/>
    </xf>
    <xf numFmtId="170" fontId="29" fillId="0" borderId="4" xfId="5" applyNumberFormat="1" applyFont="1" applyBorder="1" applyAlignment="1">
      <alignment vertical="center"/>
    </xf>
    <xf numFmtId="0" fontId="20" fillId="0" borderId="0" xfId="12" applyFont="1"/>
    <xf numFmtId="0" fontId="7" fillId="0" borderId="0" xfId="12" applyFont="1"/>
    <xf numFmtId="0" fontId="39" fillId="4" borderId="0" xfId="11" applyFont="1" applyFill="1" applyAlignment="1">
      <alignment horizontal="center" vertical="center" wrapText="1"/>
    </xf>
    <xf numFmtId="0" fontId="43" fillId="0" borderId="1" xfId="12" applyFont="1" applyBorder="1" applyAlignment="1">
      <alignment vertical="center"/>
    </xf>
    <xf numFmtId="3" fontId="43" fillId="0" borderId="1" xfId="12" applyNumberFormat="1" applyFont="1" applyBorder="1" applyAlignment="1">
      <alignment vertical="center"/>
    </xf>
    <xf numFmtId="0" fontId="44" fillId="0" borderId="0" xfId="12" applyFont="1" applyAlignment="1">
      <alignment vertical="center"/>
    </xf>
    <xf numFmtId="177" fontId="44" fillId="0" borderId="0" xfId="12" applyNumberFormat="1" applyFont="1" applyAlignment="1">
      <alignment horizontal="right" vertical="center"/>
    </xf>
    <xf numFmtId="177" fontId="45" fillId="0" borderId="0" xfId="12" applyNumberFormat="1" applyFont="1" applyAlignment="1">
      <alignment horizontal="right" vertical="center"/>
    </xf>
    <xf numFmtId="14" fontId="39" fillId="4" borderId="0" xfId="11" applyNumberFormat="1" applyFont="1" applyFill="1" applyAlignment="1">
      <alignment horizontal="center" vertical="center" wrapText="1"/>
    </xf>
    <xf numFmtId="14" fontId="18" fillId="0" borderId="0" xfId="6" applyNumberFormat="1"/>
    <xf numFmtId="0" fontId="46" fillId="0" borderId="0" xfId="53"/>
    <xf numFmtId="0" fontId="46" fillId="0" borderId="0" xfId="53" applyAlignment="1">
      <alignment horizontal="center" vertical="center"/>
    </xf>
    <xf numFmtId="0" fontId="47" fillId="9" borderId="0" xfId="53" applyFont="1" applyFill="1" applyAlignment="1">
      <alignment horizontal="center" vertical="center" wrapText="1"/>
    </xf>
    <xf numFmtId="0" fontId="47" fillId="9" borderId="0" xfId="53" applyFont="1" applyFill="1" applyAlignment="1">
      <alignment horizontal="center" wrapText="1"/>
    </xf>
    <xf numFmtId="0" fontId="47" fillId="9" borderId="0" xfId="53" quotePrefix="1" applyFont="1" applyFill="1" applyAlignment="1">
      <alignment horizontal="center" wrapText="1"/>
    </xf>
    <xf numFmtId="170" fontId="49" fillId="0" borderId="0" xfId="54" applyNumberFormat="1" applyFont="1" applyBorder="1" applyAlignment="1">
      <alignment horizontal="right" wrapText="1"/>
    </xf>
    <xf numFmtId="3" fontId="18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48" fillId="0" borderId="0" xfId="53" quotePrefix="1" applyFont="1" applyAlignment="1">
      <alignment horizontal="left" wrapText="1"/>
    </xf>
    <xf numFmtId="3" fontId="18" fillId="0" borderId="0" xfId="54" applyNumberFormat="1" applyFont="1" applyBorder="1" applyAlignment="1">
      <alignment horizontal="center" vertical="center"/>
    </xf>
    <xf numFmtId="0" fontId="48" fillId="0" borderId="17" xfId="53" quotePrefix="1" applyFont="1" applyBorder="1" applyAlignment="1">
      <alignment horizontal="left" wrapText="1"/>
    </xf>
    <xf numFmtId="170" fontId="49" fillId="0" borderId="17" xfId="54" applyNumberFormat="1" applyFont="1" applyBorder="1" applyAlignment="1">
      <alignment horizontal="right" wrapText="1"/>
    </xf>
    <xf numFmtId="3" fontId="18" fillId="0" borderId="17" xfId="54" applyNumberFormat="1" applyFont="1" applyBorder="1" applyAlignment="1">
      <alignment horizontal="center" vertical="center"/>
    </xf>
    <xf numFmtId="0" fontId="18" fillId="0" borderId="0" xfId="53" applyFont="1"/>
    <xf numFmtId="0" fontId="18" fillId="0" borderId="0" xfId="53" applyFont="1" applyAlignment="1">
      <alignment horizontal="center" vertical="center"/>
    </xf>
    <xf numFmtId="170" fontId="18" fillId="0" borderId="0" xfId="53" applyNumberFormat="1" applyFont="1"/>
    <xf numFmtId="170" fontId="18" fillId="0" borderId="0" xfId="53" applyNumberFormat="1" applyFont="1" applyAlignment="1">
      <alignment horizontal="center" vertical="center"/>
    </xf>
    <xf numFmtId="0" fontId="50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8" fillId="0" borderId="0" xfId="53" quotePrefix="1" applyFont="1" applyAlignment="1">
      <alignment horizontal="left" vertical="top" wrapText="1"/>
    </xf>
    <xf numFmtId="170" fontId="48" fillId="0" borderId="0" xfId="54" applyNumberFormat="1" applyFont="1" applyBorder="1" applyAlignment="1">
      <alignment horizontal="right" wrapText="1"/>
    </xf>
    <xf numFmtId="3" fontId="41" fillId="0" borderId="0" xfId="54" applyNumberFormat="1" applyFont="1" applyAlignment="1">
      <alignment horizontal="center" vertical="center"/>
    </xf>
    <xf numFmtId="170" fontId="48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vertical="top" wrapText="1" indent="1"/>
    </xf>
    <xf numFmtId="170" fontId="48" fillId="0" borderId="17" xfId="54" applyNumberFormat="1" applyFont="1" applyBorder="1" applyAlignment="1">
      <alignment horizontal="right" wrapText="1"/>
    </xf>
    <xf numFmtId="3" fontId="41" fillId="0" borderId="17" xfId="54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left" vertical="center" indent="2"/>
    </xf>
    <xf numFmtId="170" fontId="44" fillId="0" borderId="0" xfId="54" applyNumberFormat="1" applyFont="1" applyBorder="1" applyAlignment="1">
      <alignment horizontal="right" wrapText="1"/>
    </xf>
    <xf numFmtId="3" fontId="44" fillId="0" borderId="0" xfId="54" applyNumberFormat="1" applyFont="1" applyAlignment="1">
      <alignment horizontal="center" vertical="center"/>
    </xf>
    <xf numFmtId="170" fontId="44" fillId="0" borderId="0" xfId="54" applyNumberFormat="1" applyFont="1" applyAlignment="1">
      <alignment horizontal="right" wrapText="1"/>
    </xf>
    <xf numFmtId="3" fontId="44" fillId="0" borderId="0" xfId="54" applyNumberFormat="1" applyFont="1" applyBorder="1" applyAlignment="1">
      <alignment horizontal="center" vertical="center"/>
    </xf>
    <xf numFmtId="170" fontId="44" fillId="0" borderId="15" xfId="54" applyNumberFormat="1" applyFont="1" applyBorder="1" applyAlignment="1">
      <alignment horizontal="right" wrapText="1"/>
    </xf>
    <xf numFmtId="3" fontId="44" fillId="0" borderId="15" xfId="54" applyNumberFormat="1" applyFont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2" fillId="3" borderId="0" xfId="324" applyFont="1" applyFill="1" applyAlignment="1">
      <alignment vertical="center"/>
    </xf>
    <xf numFmtId="0" fontId="123" fillId="3" borderId="0" xfId="324" applyFont="1" applyFill="1" applyAlignment="1">
      <alignment horizontal="right" vertical="center"/>
    </xf>
    <xf numFmtId="0" fontId="122" fillId="3" borderId="0" xfId="324" applyFont="1" applyFill="1" applyAlignment="1">
      <alignment horizontal="right" vertical="center"/>
    </xf>
    <xf numFmtId="0" fontId="45" fillId="3" borderId="0" xfId="0" applyFont="1" applyFill="1">
      <alignment vertical="center"/>
    </xf>
    <xf numFmtId="9" fontId="122" fillId="3" borderId="0" xfId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170" fontId="122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6" fillId="3" borderId="0" xfId="324" applyFont="1" applyFill="1" applyAlignment="1">
      <alignment vertical="center"/>
    </xf>
    <xf numFmtId="0" fontId="123" fillId="3" borderId="0" xfId="6" applyFont="1" applyFill="1" applyAlignment="1">
      <alignment horizontal="left" vertical="center"/>
    </xf>
    <xf numFmtId="170" fontId="123" fillId="3" borderId="0" xfId="16" applyNumberFormat="1" applyFont="1" applyFill="1" applyBorder="1" applyAlignment="1">
      <alignment horizontal="right" vertical="center"/>
    </xf>
    <xf numFmtId="170" fontId="123" fillId="3" borderId="58" xfId="16" applyNumberFormat="1" applyFont="1" applyFill="1" applyBorder="1" applyAlignment="1">
      <alignment horizontal="right" vertical="center"/>
    </xf>
    <xf numFmtId="170" fontId="123" fillId="3" borderId="49" xfId="16" applyNumberFormat="1" applyFont="1" applyFill="1" applyBorder="1" applyAlignment="1">
      <alignment horizontal="right" vertical="center"/>
    </xf>
    <xf numFmtId="0" fontId="129" fillId="3" borderId="0" xfId="324" applyFont="1" applyFill="1" applyAlignment="1">
      <alignment vertical="center"/>
    </xf>
    <xf numFmtId="0" fontId="130" fillId="3" borderId="31" xfId="6" applyFont="1" applyFill="1" applyBorder="1" applyAlignment="1">
      <alignment horizontal="left" vertical="center"/>
    </xf>
    <xf numFmtId="170" fontId="130" fillId="3" borderId="31" xfId="16" applyNumberFormat="1" applyFont="1" applyFill="1" applyBorder="1" applyAlignment="1">
      <alignment horizontal="right" vertical="center"/>
    </xf>
    <xf numFmtId="170" fontId="130" fillId="3" borderId="72" xfId="16" applyNumberFormat="1" applyFont="1" applyFill="1" applyBorder="1" applyAlignment="1">
      <alignment horizontal="right" vertical="center"/>
    </xf>
    <xf numFmtId="170" fontId="130" fillId="3" borderId="50" xfId="16" applyNumberFormat="1" applyFont="1" applyFill="1" applyBorder="1" applyAlignment="1">
      <alignment horizontal="right" vertical="center"/>
    </xf>
    <xf numFmtId="0" fontId="123" fillId="3" borderId="0" xfId="6" applyFont="1" applyFill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1"/>
    </xf>
    <xf numFmtId="170" fontId="123" fillId="3" borderId="0" xfId="16" applyNumberFormat="1" applyFont="1" applyFill="1" applyBorder="1" applyAlignment="1">
      <alignment horizontal="center" vertical="center"/>
    </xf>
    <xf numFmtId="170" fontId="123" fillId="3" borderId="58" xfId="16" applyNumberFormat="1" applyFont="1" applyFill="1" applyBorder="1" applyAlignment="1">
      <alignment horizontal="center" vertical="center"/>
    </xf>
    <xf numFmtId="170" fontId="123" fillId="3" borderId="49" xfId="16" applyNumberFormat="1" applyFont="1" applyFill="1" applyBorder="1" applyAlignment="1">
      <alignment horizontal="center" vertical="center"/>
    </xf>
    <xf numFmtId="0" fontId="123" fillId="3" borderId="0" xfId="6" quotePrefix="1" applyFont="1" applyFill="1" applyAlignment="1">
      <alignment horizontal="left" vertical="center"/>
    </xf>
    <xf numFmtId="0" fontId="130" fillId="3" borderId="31" xfId="6" quotePrefix="1" applyFont="1" applyFill="1" applyBorder="1" applyAlignment="1">
      <alignment horizontal="left" vertical="center"/>
    </xf>
    <xf numFmtId="0" fontId="131" fillId="3" borderId="0" xfId="0" applyFont="1" applyFill="1">
      <alignment vertical="center"/>
    </xf>
    <xf numFmtId="170" fontId="123" fillId="0" borderId="49" xfId="16" applyNumberFormat="1" applyFont="1" applyFill="1" applyBorder="1" applyAlignment="1">
      <alignment horizontal="center" vertical="center"/>
    </xf>
    <xf numFmtId="0" fontId="130" fillId="3" borderId="0" xfId="6" applyFont="1" applyFill="1" applyAlignment="1">
      <alignment horizontal="left" vertical="center"/>
    </xf>
    <xf numFmtId="170" fontId="130" fillId="3" borderId="0" xfId="16" applyNumberFormat="1" applyFont="1" applyFill="1" applyBorder="1" applyAlignment="1">
      <alignment horizontal="right" vertical="center"/>
    </xf>
    <xf numFmtId="170" fontId="130" fillId="3" borderId="58" xfId="16" applyNumberFormat="1" applyFont="1" applyFill="1" applyBorder="1" applyAlignment="1">
      <alignment horizontal="right" vertical="center"/>
    </xf>
    <xf numFmtId="170" fontId="130" fillId="3" borderId="49" xfId="16" applyNumberFormat="1" applyFont="1" applyFill="1" applyBorder="1" applyAlignment="1">
      <alignment horizontal="right" vertical="center"/>
    </xf>
    <xf numFmtId="10" fontId="122" fillId="3" borderId="0" xfId="1" applyNumberFormat="1" applyFont="1" applyFill="1" applyAlignment="1">
      <alignment horizontal="right" vertical="center"/>
    </xf>
    <xf numFmtId="0" fontId="122" fillId="3" borderId="0" xfId="324" applyFont="1" applyFill="1" applyAlignment="1">
      <alignment vertical="center" wrapText="1"/>
    </xf>
    <xf numFmtId="0" fontId="122" fillId="3" borderId="0" xfId="324" applyFont="1" applyFill="1" applyAlignment="1">
      <alignment horizontal="right" vertical="center" wrapText="1"/>
    </xf>
    <xf numFmtId="165" fontId="122" fillId="3" borderId="0" xfId="281" applyNumberFormat="1" applyFont="1" applyFill="1" applyAlignment="1">
      <alignment horizontal="right" vertical="center"/>
    </xf>
    <xf numFmtId="0" fontId="130" fillId="3" borderId="0" xfId="6" applyFont="1" applyFill="1" applyAlignment="1">
      <alignment horizontal="left" vertical="center" indent="1"/>
    </xf>
    <xf numFmtId="0" fontId="130" fillId="3" borderId="31" xfId="6" applyFont="1" applyFill="1" applyBorder="1" applyAlignment="1">
      <alignment horizontal="left" vertical="center" indent="2"/>
    </xf>
    <xf numFmtId="0" fontId="123" fillId="3" borderId="0" xfId="6" quotePrefix="1" applyFont="1" applyFill="1" applyAlignment="1">
      <alignment horizontal="left" vertical="center" indent="4"/>
    </xf>
    <xf numFmtId="0" fontId="123" fillId="3" borderId="0" xfId="6" applyFont="1" applyFill="1" applyAlignment="1">
      <alignment horizontal="left" vertical="center" indent="4"/>
    </xf>
    <xf numFmtId="0" fontId="130" fillId="3" borderId="17" xfId="6" applyFont="1" applyFill="1" applyBorder="1" applyAlignment="1">
      <alignment horizontal="left" vertical="center" indent="2"/>
    </xf>
    <xf numFmtId="170" fontId="130" fillId="3" borderId="17" xfId="16" applyNumberFormat="1" applyFont="1" applyFill="1" applyBorder="1" applyAlignment="1">
      <alignment horizontal="right" vertical="center"/>
    </xf>
    <xf numFmtId="170" fontId="130" fillId="3" borderId="80" xfId="16" applyNumberFormat="1" applyFont="1" applyFill="1" applyBorder="1" applyAlignment="1">
      <alignment horizontal="right" vertical="center"/>
    </xf>
    <xf numFmtId="0" fontId="130" fillId="3" borderId="31" xfId="6" applyFont="1" applyFill="1" applyBorder="1" applyAlignment="1">
      <alignment horizontal="left" vertical="center" indent="3"/>
    </xf>
    <xf numFmtId="0" fontId="130" fillId="3" borderId="31" xfId="6" quotePrefix="1" applyFont="1" applyFill="1" applyBorder="1" applyAlignment="1">
      <alignment horizontal="left" vertical="center" indent="3"/>
    </xf>
    <xf numFmtId="0" fontId="130" fillId="3" borderId="0" xfId="6" quotePrefix="1" applyFont="1" applyFill="1" applyAlignment="1">
      <alignment horizontal="left" vertical="center" indent="3"/>
    </xf>
    <xf numFmtId="0" fontId="130" fillId="3" borderId="31" xfId="6" applyFont="1" applyFill="1" applyBorder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3"/>
    </xf>
    <xf numFmtId="170" fontId="122" fillId="3" borderId="49" xfId="324" applyNumberFormat="1" applyFont="1" applyFill="1" applyBorder="1" applyAlignment="1">
      <alignment horizontal="right" vertical="center"/>
    </xf>
    <xf numFmtId="3" fontId="122" fillId="3" borderId="0" xfId="324" applyNumberFormat="1" applyFont="1" applyFill="1" applyAlignment="1">
      <alignment horizontal="right" vertical="center"/>
    </xf>
    <xf numFmtId="0" fontId="122" fillId="67" borderId="0" xfId="324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45" fillId="3" borderId="0" xfId="0" applyFont="1" applyFill="1" applyAlignment="1">
      <alignment horizontal="center" vertical="center"/>
    </xf>
    <xf numFmtId="0" fontId="130" fillId="3" borderId="72" xfId="6" applyFont="1" applyFill="1" applyBorder="1" applyAlignment="1">
      <alignment horizontal="left" vertical="center"/>
    </xf>
    <xf numFmtId="0" fontId="130" fillId="3" borderId="50" xfId="6" applyFont="1" applyFill="1" applyBorder="1" applyAlignment="1">
      <alignment horizontal="left" vertical="center"/>
    </xf>
    <xf numFmtId="0" fontId="123" fillId="0" borderId="0" xfId="6" applyFont="1" applyAlignment="1">
      <alignment horizontal="left" vertical="center"/>
    </xf>
    <xf numFmtId="170" fontId="123" fillId="0" borderId="0" xfId="16" applyNumberFormat="1" applyFont="1" applyFill="1" applyBorder="1" applyAlignment="1">
      <alignment horizontal="right" vertical="center"/>
    </xf>
    <xf numFmtId="0" fontId="123" fillId="0" borderId="0" xfId="6" applyFont="1" applyAlignment="1">
      <alignment horizontal="left" vertical="center" indent="1"/>
    </xf>
    <xf numFmtId="170" fontId="123" fillId="3" borderId="47" xfId="16" applyNumberFormat="1" applyFont="1" applyFill="1" applyBorder="1" applyAlignment="1">
      <alignment horizontal="right" vertical="center"/>
    </xf>
    <xf numFmtId="170" fontId="123" fillId="3" borderId="73" xfId="16" applyNumberFormat="1" applyFont="1" applyFill="1" applyBorder="1" applyAlignment="1">
      <alignment horizontal="right" vertical="center"/>
    </xf>
    <xf numFmtId="170" fontId="123" fillId="3" borderId="70" xfId="16" applyNumberFormat="1" applyFont="1" applyFill="1" applyBorder="1" applyAlignment="1">
      <alignment horizontal="right" vertical="center"/>
    </xf>
    <xf numFmtId="170" fontId="123" fillId="3" borderId="56" xfId="16" applyNumberFormat="1" applyFont="1" applyFill="1" applyBorder="1" applyAlignment="1">
      <alignment horizontal="right" vertical="center"/>
    </xf>
    <xf numFmtId="170" fontId="123" fillId="3" borderId="24" xfId="16" applyNumberFormat="1" applyFont="1" applyFill="1" applyBorder="1" applyAlignment="1">
      <alignment horizontal="right" vertical="center"/>
    </xf>
    <xf numFmtId="170" fontId="130" fillId="3" borderId="31" xfId="6" quotePrefix="1" applyNumberFormat="1" applyFont="1" applyFill="1" applyBorder="1" applyAlignment="1">
      <alignment horizontal="left" vertical="center"/>
    </xf>
    <xf numFmtId="170" fontId="45" fillId="3" borderId="0" xfId="0" applyNumberFormat="1" applyFont="1" applyFill="1">
      <alignment vertical="center"/>
    </xf>
    <xf numFmtId="170" fontId="123" fillId="3" borderId="33" xfId="16" applyNumberFormat="1" applyFont="1" applyFill="1" applyBorder="1" applyAlignment="1">
      <alignment horizontal="right" vertical="center"/>
    </xf>
    <xf numFmtId="170" fontId="123" fillId="3" borderId="74" xfId="16" applyNumberFormat="1" applyFont="1" applyFill="1" applyBorder="1" applyAlignment="1">
      <alignment horizontal="right" vertical="center"/>
    </xf>
    <xf numFmtId="170" fontId="123" fillId="3" borderId="71" xfId="16" applyNumberFormat="1" applyFont="1" applyFill="1" applyBorder="1" applyAlignment="1">
      <alignment horizontal="right" vertical="center"/>
    </xf>
    <xf numFmtId="170" fontId="123" fillId="3" borderId="57" xfId="16" applyNumberFormat="1" applyFont="1" applyFill="1" applyBorder="1" applyAlignment="1">
      <alignment horizontal="right" vertical="center"/>
    </xf>
    <xf numFmtId="0" fontId="130" fillId="3" borderId="0" xfId="6" quotePrefix="1" applyFont="1" applyFill="1" applyAlignment="1">
      <alignment horizontal="left" vertical="center"/>
    </xf>
    <xf numFmtId="0" fontId="65" fillId="3" borderId="0" xfId="324" applyFont="1" applyFill="1" applyAlignment="1">
      <alignment vertical="center"/>
    </xf>
    <xf numFmtId="170" fontId="65" fillId="3" borderId="0" xfId="324" applyNumberFormat="1" applyFont="1" applyFill="1" applyAlignment="1">
      <alignment horizontal="right" vertical="center"/>
    </xf>
    <xf numFmtId="170" fontId="132" fillId="3" borderId="0" xfId="324" applyNumberFormat="1" applyFont="1" applyFill="1" applyAlignment="1">
      <alignment horizontal="right" vertical="center"/>
    </xf>
    <xf numFmtId="0" fontId="122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2" fillId="0" borderId="0" xfId="324" applyFont="1" applyAlignment="1">
      <alignment horizontal="right" vertical="center"/>
    </xf>
    <xf numFmtId="0" fontId="128" fillId="0" borderId="0" xfId="11" applyFont="1" applyAlignment="1">
      <alignment horizontal="right" vertical="center"/>
    </xf>
    <xf numFmtId="0" fontId="51" fillId="0" borderId="0" xfId="6" applyFont="1"/>
    <xf numFmtId="0" fontId="130" fillId="0" borderId="4" xfId="6" applyFont="1" applyBorder="1" applyAlignment="1">
      <alignment vertical="center"/>
    </xf>
    <xf numFmtId="170" fontId="130" fillId="0" borderId="4" xfId="5" applyNumberFormat="1" applyFont="1" applyBorder="1" applyAlignment="1">
      <alignment horizontal="right" vertical="center"/>
    </xf>
    <xf numFmtId="170" fontId="130" fillId="0" borderId="77" xfId="5" applyNumberFormat="1" applyFont="1" applyBorder="1" applyAlignment="1">
      <alignment horizontal="right" vertical="center"/>
    </xf>
    <xf numFmtId="170" fontId="130" fillId="0" borderId="55" xfId="5" applyNumberFormat="1" applyFont="1" applyBorder="1" applyAlignment="1">
      <alignment horizontal="right" vertical="center"/>
    </xf>
    <xf numFmtId="170" fontId="130" fillId="0" borderId="0" xfId="5" applyNumberFormat="1" applyFont="1" applyFill="1" applyBorder="1" applyAlignment="1">
      <alignment vertical="center"/>
    </xf>
    <xf numFmtId="0" fontId="123" fillId="0" borderId="0" xfId="6" applyFont="1"/>
    <xf numFmtId="0" fontId="123" fillId="0" borderId="0" xfId="6" applyFont="1" applyAlignment="1">
      <alignment horizontal="left" indent="2"/>
    </xf>
    <xf numFmtId="170" fontId="123" fillId="0" borderId="0" xfId="5" applyNumberFormat="1" applyFont="1" applyBorder="1" applyAlignment="1">
      <alignment horizontal="right"/>
    </xf>
    <xf numFmtId="170" fontId="123" fillId="0" borderId="75" xfId="5" applyNumberFormat="1" applyFont="1" applyBorder="1" applyAlignment="1">
      <alignment horizontal="right"/>
    </xf>
    <xf numFmtId="170" fontId="123" fillId="0" borderId="54" xfId="5" applyNumberFormat="1" applyFont="1" applyBorder="1" applyAlignment="1">
      <alignment horizontal="right"/>
    </xf>
    <xf numFmtId="170" fontId="123" fillId="0" borderId="0" xfId="5" applyNumberFormat="1" applyFont="1" applyFill="1" applyBorder="1"/>
    <xf numFmtId="0" fontId="123" fillId="0" borderId="0" xfId="6" applyFont="1" applyAlignment="1">
      <alignment horizontal="left" wrapText="1" indent="2"/>
    </xf>
    <xf numFmtId="170" fontId="123" fillId="0" borderId="0" xfId="5" applyNumberFormat="1" applyFont="1" applyFill="1" applyBorder="1" applyAlignment="1">
      <alignment horizontal="right"/>
    </xf>
    <xf numFmtId="0" fontId="123" fillId="0" borderId="0" xfId="6" applyFont="1" applyAlignment="1">
      <alignment wrapText="1"/>
    </xf>
    <xf numFmtId="0" fontId="130" fillId="0" borderId="0" xfId="6" applyFont="1"/>
    <xf numFmtId="0" fontId="130" fillId="0" borderId="0" xfId="6" quotePrefix="1" applyFont="1" applyAlignment="1">
      <alignment horizontal="left" wrapText="1"/>
    </xf>
    <xf numFmtId="169" fontId="130" fillId="0" borderId="0" xfId="13" applyNumberFormat="1" applyFont="1" applyBorder="1" applyAlignment="1">
      <alignment horizontal="right" wrapText="1"/>
    </xf>
    <xf numFmtId="169" fontId="130" fillId="0" borderId="0" xfId="13" applyNumberFormat="1" applyFont="1" applyFill="1" applyBorder="1" applyAlignment="1">
      <alignment horizontal="right" wrapText="1"/>
    </xf>
    <xf numFmtId="0" fontId="123" fillId="0" borderId="0" xfId="6" applyFont="1" applyAlignment="1">
      <alignment vertical="top"/>
    </xf>
    <xf numFmtId="0" fontId="123" fillId="0" borderId="0" xfId="6" applyFont="1" applyAlignment="1">
      <alignment horizontal="right"/>
    </xf>
    <xf numFmtId="170" fontId="123" fillId="0" borderId="0" xfId="6" applyNumberFormat="1" applyFont="1"/>
    <xf numFmtId="170" fontId="18" fillId="0" borderId="0" xfId="6" applyNumberFormat="1" applyAlignment="1">
      <alignment horizontal="right"/>
    </xf>
    <xf numFmtId="10" fontId="18" fillId="0" borderId="0" xfId="1" applyNumberFormat="1" applyFont="1" applyAlignment="1">
      <alignment horizontal="right"/>
    </xf>
    <xf numFmtId="9" fontId="18" fillId="0" borderId="0" xfId="1" applyFont="1" applyAlignment="1">
      <alignment horizontal="right"/>
    </xf>
    <xf numFmtId="0" fontId="18" fillId="0" borderId="0" xfId="6" applyAlignment="1">
      <alignment horizontal="right"/>
    </xf>
    <xf numFmtId="0" fontId="127" fillId="67" borderId="0" xfId="11" applyFont="1" applyFill="1" applyAlignment="1">
      <alignment horizontal="left" vertical="center" wrapText="1"/>
    </xf>
    <xf numFmtId="0" fontId="128" fillId="67" borderId="0" xfId="11" applyFont="1" applyFill="1" applyAlignment="1">
      <alignment horizontal="center" vertical="center" wrapText="1"/>
    </xf>
    <xf numFmtId="202" fontId="128" fillId="67" borderId="0" xfId="11" applyNumberFormat="1" applyFont="1" applyFill="1" applyAlignment="1">
      <alignment horizontal="right" vertical="center" wrapText="1"/>
    </xf>
    <xf numFmtId="202" fontId="128" fillId="67" borderId="81" xfId="11" applyNumberFormat="1" applyFont="1" applyFill="1" applyBorder="1" applyAlignment="1">
      <alignment horizontal="right" vertical="center" wrapText="1"/>
    </xf>
    <xf numFmtId="0" fontId="133" fillId="0" borderId="0" xfId="12" applyFont="1"/>
    <xf numFmtId="0" fontId="130" fillId="0" borderId="34" xfId="6" applyFont="1" applyBorder="1" applyAlignment="1">
      <alignment vertical="center"/>
    </xf>
    <xf numFmtId="3" fontId="130" fillId="0" borderId="34" xfId="12" applyNumberFormat="1" applyFont="1" applyBorder="1" applyAlignment="1">
      <alignment horizontal="right" vertical="center"/>
    </xf>
    <xf numFmtId="3" fontId="130" fillId="0" borderId="82" xfId="12" applyNumberFormat="1" applyFont="1" applyBorder="1" applyAlignment="1">
      <alignment horizontal="right" vertical="center"/>
    </xf>
    <xf numFmtId="9" fontId="134" fillId="0" borderId="0" xfId="1" applyFont="1" applyAlignment="1"/>
    <xf numFmtId="0" fontId="134" fillId="0" borderId="0" xfId="12" applyFont="1"/>
    <xf numFmtId="0" fontId="123" fillId="0" borderId="0" xfId="12" applyFont="1" applyAlignment="1">
      <alignment horizontal="left" vertical="center" indent="2"/>
    </xf>
    <xf numFmtId="41" fontId="123" fillId="0" borderId="0" xfId="12" applyNumberFormat="1" applyFont="1" applyAlignment="1">
      <alignment horizontal="center" vertical="center"/>
    </xf>
    <xf numFmtId="41" fontId="123" fillId="0" borderId="81" xfId="12" applyNumberFormat="1" applyFont="1" applyBorder="1" applyAlignment="1">
      <alignment horizontal="center" vertical="center"/>
    </xf>
    <xf numFmtId="41" fontId="123" fillId="0" borderId="0" xfId="12" applyNumberFormat="1" applyFont="1" applyAlignment="1">
      <alignment horizontal="right" vertical="center"/>
    </xf>
    <xf numFmtId="43" fontId="134" fillId="0" borderId="0" xfId="5" applyFont="1" applyAlignment="1"/>
    <xf numFmtId="3" fontId="123" fillId="0" borderId="0" xfId="12" applyNumberFormat="1" applyFont="1" applyAlignment="1">
      <alignment horizontal="center" vertical="center"/>
    </xf>
    <xf numFmtId="41" fontId="134" fillId="0" borderId="0" xfId="1" applyNumberFormat="1" applyFont="1" applyAlignment="1"/>
    <xf numFmtId="3" fontId="123" fillId="0" borderId="0" xfId="12" applyNumberFormat="1" applyFont="1" applyAlignment="1">
      <alignment horizontal="right" vertical="center"/>
    </xf>
    <xf numFmtId="43" fontId="134" fillId="0" borderId="0" xfId="1" applyNumberFormat="1" applyFont="1" applyAlignment="1"/>
    <xf numFmtId="0" fontId="123" fillId="3" borderId="2" xfId="12" applyFont="1" applyFill="1" applyBorder="1" applyAlignment="1">
      <alignment horizontal="left" vertical="center" indent="2"/>
    </xf>
    <xf numFmtId="3" fontId="123" fillId="3" borderId="2" xfId="12" applyNumberFormat="1" applyFont="1" applyFill="1" applyBorder="1" applyAlignment="1">
      <alignment horizontal="right" vertical="center"/>
    </xf>
    <xf numFmtId="3" fontId="123" fillId="3" borderId="83" xfId="12" applyNumberFormat="1" applyFont="1" applyFill="1" applyBorder="1" applyAlignment="1">
      <alignment horizontal="right" vertical="center"/>
    </xf>
    <xf numFmtId="0" fontId="123" fillId="3" borderId="15" xfId="12" applyFont="1" applyFill="1" applyBorder="1" applyAlignment="1">
      <alignment horizontal="left" vertical="center" indent="2"/>
    </xf>
    <xf numFmtId="3" fontId="123" fillId="3" borderId="15" xfId="12" applyNumberFormat="1" applyFont="1" applyFill="1" applyBorder="1" applyAlignment="1">
      <alignment horizontal="right" vertical="center"/>
    </xf>
    <xf numFmtId="3" fontId="123" fillId="3" borderId="84" xfId="12" applyNumberFormat="1" applyFont="1" applyFill="1" applyBorder="1" applyAlignment="1">
      <alignment horizontal="right" vertical="center"/>
    </xf>
    <xf numFmtId="196" fontId="130" fillId="0" borderId="34" xfId="12" applyNumberFormat="1" applyFont="1" applyBorder="1" applyAlignment="1">
      <alignment horizontal="right" vertical="center"/>
    </xf>
    <xf numFmtId="196" fontId="130" fillId="0" borderId="8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 vertical="center"/>
    </xf>
    <xf numFmtId="0" fontId="133" fillId="0" borderId="0" xfId="12" applyFont="1" applyAlignment="1">
      <alignment horizontal="right"/>
    </xf>
    <xf numFmtId="9" fontId="133" fillId="0" borderId="0" xfId="1" applyFont="1" applyAlignment="1">
      <alignment horizontal="right"/>
    </xf>
    <xf numFmtId="43" fontId="133" fillId="0" borderId="0" xfId="5" applyFont="1" applyAlignment="1">
      <alignment horizontal="right"/>
    </xf>
    <xf numFmtId="3" fontId="133" fillId="0" borderId="0" xfId="12" applyNumberFormat="1" applyFont="1" applyAlignment="1">
      <alignment horizontal="right"/>
    </xf>
    <xf numFmtId="41" fontId="133" fillId="0" borderId="0" xfId="12" applyNumberFormat="1" applyFont="1" applyAlignment="1">
      <alignment horizontal="right"/>
    </xf>
    <xf numFmtId="0" fontId="45" fillId="0" borderId="0" xfId="0" applyFont="1">
      <alignment vertical="center"/>
    </xf>
    <xf numFmtId="0" fontId="130" fillId="8" borderId="65" xfId="0" applyFont="1" applyFill="1" applyBorder="1">
      <alignment vertical="center"/>
    </xf>
    <xf numFmtId="3" fontId="130" fillId="8" borderId="34" xfId="51" applyNumberFormat="1" applyFont="1" applyFill="1" applyBorder="1" applyAlignment="1">
      <alignment vertical="center"/>
    </xf>
    <xf numFmtId="3" fontId="130" fillId="8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horizontal="right" vertical="center"/>
    </xf>
    <xf numFmtId="0" fontId="130" fillId="0" borderId="0" xfId="0" applyFont="1">
      <alignment vertical="center"/>
    </xf>
    <xf numFmtId="0" fontId="123" fillId="8" borderId="64" xfId="0" applyFont="1" applyFill="1" applyBorder="1" applyAlignment="1">
      <alignment horizontal="left" vertical="center"/>
    </xf>
    <xf numFmtId="166" fontId="123" fillId="3" borderId="2" xfId="0" applyNumberFormat="1" applyFont="1" applyFill="1" applyBorder="1" applyAlignment="1">
      <alignment horizontal="right" vertical="center"/>
    </xf>
    <xf numFmtId="166" fontId="123" fillId="3" borderId="67" xfId="0" applyNumberFormat="1" applyFont="1" applyFill="1" applyBorder="1" applyAlignment="1">
      <alignment horizontal="right" vertical="center"/>
    </xf>
    <xf numFmtId="166" fontId="123" fillId="0" borderId="60" xfId="0" applyNumberFormat="1" applyFont="1" applyFill="1" applyBorder="1" applyAlignment="1">
      <alignment horizontal="right" vertical="center"/>
    </xf>
    <xf numFmtId="0" fontId="123" fillId="0" borderId="0" xfId="0" applyFont="1">
      <alignment vertical="center"/>
    </xf>
    <xf numFmtId="166" fontId="123" fillId="3" borderId="0" xfId="0" applyNumberFormat="1" applyFont="1" applyFill="1" applyBorder="1" applyAlignment="1">
      <alignment horizontal="right" vertical="center"/>
    </xf>
    <xf numFmtId="166" fontId="123" fillId="3" borderId="58" xfId="0" applyNumberFormat="1" applyFont="1" applyFill="1" applyBorder="1" applyAlignment="1">
      <alignment horizontal="right" vertical="center"/>
    </xf>
    <xf numFmtId="166" fontId="123" fillId="0" borderId="49" xfId="0" applyNumberFormat="1" applyFont="1" applyFill="1" applyBorder="1" applyAlignment="1">
      <alignment horizontal="right" vertical="center"/>
    </xf>
    <xf numFmtId="0" fontId="123" fillId="8" borderId="68" xfId="0" applyFont="1" applyFill="1" applyBorder="1" applyAlignment="1">
      <alignment horizontal="left" vertical="center"/>
    </xf>
    <xf numFmtId="166" fontId="123" fillId="3" borderId="15" xfId="0" applyNumberFormat="1" applyFont="1" applyFill="1" applyBorder="1" applyAlignment="1">
      <alignment horizontal="right" vertical="center"/>
    </xf>
    <xf numFmtId="166" fontId="123" fillId="3" borderId="69" xfId="0" applyNumberFormat="1" applyFont="1" applyFill="1" applyBorder="1" applyAlignment="1">
      <alignment horizontal="right" vertical="center"/>
    </xf>
    <xf numFmtId="166" fontId="123" fillId="0" borderId="61" xfId="0" applyNumberFormat="1" applyFont="1" applyFill="1" applyBorder="1" applyAlignment="1">
      <alignment horizontal="right" vertical="center"/>
    </xf>
    <xf numFmtId="0" fontId="130" fillId="8" borderId="34" xfId="0" applyFont="1" applyFill="1" applyBorder="1">
      <alignment vertical="center"/>
    </xf>
    <xf numFmtId="0" fontId="130" fillId="8" borderId="66" xfId="0" applyFont="1" applyFill="1" applyBorder="1">
      <alignment vertical="center"/>
    </xf>
    <xf numFmtId="43" fontId="123" fillId="8" borderId="2" xfId="0" applyNumberFormat="1" applyFont="1" applyFill="1" applyBorder="1" applyAlignment="1">
      <alignment horizontal="right" vertical="center"/>
    </xf>
    <xf numFmtId="43" fontId="123" fillId="8" borderId="67" xfId="0" applyNumberFormat="1" applyFont="1" applyFill="1" applyBorder="1" applyAlignment="1">
      <alignment horizontal="right" vertical="center"/>
    </xf>
    <xf numFmtId="43" fontId="123" fillId="0" borderId="49" xfId="0" applyNumberFormat="1" applyFont="1" applyFill="1" applyBorder="1" applyAlignment="1">
      <alignment horizontal="right" vertical="center"/>
    </xf>
    <xf numFmtId="43" fontId="123" fillId="8" borderId="0" xfId="0" applyNumberFormat="1" applyFont="1" applyFill="1" applyBorder="1" applyAlignment="1">
      <alignment horizontal="right" vertical="center"/>
    </xf>
    <xf numFmtId="43" fontId="123" fillId="8" borderId="58" xfId="0" applyNumberFormat="1" applyFont="1" applyFill="1" applyBorder="1" applyAlignment="1">
      <alignment horizontal="right" vertical="center"/>
    </xf>
    <xf numFmtId="43" fontId="123" fillId="8" borderId="15" xfId="0" applyNumberFormat="1" applyFont="1" applyFill="1" applyBorder="1" applyAlignment="1">
      <alignment horizontal="right" vertical="center"/>
    </xf>
    <xf numFmtId="43" fontId="123" fillId="8" borderId="69" xfId="0" applyNumberFormat="1" applyFont="1" applyFill="1" applyBorder="1" applyAlignment="1">
      <alignment horizontal="right" vertical="center"/>
    </xf>
    <xf numFmtId="43" fontId="123" fillId="0" borderId="61" xfId="0" applyNumberFormat="1" applyFont="1" applyFill="1" applyBorder="1" applyAlignment="1">
      <alignment horizontal="right" vertical="center"/>
    </xf>
    <xf numFmtId="3" fontId="130" fillId="3" borderId="34" xfId="51" applyNumberFormat="1" applyFont="1" applyFill="1" applyBorder="1" applyAlignment="1">
      <alignment vertical="center"/>
    </xf>
    <xf numFmtId="3" fontId="130" fillId="3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vertical="center"/>
    </xf>
    <xf numFmtId="3" fontId="123" fillId="8" borderId="2" xfId="51" applyNumberFormat="1" applyFont="1" applyFill="1" applyBorder="1" applyAlignment="1">
      <alignment horizontal="right" vertical="center"/>
    </xf>
    <xf numFmtId="3" fontId="123" fillId="8" borderId="67" xfId="51" applyNumberFormat="1" applyFont="1" applyFill="1" applyBorder="1" applyAlignment="1">
      <alignment horizontal="right" vertical="center"/>
    </xf>
    <xf numFmtId="3" fontId="123" fillId="0" borderId="60" xfId="51" applyNumberFormat="1" applyFont="1" applyFill="1" applyBorder="1" applyAlignment="1">
      <alignment horizontal="right" vertical="center"/>
    </xf>
    <xf numFmtId="3" fontId="123" fillId="8" borderId="0" xfId="51" applyNumberFormat="1" applyFont="1" applyFill="1" applyBorder="1" applyAlignment="1">
      <alignment horizontal="right" vertical="center"/>
    </xf>
    <xf numFmtId="3" fontId="123" fillId="8" borderId="58" xfId="51" applyNumberFormat="1" applyFont="1" applyFill="1" applyBorder="1" applyAlignment="1">
      <alignment horizontal="right" vertical="center"/>
    </xf>
    <xf numFmtId="3" fontId="123" fillId="0" borderId="49" xfId="51" applyNumberFormat="1" applyFont="1" applyFill="1" applyBorder="1" applyAlignment="1">
      <alignment horizontal="right" vertical="center"/>
    </xf>
    <xf numFmtId="0" fontId="123" fillId="0" borderId="0" xfId="0" applyFont="1" applyAlignment="1">
      <alignment horizontal="right" vertical="center"/>
    </xf>
    <xf numFmtId="0" fontId="123" fillId="8" borderId="0" xfId="0" applyFont="1" applyFill="1" applyBorder="1" applyAlignment="1">
      <alignment horizontal="left"/>
    </xf>
    <xf numFmtId="0" fontId="45" fillId="0" borderId="0" xfId="0" applyFont="1" applyAlignment="1">
      <alignment horizontal="right" vertical="center"/>
    </xf>
    <xf numFmtId="14" fontId="45" fillId="3" borderId="0" xfId="0" applyNumberFormat="1" applyFont="1" applyFill="1">
      <alignment vertical="center"/>
    </xf>
    <xf numFmtId="0" fontId="45" fillId="3" borderId="0" xfId="0" applyFont="1" applyFill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right" vertical="center"/>
    </xf>
    <xf numFmtId="0" fontId="45" fillId="3" borderId="0" xfId="0" applyFont="1" applyFill="1" applyBorder="1">
      <alignment vertical="center"/>
    </xf>
    <xf numFmtId="0" fontId="43" fillId="3" borderId="0" xfId="0" applyFont="1" applyFill="1" applyBorder="1">
      <alignment vertical="center"/>
    </xf>
    <xf numFmtId="3" fontId="44" fillId="3" borderId="0" xfId="51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horizontal="left" vertical="center"/>
    </xf>
    <xf numFmtId="3" fontId="43" fillId="3" borderId="0" xfId="51" applyNumberFormat="1" applyFont="1" applyFill="1" applyBorder="1" applyAlignment="1">
      <alignment horizontal="right" vertical="center"/>
    </xf>
    <xf numFmtId="173" fontId="45" fillId="3" borderId="0" xfId="0" applyNumberFormat="1" applyFont="1" applyFill="1" applyBorder="1" applyAlignment="1">
      <alignment horizontal="right" vertical="center"/>
    </xf>
    <xf numFmtId="170" fontId="130" fillId="3" borderId="0" xfId="16" applyNumberFormat="1" applyFont="1" applyFill="1" applyBorder="1" applyAlignment="1">
      <alignment horizontal="center" vertical="center"/>
    </xf>
    <xf numFmtId="170" fontId="18" fillId="0" borderId="58" xfId="16" applyNumberFormat="1" applyFont="1" applyFill="1" applyBorder="1" applyAlignment="1">
      <alignment horizontal="center" vertical="center"/>
    </xf>
    <xf numFmtId="170" fontId="18" fillId="3" borderId="0" xfId="16" applyNumberFormat="1" applyFont="1" applyFill="1" applyBorder="1" applyAlignment="1">
      <alignment horizontal="center" vertical="center"/>
    </xf>
    <xf numFmtId="170" fontId="18" fillId="3" borderId="58" xfId="16" applyNumberFormat="1" applyFont="1" applyFill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center" vertical="center"/>
    </xf>
    <xf numFmtId="170" fontId="18" fillId="0" borderId="49" xfId="16" applyNumberFormat="1" applyFont="1" applyFill="1" applyBorder="1" applyAlignment="1">
      <alignment horizontal="center" vertical="center"/>
    </xf>
    <xf numFmtId="170" fontId="122" fillId="3" borderId="0" xfId="1" applyNumberFormat="1" applyFont="1" applyFill="1" applyAlignment="1">
      <alignment horizontal="right" vertical="center"/>
    </xf>
    <xf numFmtId="0" fontId="129" fillId="3" borderId="0" xfId="324" applyFont="1" applyFill="1" applyAlignment="1">
      <alignment vertical="center" wrapText="1"/>
    </xf>
    <xf numFmtId="43" fontId="122" fillId="3" borderId="0" xfId="5" applyFont="1" applyFill="1" applyAlignment="1">
      <alignment vertical="center"/>
    </xf>
    <xf numFmtId="167" fontId="122" fillId="3" borderId="0" xfId="324" applyNumberFormat="1" applyFont="1" applyFill="1" applyAlignment="1">
      <alignment vertical="center"/>
    </xf>
    <xf numFmtId="170" fontId="123" fillId="3" borderId="0" xfId="16" applyNumberFormat="1" applyFont="1" applyFill="1" applyBorder="1" applyAlignment="1">
      <alignment vertical="center"/>
    </xf>
    <xf numFmtId="170" fontId="123" fillId="3" borderId="49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3" fillId="3" borderId="32" xfId="16" applyNumberFormat="1" applyFont="1" applyFill="1" applyBorder="1" applyAlignment="1">
      <alignment horizontal="right" vertical="center"/>
    </xf>
    <xf numFmtId="170" fontId="123" fillId="3" borderId="51" xfId="16" applyNumberFormat="1" applyFont="1" applyFill="1" applyBorder="1" applyAlignment="1">
      <alignment horizontal="right" vertical="center"/>
    </xf>
    <xf numFmtId="170" fontId="123" fillId="3" borderId="17" xfId="16" applyNumberFormat="1" applyFont="1" applyFill="1" applyBorder="1" applyAlignment="1">
      <alignment horizontal="right" vertical="center"/>
    </xf>
    <xf numFmtId="170" fontId="123" fillId="3" borderId="52" xfId="16" applyNumberFormat="1" applyFont="1" applyFill="1" applyBorder="1" applyAlignment="1">
      <alignment horizontal="right" vertical="center"/>
    </xf>
    <xf numFmtId="0" fontId="128" fillId="0" borderId="0" xfId="11" applyFont="1" applyAlignment="1">
      <alignment horizontal="center" vertical="center"/>
    </xf>
    <xf numFmtId="170" fontId="130" fillId="0" borderId="4" xfId="6" applyNumberFormat="1" applyFont="1" applyBorder="1" applyAlignment="1">
      <alignment vertical="center"/>
    </xf>
    <xf numFmtId="170" fontId="130" fillId="0" borderId="77" xfId="6" applyNumberFormat="1" applyFont="1" applyBorder="1" applyAlignment="1">
      <alignment vertical="center"/>
    </xf>
    <xf numFmtId="170" fontId="130" fillId="0" borderId="55" xfId="6" applyNumberFormat="1" applyFont="1" applyBorder="1" applyAlignment="1">
      <alignment vertical="center"/>
    </xf>
    <xf numFmtId="170" fontId="123" fillId="0" borderId="75" xfId="5" applyNumberFormat="1" applyFont="1" applyFill="1" applyBorder="1" applyAlignment="1">
      <alignment horizontal="right"/>
    </xf>
    <xf numFmtId="170" fontId="123" fillId="0" borderId="54" xfId="5" applyNumberFormat="1" applyFont="1" applyFill="1" applyBorder="1" applyAlignment="1">
      <alignment horizontal="right"/>
    </xf>
    <xf numFmtId="170" fontId="123" fillId="0" borderId="0" xfId="6" applyNumberFormat="1" applyFont="1" applyAlignment="1">
      <alignment horizontal="right"/>
    </xf>
    <xf numFmtId="170" fontId="18" fillId="0" borderId="0" xfId="1" applyNumberFormat="1" applyFont="1" applyAlignment="1">
      <alignment horizontal="right"/>
    </xf>
    <xf numFmtId="0" fontId="130" fillId="0" borderId="34" xfId="6" applyFont="1" applyBorder="1" applyAlignment="1">
      <alignment horizontal="center" vertical="center"/>
    </xf>
    <xf numFmtId="0" fontId="123" fillId="0" borderId="0" xfId="12" applyFont="1" applyAlignment="1">
      <alignment horizontal="center" vertical="center"/>
    </xf>
    <xf numFmtId="41" fontId="123" fillId="0" borderId="81" xfId="12" applyNumberFormat="1" applyFont="1" applyBorder="1" applyAlignment="1">
      <alignment horizontal="right" vertical="center"/>
    </xf>
    <xf numFmtId="0" fontId="130" fillId="0" borderId="4" xfId="6" applyFont="1" applyBorder="1" applyAlignment="1">
      <alignment horizontal="center" vertical="center"/>
    </xf>
    <xf numFmtId="3" fontId="123" fillId="0" borderId="81" xfId="12" applyNumberFormat="1" applyFont="1" applyBorder="1" applyAlignment="1">
      <alignment horizontal="right" vertical="center"/>
    </xf>
    <xf numFmtId="0" fontId="123" fillId="3" borderId="2" xfId="12" applyFont="1" applyFill="1" applyBorder="1" applyAlignment="1">
      <alignment horizontal="center" vertical="center"/>
    </xf>
    <xf numFmtId="0" fontId="123" fillId="3" borderId="15" xfId="12" applyFont="1" applyFill="1" applyBorder="1" applyAlignment="1">
      <alignment horizontal="center" vertical="center"/>
    </xf>
    <xf numFmtId="3" fontId="134" fillId="0" borderId="2" xfId="12" applyNumberFormat="1" applyFont="1" applyBorder="1" applyAlignment="1">
      <alignment horizontal="right" vertical="center"/>
    </xf>
    <xf numFmtId="0" fontId="133" fillId="0" borderId="2" xfId="12" applyFont="1" applyBorder="1" applyAlignment="1">
      <alignment horizontal="right"/>
    </xf>
    <xf numFmtId="0" fontId="123" fillId="0" borderId="0" xfId="12" applyFont="1" applyAlignment="1">
      <alignment vertical="center"/>
    </xf>
    <xf numFmtId="3" fontId="123" fillId="3" borderId="0" xfId="12" applyNumberFormat="1" applyFont="1" applyFill="1" applyAlignment="1">
      <alignment horizontal="right" vertical="center"/>
    </xf>
    <xf numFmtId="170" fontId="130" fillId="3" borderId="86" xfId="16" applyNumberFormat="1" applyFont="1" applyFill="1" applyBorder="1" applyAlignment="1">
      <alignment horizontal="right" vertical="center"/>
    </xf>
    <xf numFmtId="9" fontId="123" fillId="0" borderId="0" xfId="4174" applyFont="1" applyBorder="1" applyAlignment="1">
      <alignment horizontal="right"/>
    </xf>
    <xf numFmtId="0" fontId="128" fillId="67" borderId="81" xfId="11" applyFont="1" applyFill="1" applyBorder="1" applyAlignment="1">
      <alignment horizontal="right" vertical="center" wrapText="1"/>
    </xf>
    <xf numFmtId="3" fontId="123" fillId="3" borderId="81" xfId="12" applyNumberFormat="1" applyFont="1" applyFill="1" applyBorder="1" applyAlignment="1">
      <alignment horizontal="right" vertical="center"/>
    </xf>
    <xf numFmtId="170" fontId="130" fillId="3" borderId="82" xfId="16" applyNumberFormat="1" applyFont="1" applyFill="1" applyBorder="1" applyAlignment="1">
      <alignment horizontal="right" vertical="center"/>
    </xf>
    <xf numFmtId="0" fontId="122" fillId="3" borderId="0" xfId="4175" applyFont="1" applyFill="1" applyAlignment="1">
      <alignment vertical="center"/>
    </xf>
    <xf numFmtId="0" fontId="124" fillId="0" borderId="0" xfId="4175" quotePrefix="1" applyFont="1" applyAlignment="1">
      <alignment horizontal="left" vertical="center"/>
    </xf>
    <xf numFmtId="0" fontId="125" fillId="67" borderId="0" xfId="4175" quotePrefix="1" applyFont="1" applyFill="1" applyAlignment="1">
      <alignment horizontal="left" vertical="center"/>
    </xf>
    <xf numFmtId="9" fontId="130" fillId="0" borderId="55" xfId="4174" applyFont="1" applyBorder="1" applyAlignment="1">
      <alignment horizontal="right" vertical="center"/>
    </xf>
    <xf numFmtId="9" fontId="130" fillId="0" borderId="4" xfId="4174" applyFont="1" applyBorder="1" applyAlignment="1">
      <alignment horizontal="right" vertical="center"/>
    </xf>
    <xf numFmtId="9" fontId="123" fillId="0" borderId="54" xfId="4174" applyFont="1" applyBorder="1" applyAlignment="1">
      <alignment horizontal="right"/>
    </xf>
    <xf numFmtId="3" fontId="130" fillId="8" borderId="59" xfId="51" applyNumberFormat="1" applyFont="1" applyFill="1" applyBorder="1" applyAlignment="1">
      <alignment vertical="center"/>
    </xf>
    <xf numFmtId="166" fontId="123" fillId="3" borderId="60" xfId="0" applyNumberFormat="1" applyFont="1" applyFill="1" applyBorder="1" applyAlignment="1">
      <alignment horizontal="right" vertical="center"/>
    </xf>
    <xf numFmtId="166" fontId="123" fillId="3" borderId="49" xfId="0" applyNumberFormat="1" applyFont="1" applyFill="1" applyBorder="1" applyAlignment="1">
      <alignment horizontal="right" vertical="center"/>
    </xf>
    <xf numFmtId="166" fontId="123" fillId="3" borderId="61" xfId="0" applyNumberFormat="1" applyFont="1" applyFill="1" applyBorder="1" applyAlignment="1">
      <alignment horizontal="right" vertical="center"/>
    </xf>
    <xf numFmtId="0" fontId="130" fillId="8" borderId="59" xfId="0" applyFont="1" applyFill="1" applyBorder="1">
      <alignment vertical="center"/>
    </xf>
    <xf numFmtId="43" fontId="123" fillId="8" borderId="60" xfId="0" applyNumberFormat="1" applyFont="1" applyFill="1" applyBorder="1" applyAlignment="1">
      <alignment horizontal="right" vertical="center"/>
    </xf>
    <xf numFmtId="43" fontId="123" fillId="8" borderId="49" xfId="0" applyNumberFormat="1" applyFont="1" applyFill="1" applyBorder="1" applyAlignment="1">
      <alignment horizontal="right" vertical="center"/>
    </xf>
    <xf numFmtId="43" fontId="123" fillId="8" borderId="61" xfId="0" applyNumberFormat="1" applyFont="1" applyFill="1" applyBorder="1" applyAlignment="1">
      <alignment horizontal="right" vertical="center"/>
    </xf>
    <xf numFmtId="3" fontId="130" fillId="3" borderId="59" xfId="51" applyNumberFormat="1" applyFont="1" applyFill="1" applyBorder="1" applyAlignment="1">
      <alignment vertical="center"/>
    </xf>
    <xf numFmtId="3" fontId="123" fillId="8" borderId="60" xfId="51" applyNumberFormat="1" applyFont="1" applyFill="1" applyBorder="1" applyAlignment="1">
      <alignment horizontal="right" vertical="center"/>
    </xf>
    <xf numFmtId="3" fontId="123" fillId="8" borderId="49" xfId="51" applyNumberFormat="1" applyFont="1" applyFill="1" applyBorder="1" applyAlignment="1">
      <alignment horizontal="right" vertical="center"/>
    </xf>
    <xf numFmtId="0" fontId="124" fillId="3" borderId="0" xfId="4175" quotePrefix="1" applyFont="1" applyFill="1" applyAlignment="1">
      <alignment horizontal="left" vertical="center"/>
    </xf>
    <xf numFmtId="0" fontId="122" fillId="3" borderId="0" xfId="4175" applyFont="1" applyFill="1" applyAlignment="1">
      <alignment vertical="center" wrapText="1"/>
    </xf>
    <xf numFmtId="170" fontId="123" fillId="0" borderId="58" xfId="16" applyNumberFormat="1" applyFont="1" applyFill="1" applyBorder="1" applyAlignment="1">
      <alignment horizontal="center" vertical="center"/>
    </xf>
    <xf numFmtId="0" fontId="128" fillId="67" borderId="0" xfId="11" applyFont="1" applyFill="1" applyAlignment="1">
      <alignment horizontal="right" vertical="center" wrapText="1"/>
    </xf>
    <xf numFmtId="9" fontId="130" fillId="0" borderId="77" xfId="4174" applyFont="1" applyBorder="1" applyAlignment="1">
      <alignment horizontal="right" vertical="center"/>
    </xf>
    <xf numFmtId="9" fontId="123" fillId="0" borderId="75" xfId="4174" applyFont="1" applyBorder="1" applyAlignment="1">
      <alignment horizontal="right"/>
    </xf>
    <xf numFmtId="170" fontId="123" fillId="3" borderId="89" xfId="16" applyNumberFormat="1" applyFont="1" applyFill="1" applyBorder="1" applyAlignment="1">
      <alignment horizontal="right" vertical="center"/>
    </xf>
    <xf numFmtId="170" fontId="123" fillId="3" borderId="90" xfId="16" applyNumberFormat="1" applyFont="1" applyFill="1" applyBorder="1" applyAlignment="1">
      <alignment horizontal="right" vertical="center"/>
    </xf>
    <xf numFmtId="43" fontId="123" fillId="0" borderId="0" xfId="5" applyFont="1" applyAlignment="1">
      <alignment horizontal="right" vertical="center"/>
    </xf>
    <xf numFmtId="170" fontId="130" fillId="3" borderId="34" xfId="16" applyNumberFormat="1" applyFont="1" applyFill="1" applyBorder="1" applyAlignment="1">
      <alignment horizontal="right" vertical="center"/>
    </xf>
    <xf numFmtId="170" fontId="123" fillId="0" borderId="0" xfId="16" applyNumberFormat="1" applyFont="1" applyFill="1" applyBorder="1" applyAlignment="1">
      <alignment horizontal="center" vertical="center"/>
    </xf>
    <xf numFmtId="166" fontId="123" fillId="0" borderId="0" xfId="5" applyNumberFormat="1" applyFont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8" fillId="0" borderId="58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91" xfId="16" applyNumberFormat="1" applyFont="1" applyFill="1" applyBorder="1" applyAlignment="1">
      <alignment horizontal="center" vertical="center"/>
    </xf>
    <xf numFmtId="170" fontId="130" fillId="0" borderId="50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0" fontId="35" fillId="9" borderId="0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18" fillId="0" borderId="0" xfId="6" applyAlignment="1">
      <alignment vertical="top" wrapText="1"/>
    </xf>
    <xf numFmtId="49" fontId="128" fillId="67" borderId="58" xfId="6" quotePrefix="1" applyNumberFormat="1" applyFont="1" applyFill="1" applyBorder="1" applyAlignment="1">
      <alignment horizontal="center" vertical="center"/>
    </xf>
    <xf numFmtId="49" fontId="128" fillId="67" borderId="49" xfId="6" quotePrefix="1" applyNumberFormat="1" applyFont="1" applyFill="1" applyBorder="1" applyAlignment="1">
      <alignment horizontal="center" vertical="center"/>
    </xf>
    <xf numFmtId="49" fontId="128" fillId="67" borderId="0" xfId="6" quotePrefix="1" applyNumberFormat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49" fontId="127" fillId="67" borderId="0" xfId="6" quotePrefix="1" applyNumberFormat="1" applyFont="1" applyFill="1" applyAlignment="1">
      <alignment horizontal="left" vertical="center"/>
    </xf>
    <xf numFmtId="49" fontId="128" fillId="67" borderId="0" xfId="6" quotePrefix="1" applyNumberFormat="1" applyFont="1" applyFill="1" applyAlignment="1">
      <alignment horizontal="right" vertical="center" wrapText="1"/>
    </xf>
    <xf numFmtId="49" fontId="128" fillId="67" borderId="49" xfId="6" quotePrefix="1" applyNumberFormat="1" applyFont="1" applyFill="1" applyBorder="1" applyAlignment="1">
      <alignment horizontal="right" vertical="center" wrapText="1"/>
    </xf>
    <xf numFmtId="0" fontId="128" fillId="67" borderId="0" xfId="6" applyFont="1" applyFill="1" applyAlignment="1">
      <alignment horizontal="left" vertical="center"/>
    </xf>
    <xf numFmtId="201" fontId="128" fillId="67" borderId="49" xfId="6" quotePrefix="1" applyNumberFormat="1" applyFont="1" applyFill="1" applyBorder="1" applyAlignment="1">
      <alignment horizontal="right" vertical="center" wrapText="1"/>
    </xf>
    <xf numFmtId="201" fontId="128" fillId="67" borderId="0" xfId="6" quotePrefix="1" applyNumberFormat="1" applyFont="1" applyFill="1" applyAlignment="1">
      <alignment horizontal="right" vertical="center" wrapText="1"/>
    </xf>
    <xf numFmtId="0" fontId="127" fillId="67" borderId="0" xfId="6" quotePrefix="1" applyFont="1" applyFill="1" applyAlignment="1">
      <alignment horizontal="left" vertical="center"/>
    </xf>
    <xf numFmtId="49" fontId="128" fillId="67" borderId="0" xfId="6" quotePrefix="1" applyNumberFormat="1" applyFont="1" applyFill="1" applyAlignment="1">
      <alignment horizontal="center" vertical="center" wrapText="1"/>
    </xf>
    <xf numFmtId="49" fontId="128" fillId="67" borderId="49" xfId="6" quotePrefix="1" applyNumberFormat="1" applyFont="1" applyFill="1" applyBorder="1" applyAlignment="1">
      <alignment horizontal="center" vertical="center" wrapText="1"/>
    </xf>
    <xf numFmtId="49" fontId="128" fillId="67" borderId="58" xfId="6" quotePrefix="1" applyNumberFormat="1" applyFont="1" applyFill="1" applyBorder="1" applyAlignment="1">
      <alignment horizontal="center" vertical="center" wrapText="1"/>
    </xf>
    <xf numFmtId="49" fontId="128" fillId="67" borderId="0" xfId="6" quotePrefix="1" applyNumberFormat="1" applyFont="1" applyFill="1" applyBorder="1" applyAlignment="1">
      <alignment horizontal="center" vertical="center" wrapText="1"/>
    </xf>
    <xf numFmtId="0" fontId="127" fillId="67" borderId="0" xfId="11" applyFont="1" applyFill="1" applyAlignment="1">
      <alignment horizontal="left" vertical="center" wrapText="1"/>
    </xf>
    <xf numFmtId="0" fontId="127" fillId="67" borderId="35" xfId="11" applyFont="1" applyFill="1" applyBorder="1" applyAlignment="1">
      <alignment horizontal="left" vertical="center" wrapText="1"/>
    </xf>
    <xf numFmtId="0" fontId="128" fillId="67" borderId="0" xfId="11" applyFont="1" applyFill="1" applyAlignment="1">
      <alignment horizontal="center" vertical="center"/>
    </xf>
    <xf numFmtId="0" fontId="128" fillId="67" borderId="35" xfId="11" applyFont="1" applyFill="1" applyBorder="1" applyAlignment="1">
      <alignment horizontal="center" vertical="center"/>
    </xf>
    <xf numFmtId="0" fontId="128" fillId="67" borderId="54" xfId="11" applyFont="1" applyFill="1" applyBorder="1" applyAlignment="1">
      <alignment horizontal="center" vertical="center"/>
    </xf>
    <xf numFmtId="0" fontId="128" fillId="67" borderId="53" xfId="11" applyFont="1" applyFill="1" applyBorder="1" applyAlignment="1">
      <alignment horizontal="center" vertical="center"/>
    </xf>
    <xf numFmtId="0" fontId="128" fillId="67" borderId="75" xfId="11" applyFont="1" applyFill="1" applyBorder="1" applyAlignment="1">
      <alignment horizontal="center" vertical="center"/>
    </xf>
    <xf numFmtId="0" fontId="128" fillId="67" borderId="76" xfId="1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 wrapText="1"/>
    </xf>
    <xf numFmtId="0" fontId="135" fillId="67" borderId="62" xfId="0" applyFont="1" applyFill="1" applyBorder="1" applyAlignment="1">
      <alignment horizontal="center" vertical="center"/>
    </xf>
    <xf numFmtId="0" fontId="135" fillId="67" borderId="64" xfId="0" applyFont="1" applyFill="1" applyBorder="1" applyAlignment="1">
      <alignment horizontal="center" vertical="center"/>
    </xf>
    <xf numFmtId="0" fontId="135" fillId="67" borderId="85" xfId="0" applyFont="1" applyFill="1" applyBorder="1" applyAlignment="1">
      <alignment horizontal="center" vertical="center"/>
    </xf>
    <xf numFmtId="0" fontId="135" fillId="67" borderId="49" xfId="0" applyFont="1" applyFill="1" applyBorder="1" applyAlignment="1">
      <alignment horizontal="center" vertical="center"/>
    </xf>
    <xf numFmtId="49" fontId="128" fillId="67" borderId="63" xfId="6" quotePrefix="1" applyNumberFormat="1" applyFont="1" applyFill="1" applyBorder="1" applyAlignment="1">
      <alignment horizontal="center" vertical="center"/>
    </xf>
    <xf numFmtId="0" fontId="135" fillId="67" borderId="78" xfId="0" applyFont="1" applyFill="1" applyBorder="1" applyAlignment="1">
      <alignment horizontal="center" vertical="center"/>
    </xf>
    <xf numFmtId="0" fontId="135" fillId="67" borderId="79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center" vertical="center"/>
    </xf>
    <xf numFmtId="0" fontId="135" fillId="67" borderId="48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right" vertical="center"/>
    </xf>
    <xf numFmtId="0" fontId="135" fillId="67" borderId="48" xfId="0" applyFont="1" applyFill="1" applyBorder="1" applyAlignment="1">
      <alignment horizontal="right" vertical="center"/>
    </xf>
    <xf numFmtId="0" fontId="135" fillId="67" borderId="0" xfId="0" applyFont="1" applyFill="1" applyBorder="1" applyAlignment="1">
      <alignment horizontal="center" vertical="center"/>
    </xf>
    <xf numFmtId="0" fontId="135" fillId="67" borderId="87" xfId="0" applyFont="1" applyFill="1" applyBorder="1" applyAlignment="1">
      <alignment horizontal="center" vertical="center"/>
    </xf>
    <xf numFmtId="0" fontId="135" fillId="67" borderId="58" xfId="0" applyFont="1" applyFill="1" applyBorder="1" applyAlignment="1">
      <alignment horizontal="center" vertical="center"/>
    </xf>
    <xf numFmtId="0" fontId="135" fillId="67" borderId="88" xfId="0" applyFont="1" applyFill="1" applyBorder="1" applyAlignment="1">
      <alignment horizontal="center" vertical="center"/>
    </xf>
    <xf numFmtId="49" fontId="128" fillId="3" borderId="0" xfId="6" quotePrefix="1" applyNumberFormat="1" applyFont="1" applyFill="1" applyAlignment="1">
      <alignment horizontal="center" vertical="center"/>
    </xf>
    <xf numFmtId="0" fontId="128" fillId="67" borderId="32" xfId="6" applyFont="1" applyFill="1" applyBorder="1" applyAlignment="1">
      <alignment horizontal="left" vertical="center"/>
    </xf>
    <xf numFmtId="170" fontId="123" fillId="0" borderId="32" xfId="16" applyNumberFormat="1" applyFont="1" applyFill="1" applyBorder="1" applyAlignment="1">
      <alignment horizontal="center" vertical="center"/>
    </xf>
  </cellXfs>
  <cellStyles count="4176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1" xfId="226" xr:uid="{00000000-0005-0000-0000-0000D9080000}"/>
    <cellStyle name="Normal 11 2" xfId="452" xr:uid="{00000000-0005-0000-0000-0000DA080000}"/>
    <cellStyle name="Normal 12" xfId="227" xr:uid="{00000000-0005-0000-0000-0000DB080000}"/>
    <cellStyle name="Normal 12 2" xfId="2186" xr:uid="{00000000-0005-0000-0000-0000DC080000}"/>
    <cellStyle name="Normal 12 2 2" xfId="2504" xr:uid="{00000000-0005-0000-0000-0000DD080000}"/>
    <cellStyle name="Normal 12 2 3" xfId="2733" xr:uid="{00000000-0005-0000-0000-0000DE080000}"/>
    <cellStyle name="Normal 12 2 4" xfId="3181" xr:uid="{00000000-0005-0000-0000-0000DF080000}"/>
    <cellStyle name="Normal 12 2 5" xfId="3534" xr:uid="{00000000-0005-0000-0000-0000E0080000}"/>
    <cellStyle name="Normal 12 2 6" xfId="3796" xr:uid="{00000000-0005-0000-0000-0000E1080000}"/>
    <cellStyle name="Normal 13" xfId="228" xr:uid="{00000000-0005-0000-0000-0000E2080000}"/>
    <cellStyle name="Normal 14" xfId="229" xr:uid="{00000000-0005-0000-0000-0000E3080000}"/>
    <cellStyle name="Normal 15" xfId="230" xr:uid="{00000000-0005-0000-0000-0000E4080000}"/>
    <cellStyle name="Normal 16" xfId="231" xr:uid="{00000000-0005-0000-0000-0000E5080000}"/>
    <cellStyle name="Normal 17" xfId="232" xr:uid="{00000000-0005-0000-0000-0000E6080000}"/>
    <cellStyle name="Normal 18" xfId="233" xr:uid="{00000000-0005-0000-0000-0000E7080000}"/>
    <cellStyle name="Normal 19" xfId="234" xr:uid="{00000000-0005-0000-0000-0000E8080000}"/>
    <cellStyle name="Normal 2" xfId="6" xr:uid="{00000000-0005-0000-0000-0000E9080000}"/>
    <cellStyle name="Normal 2 10" xfId="11" xr:uid="{00000000-0005-0000-0000-0000EA080000}"/>
    <cellStyle name="Normal 2 11" xfId="20" xr:uid="{00000000-0005-0000-0000-0000EB080000}"/>
    <cellStyle name="Normal 2 12" xfId="21" xr:uid="{00000000-0005-0000-0000-0000EC080000}"/>
    <cellStyle name="Normal 2 13" xfId="22" xr:uid="{00000000-0005-0000-0000-0000ED080000}"/>
    <cellStyle name="Normal 2 14" xfId="23" xr:uid="{00000000-0005-0000-0000-0000EE080000}"/>
    <cellStyle name="Normal 2 15" xfId="24" xr:uid="{00000000-0005-0000-0000-0000EF080000}"/>
    <cellStyle name="Normal 2 16" xfId="25" xr:uid="{00000000-0005-0000-0000-0000F0080000}"/>
    <cellStyle name="Normal 2 17" xfId="26" xr:uid="{00000000-0005-0000-0000-0000F1080000}"/>
    <cellStyle name="Normal 2 18" xfId="27" xr:uid="{00000000-0005-0000-0000-0000F2080000}"/>
    <cellStyle name="Normal 2 19" xfId="28" xr:uid="{00000000-0005-0000-0000-0000F3080000}"/>
    <cellStyle name="Normal 2 2" xfId="29" xr:uid="{00000000-0005-0000-0000-0000F4080000}"/>
    <cellStyle name="Normal 2 2 2" xfId="235" xr:uid="{00000000-0005-0000-0000-0000F5080000}"/>
    <cellStyle name="Normal 2 20" xfId="30" xr:uid="{00000000-0005-0000-0000-0000F6080000}"/>
    <cellStyle name="Normal 2 21" xfId="31" xr:uid="{00000000-0005-0000-0000-0000F7080000}"/>
    <cellStyle name="Normal 2 22" xfId="32" xr:uid="{00000000-0005-0000-0000-0000F8080000}"/>
    <cellStyle name="Normal 2 23" xfId="33" xr:uid="{00000000-0005-0000-0000-0000F9080000}"/>
    <cellStyle name="Normal 2 24" xfId="34" xr:uid="{00000000-0005-0000-0000-0000FA080000}"/>
    <cellStyle name="Normal 2 25" xfId="35" xr:uid="{00000000-0005-0000-0000-0000FB080000}"/>
    <cellStyle name="Normal 2 26" xfId="36" xr:uid="{00000000-0005-0000-0000-0000FC080000}"/>
    <cellStyle name="Normal 2 27" xfId="37" xr:uid="{00000000-0005-0000-0000-0000FD080000}"/>
    <cellStyle name="Normal 2 28" xfId="38" xr:uid="{00000000-0005-0000-0000-0000FE080000}"/>
    <cellStyle name="Normal 2 29" xfId="39" xr:uid="{00000000-0005-0000-0000-0000FF080000}"/>
    <cellStyle name="Normal 2 3" xfId="40" xr:uid="{00000000-0005-0000-0000-000000090000}"/>
    <cellStyle name="Normal 2 3 10" xfId="3535" xr:uid="{00000000-0005-0000-0000-000001090000}"/>
    <cellStyle name="Normal 2 3 11" xfId="3797" xr:uid="{00000000-0005-0000-0000-000002090000}"/>
    <cellStyle name="Normal 2 3 2" xfId="430" xr:uid="{00000000-0005-0000-0000-000003090000}"/>
    <cellStyle name="Normal 2 3 2 2" xfId="617" xr:uid="{00000000-0005-0000-0000-000004090000}"/>
    <cellStyle name="Normal 2 3 2 2 2" xfId="1090" xr:uid="{00000000-0005-0000-0000-000005090000}"/>
    <cellStyle name="Normal 2 3 2 2 3" xfId="1410" xr:uid="{00000000-0005-0000-0000-000006090000}"/>
    <cellStyle name="Normal 2 3 2 2 4" xfId="1712" xr:uid="{00000000-0005-0000-0000-000007090000}"/>
    <cellStyle name="Normal 2 3 2 2 5" xfId="3074" xr:uid="{00000000-0005-0000-0000-000008090000}"/>
    <cellStyle name="Normal 2 3 2 2 6" xfId="4050" xr:uid="{00000000-0005-0000-0000-000009090000}"/>
    <cellStyle name="Normal 2 3 2 3" xfId="941" xr:uid="{00000000-0005-0000-0000-00000A090000}"/>
    <cellStyle name="Normal 2 3 2 4" xfId="1251" xr:uid="{00000000-0005-0000-0000-00000B090000}"/>
    <cellStyle name="Normal 2 3 2 5" xfId="1566" xr:uid="{00000000-0005-0000-0000-00000C090000}"/>
    <cellStyle name="Normal 2 3 2 6" xfId="2826" xr:uid="{00000000-0005-0000-0000-00000D090000}"/>
    <cellStyle name="Normal 2 3 2 7" xfId="3270" xr:uid="{00000000-0005-0000-0000-00000E090000}"/>
    <cellStyle name="Normal 2 3 2 8" xfId="3626" xr:uid="{00000000-0005-0000-0000-00000F090000}"/>
    <cellStyle name="Normal 2 3 2 9" xfId="3889" xr:uid="{00000000-0005-0000-0000-000010090000}"/>
    <cellStyle name="Normal 2 3 3" xfId="493" xr:uid="{00000000-0005-0000-0000-000011090000}"/>
    <cellStyle name="Normal 2 3 3 2" xfId="669" xr:uid="{00000000-0005-0000-0000-000012090000}"/>
    <cellStyle name="Normal 2 3 3 2 2" xfId="1136" xr:uid="{00000000-0005-0000-0000-000013090000}"/>
    <cellStyle name="Normal 2 3 3 2 3" xfId="1459" xr:uid="{00000000-0005-0000-0000-000014090000}"/>
    <cellStyle name="Normal 2 3 3 2 4" xfId="1761" xr:uid="{00000000-0005-0000-0000-000015090000}"/>
    <cellStyle name="Normal 2 3 3 2 5" xfId="3021" xr:uid="{00000000-0005-0000-0000-000016090000}"/>
    <cellStyle name="Normal 2 3 3 2 6" xfId="4101" xr:uid="{00000000-0005-0000-0000-000017090000}"/>
    <cellStyle name="Normal 2 3 3 3" xfId="987" xr:uid="{00000000-0005-0000-0000-000018090000}"/>
    <cellStyle name="Normal 2 3 3 4" xfId="1301" xr:uid="{00000000-0005-0000-0000-000019090000}"/>
    <cellStyle name="Normal 2 3 3 5" xfId="1608" xr:uid="{00000000-0005-0000-0000-00001A090000}"/>
    <cellStyle name="Normal 2 3 3 6" xfId="3166" xr:uid="{00000000-0005-0000-0000-00001B090000}"/>
    <cellStyle name="Normal 2 3 3 7" xfId="3933" xr:uid="{00000000-0005-0000-0000-00001C090000}"/>
    <cellStyle name="Normal 2 3 4" xfId="536" xr:uid="{00000000-0005-0000-0000-00001D090000}"/>
    <cellStyle name="Normal 2 3 4 2" xfId="706" xr:uid="{00000000-0005-0000-0000-00001E090000}"/>
    <cellStyle name="Normal 2 3 4 2 2" xfId="1167" xr:uid="{00000000-0005-0000-0000-00001F090000}"/>
    <cellStyle name="Normal 2 3 4 2 3" xfId="1492" xr:uid="{00000000-0005-0000-0000-000020090000}"/>
    <cellStyle name="Normal 2 3 4 2 4" xfId="1794" xr:uid="{00000000-0005-0000-0000-000021090000}"/>
    <cellStyle name="Normal 2 3 4 2 5" xfId="3345" xr:uid="{00000000-0005-0000-0000-000022090000}"/>
    <cellStyle name="Normal 2 3 4 2 6" xfId="4138" xr:uid="{00000000-0005-0000-0000-000023090000}"/>
    <cellStyle name="Normal 2 3 4 3" xfId="1019" xr:uid="{00000000-0005-0000-0000-000024090000}"/>
    <cellStyle name="Normal 2 3 4 4" xfId="1336" xr:uid="{00000000-0005-0000-0000-000025090000}"/>
    <cellStyle name="Normal 2 3 4 5" xfId="1638" xr:uid="{00000000-0005-0000-0000-000026090000}"/>
    <cellStyle name="Normal 2 3 4 6" xfId="3140" xr:uid="{00000000-0005-0000-0000-000027090000}"/>
    <cellStyle name="Normal 2 3 4 7" xfId="3972" xr:uid="{00000000-0005-0000-0000-000028090000}"/>
    <cellStyle name="Normal 2 3 5" xfId="731" xr:uid="{00000000-0005-0000-0000-000029090000}"/>
    <cellStyle name="Normal 2 3 5 2" xfId="1192" xr:uid="{00000000-0005-0000-0000-00002A090000}"/>
    <cellStyle name="Normal 2 3 5 3" xfId="1517" xr:uid="{00000000-0005-0000-0000-00002B090000}"/>
    <cellStyle name="Normal 2 3 5 4" xfId="1819" xr:uid="{00000000-0005-0000-0000-00002C090000}"/>
    <cellStyle name="Normal 2 3 5 5" xfId="3370" xr:uid="{00000000-0005-0000-0000-00002D090000}"/>
    <cellStyle name="Normal 2 3 5 6" xfId="4163" xr:uid="{00000000-0005-0000-0000-00002E090000}"/>
    <cellStyle name="Normal 2 3 6" xfId="1913" xr:uid="{00000000-0005-0000-0000-00002F090000}"/>
    <cellStyle name="Normal 2 3 7" xfId="2358" xr:uid="{00000000-0005-0000-0000-000030090000}"/>
    <cellStyle name="Normal 2 3 8" xfId="2588" xr:uid="{00000000-0005-0000-0000-000031090000}"/>
    <cellStyle name="Normal 2 3 9" xfId="3182" xr:uid="{00000000-0005-0000-0000-000032090000}"/>
    <cellStyle name="Normal 2 30" xfId="41" xr:uid="{00000000-0005-0000-0000-000033090000}"/>
    <cellStyle name="Normal 2 4" xfId="42" xr:uid="{00000000-0005-0000-0000-000034090000}"/>
    <cellStyle name="Normal 2 5" xfId="43" xr:uid="{00000000-0005-0000-0000-000035090000}"/>
    <cellStyle name="Normal 2 6" xfId="44" xr:uid="{00000000-0005-0000-0000-000036090000}"/>
    <cellStyle name="Normal 2 7" xfId="45" xr:uid="{00000000-0005-0000-0000-000037090000}"/>
    <cellStyle name="Normal 2 8" xfId="46" xr:uid="{00000000-0005-0000-0000-000038090000}"/>
    <cellStyle name="Normal 2 9" xfId="47" xr:uid="{00000000-0005-0000-0000-000039090000}"/>
    <cellStyle name="Normal 2_Analise de sensibilidade  Divida R$ mil" xfId="236" xr:uid="{00000000-0005-0000-0000-00003A090000}"/>
    <cellStyle name="Normal 20" xfId="237" xr:uid="{00000000-0005-0000-0000-00003B090000}"/>
    <cellStyle name="Normal 21" xfId="238" xr:uid="{00000000-0005-0000-0000-00003C090000}"/>
    <cellStyle name="Normal 22" xfId="239" xr:uid="{00000000-0005-0000-0000-00003D090000}"/>
    <cellStyle name="Normal 23" xfId="240" xr:uid="{00000000-0005-0000-0000-00003E090000}"/>
    <cellStyle name="Normal 24" xfId="241" xr:uid="{00000000-0005-0000-0000-00003F090000}"/>
    <cellStyle name="Normal 25" xfId="242" xr:uid="{00000000-0005-0000-0000-000040090000}"/>
    <cellStyle name="Normal 26" xfId="243" xr:uid="{00000000-0005-0000-0000-000041090000}"/>
    <cellStyle name="Normal 27" xfId="244" xr:uid="{00000000-0005-0000-0000-000042090000}"/>
    <cellStyle name="Normal 28" xfId="245" xr:uid="{00000000-0005-0000-0000-000043090000}"/>
    <cellStyle name="Normal 29" xfId="246" xr:uid="{00000000-0005-0000-0000-000044090000}"/>
    <cellStyle name="Normal 3" xfId="12" xr:uid="{00000000-0005-0000-0000-000045090000}"/>
    <cellStyle name="Normal 3 10" xfId="1531" xr:uid="{00000000-0005-0000-0000-000046090000}"/>
    <cellStyle name="Normal 3 11" xfId="2781" xr:uid="{00000000-0005-0000-0000-000047090000}"/>
    <cellStyle name="Normal 3 12" xfId="3596" xr:uid="{00000000-0005-0000-0000-000048090000}"/>
    <cellStyle name="Normal 3 13" xfId="3858" xr:uid="{00000000-0005-0000-0000-000049090000}"/>
    <cellStyle name="Normal 3 14" xfId="368" xr:uid="{00000000-0005-0000-0000-00004A090000}"/>
    <cellStyle name="Normal 3 2" xfId="247" xr:uid="{00000000-0005-0000-0000-00004B090000}"/>
    <cellStyle name="Normal 3 2 2" xfId="2187" xr:uid="{00000000-0005-0000-0000-00004C090000}"/>
    <cellStyle name="Normal 3 2 2 2" xfId="2188" xr:uid="{00000000-0005-0000-0000-00004D090000}"/>
    <cellStyle name="Normal 3 2 2 2 2" xfId="2506" xr:uid="{00000000-0005-0000-0000-00004E090000}"/>
    <cellStyle name="Normal 3 2 2 2 3" xfId="2735" xr:uid="{00000000-0005-0000-0000-00004F090000}"/>
    <cellStyle name="Normal 3 2 2 2 4" xfId="3184" xr:uid="{00000000-0005-0000-0000-000050090000}"/>
    <cellStyle name="Normal 3 2 2 2 5" xfId="3537" xr:uid="{00000000-0005-0000-0000-000051090000}"/>
    <cellStyle name="Normal 3 2 2 2 6" xfId="3799" xr:uid="{00000000-0005-0000-0000-000052090000}"/>
    <cellStyle name="Normal 3 2 2 3" xfId="2505" xr:uid="{00000000-0005-0000-0000-000053090000}"/>
    <cellStyle name="Normal 3 2 2 4" xfId="2734" xr:uid="{00000000-0005-0000-0000-000054090000}"/>
    <cellStyle name="Normal 3 2 2 5" xfId="3183" xr:uid="{00000000-0005-0000-0000-000055090000}"/>
    <cellStyle name="Normal 3 2 2 6" xfId="3536" xr:uid="{00000000-0005-0000-0000-000056090000}"/>
    <cellStyle name="Normal 3 2 2 7" xfId="3798" xr:uid="{00000000-0005-0000-0000-000057090000}"/>
    <cellStyle name="Normal 3 2 3" xfId="2189" xr:uid="{00000000-0005-0000-0000-000058090000}"/>
    <cellStyle name="Normal 3 2 4" xfId="2190" xr:uid="{00000000-0005-0000-0000-000059090000}"/>
    <cellStyle name="Normal 3 2 4 2" xfId="2507" xr:uid="{00000000-0005-0000-0000-00005A090000}"/>
    <cellStyle name="Normal 3 2 4 3" xfId="2736" xr:uid="{00000000-0005-0000-0000-00005B090000}"/>
    <cellStyle name="Normal 3 2 4 4" xfId="3185" xr:uid="{00000000-0005-0000-0000-00005C090000}"/>
    <cellStyle name="Normal 3 2 4 5" xfId="3538" xr:uid="{00000000-0005-0000-0000-00005D090000}"/>
    <cellStyle name="Normal 3 2 4 6" xfId="3800" xr:uid="{00000000-0005-0000-0000-00005E090000}"/>
    <cellStyle name="Normal 3 3" xfId="248" xr:uid="{00000000-0005-0000-0000-00005F090000}"/>
    <cellStyle name="Normal 3 3 2" xfId="2191" xr:uid="{00000000-0005-0000-0000-000060090000}"/>
    <cellStyle name="Normal 3 3 2 2" xfId="2508" xr:uid="{00000000-0005-0000-0000-000061090000}"/>
    <cellStyle name="Normal 3 3 2 3" xfId="2737" xr:uid="{00000000-0005-0000-0000-000062090000}"/>
    <cellStyle name="Normal 3 3 2 4" xfId="3186" xr:uid="{00000000-0005-0000-0000-000063090000}"/>
    <cellStyle name="Normal 3 3 2 5" xfId="3539" xr:uid="{00000000-0005-0000-0000-000064090000}"/>
    <cellStyle name="Normal 3 3 2 6" xfId="3801" xr:uid="{00000000-0005-0000-0000-000065090000}"/>
    <cellStyle name="Normal 3 4" xfId="431" xr:uid="{00000000-0005-0000-0000-000066090000}"/>
    <cellStyle name="Normal 3 4 2" xfId="2192" xr:uid="{00000000-0005-0000-0000-000067090000}"/>
    <cellStyle name="Normal 3 5" xfId="561" xr:uid="{00000000-0005-0000-0000-000068090000}"/>
    <cellStyle name="Normal 3 5 10" xfId="3802" xr:uid="{00000000-0005-0000-0000-000069090000}"/>
    <cellStyle name="Normal 3 5 11" xfId="3997" xr:uid="{00000000-0005-0000-0000-00006A090000}"/>
    <cellStyle name="Normal 3 5 2" xfId="1038" xr:uid="{00000000-0005-0000-0000-00006B090000}"/>
    <cellStyle name="Normal 3 5 3" xfId="1357" xr:uid="{00000000-0005-0000-0000-00006C090000}"/>
    <cellStyle name="Normal 3 5 4" xfId="1659" xr:uid="{00000000-0005-0000-0000-00006D090000}"/>
    <cellStyle name="Normal 3 5 5" xfId="2193" xr:uid="{00000000-0005-0000-0000-00006E090000}"/>
    <cellStyle name="Normal 3 5 6" xfId="2509" xr:uid="{00000000-0005-0000-0000-00006F090000}"/>
    <cellStyle name="Normal 3 5 7" xfId="2738" xr:uid="{00000000-0005-0000-0000-000070090000}"/>
    <cellStyle name="Normal 3 5 8" xfId="3187" xr:uid="{00000000-0005-0000-0000-000071090000}"/>
    <cellStyle name="Normal 3 5 9" xfId="3540" xr:uid="{00000000-0005-0000-0000-000072090000}"/>
    <cellStyle name="Normal 3 6" xfId="583" xr:uid="{00000000-0005-0000-0000-000073090000}"/>
    <cellStyle name="Normal 3 6 2" xfId="1057" xr:uid="{00000000-0005-0000-0000-000074090000}"/>
    <cellStyle name="Normal 3 6 3" xfId="1376" xr:uid="{00000000-0005-0000-0000-000075090000}"/>
    <cellStyle name="Normal 3 6 4" xfId="1678" xr:uid="{00000000-0005-0000-0000-000076090000}"/>
    <cellStyle name="Normal 3 6 5" xfId="3098" xr:uid="{00000000-0005-0000-0000-000077090000}"/>
    <cellStyle name="Normal 3 6 6" xfId="4016" xr:uid="{00000000-0005-0000-0000-000078090000}"/>
    <cellStyle name="Normal 3 7" xfId="390" xr:uid="{00000000-0005-0000-0000-000079090000}"/>
    <cellStyle name="Normal 3 8" xfId="903" xr:uid="{00000000-0005-0000-0000-00007A090000}"/>
    <cellStyle name="Normal 3 9" xfId="1218" xr:uid="{00000000-0005-0000-0000-00007B090000}"/>
    <cellStyle name="Normal 30" xfId="249" xr:uid="{00000000-0005-0000-0000-00007C090000}"/>
    <cellStyle name="Normal 31" xfId="250" xr:uid="{00000000-0005-0000-0000-00007D090000}"/>
    <cellStyle name="Normal 32" xfId="251" xr:uid="{00000000-0005-0000-0000-00007E090000}"/>
    <cellStyle name="Normal 33" xfId="252" xr:uid="{00000000-0005-0000-0000-00007F090000}"/>
    <cellStyle name="Normal 34" xfId="253" xr:uid="{00000000-0005-0000-0000-000080090000}"/>
    <cellStyle name="Normal 35" xfId="254" xr:uid="{00000000-0005-0000-0000-000081090000}"/>
    <cellStyle name="Normal 36" xfId="255" xr:uid="{00000000-0005-0000-0000-000082090000}"/>
    <cellStyle name="Normal 37" xfId="256" xr:uid="{00000000-0005-0000-0000-000083090000}"/>
    <cellStyle name="Normal 38" xfId="257" xr:uid="{00000000-0005-0000-0000-000084090000}"/>
    <cellStyle name="Normal 39" xfId="258" xr:uid="{00000000-0005-0000-0000-000085090000}"/>
    <cellStyle name="Normal 4" xfId="18" xr:uid="{00000000-0005-0000-0000-000086090000}"/>
    <cellStyle name="Normal 4 10" xfId="3599" xr:uid="{00000000-0005-0000-0000-000087090000}"/>
    <cellStyle name="Normal 4 11" xfId="3861" xr:uid="{00000000-0005-0000-0000-000088090000}"/>
    <cellStyle name="Normal 4 12" xfId="371" xr:uid="{00000000-0005-0000-0000-000089090000}"/>
    <cellStyle name="Normal 4 2" xfId="259" xr:uid="{00000000-0005-0000-0000-00008A090000}"/>
    <cellStyle name="Normal 4 3" xfId="564" xr:uid="{00000000-0005-0000-0000-00008B090000}"/>
    <cellStyle name="Normal 4 3 10" xfId="3803" xr:uid="{00000000-0005-0000-0000-00008C090000}"/>
    <cellStyle name="Normal 4 3 11" xfId="4000" xr:uid="{00000000-0005-0000-0000-00008D090000}"/>
    <cellStyle name="Normal 4 3 2" xfId="1041" xr:uid="{00000000-0005-0000-0000-00008E090000}"/>
    <cellStyle name="Normal 4 3 3" xfId="1360" xr:uid="{00000000-0005-0000-0000-00008F090000}"/>
    <cellStyle name="Normal 4 3 4" xfId="1662" xr:uid="{00000000-0005-0000-0000-000090090000}"/>
    <cellStyle name="Normal 4 3 5" xfId="2246" xr:uid="{00000000-0005-0000-0000-000091090000}"/>
    <cellStyle name="Normal 4 3 6" xfId="2549" xr:uid="{00000000-0005-0000-0000-000092090000}"/>
    <cellStyle name="Normal 4 3 7" xfId="2774" xr:uid="{00000000-0005-0000-0000-000093090000}"/>
    <cellStyle name="Normal 4 3 8" xfId="3188" xr:uid="{00000000-0005-0000-0000-000094090000}"/>
    <cellStyle name="Normal 4 3 9" xfId="3541" xr:uid="{00000000-0005-0000-0000-000095090000}"/>
    <cellStyle name="Normal 4 4" xfId="586" xr:uid="{00000000-0005-0000-0000-000096090000}"/>
    <cellStyle name="Normal 4 4 2" xfId="1060" xr:uid="{00000000-0005-0000-0000-000097090000}"/>
    <cellStyle name="Normal 4 4 3" xfId="1379" xr:uid="{00000000-0005-0000-0000-000098090000}"/>
    <cellStyle name="Normal 4 4 4" xfId="1681" xr:uid="{00000000-0005-0000-0000-000099090000}"/>
    <cellStyle name="Normal 4 4 5" xfId="3095" xr:uid="{00000000-0005-0000-0000-00009A090000}"/>
    <cellStyle name="Normal 4 4 6" xfId="4019" xr:uid="{00000000-0005-0000-0000-00009B090000}"/>
    <cellStyle name="Normal 4 5" xfId="393" xr:uid="{00000000-0005-0000-0000-00009C090000}"/>
    <cellStyle name="Normal 4 6" xfId="906" xr:uid="{00000000-0005-0000-0000-00009D090000}"/>
    <cellStyle name="Normal 4 7" xfId="1221" xr:uid="{00000000-0005-0000-0000-00009E090000}"/>
    <cellStyle name="Normal 4 8" xfId="1534" xr:uid="{00000000-0005-0000-0000-00009F090000}"/>
    <cellStyle name="Normal 4 9" xfId="2784" xr:uid="{00000000-0005-0000-0000-0000A0090000}"/>
    <cellStyle name="Normal 40" xfId="260" xr:uid="{00000000-0005-0000-0000-0000A1090000}"/>
    <cellStyle name="Normal 41" xfId="261" xr:uid="{00000000-0005-0000-0000-0000A2090000}"/>
    <cellStyle name="Normal 42" xfId="262" xr:uid="{00000000-0005-0000-0000-0000A3090000}"/>
    <cellStyle name="Normal 42 2" xfId="263" xr:uid="{00000000-0005-0000-0000-0000A4090000}"/>
    <cellStyle name="Normal 43" xfId="264" xr:uid="{00000000-0005-0000-0000-0000A5090000}"/>
    <cellStyle name="Normal 43 2" xfId="412" xr:uid="{00000000-0005-0000-0000-0000A6090000}"/>
    <cellStyle name="Normal 44" xfId="324" xr:uid="{00000000-0005-0000-0000-0000A7090000}"/>
    <cellStyle name="Normal 44 10" xfId="3177" xr:uid="{00000000-0005-0000-0000-0000A8090000}"/>
    <cellStyle name="Normal 44 11" xfId="3611" xr:uid="{00000000-0005-0000-0000-0000A9090000}"/>
    <cellStyle name="Normal 44 12" xfId="3873" xr:uid="{00000000-0005-0000-0000-0000AA090000}"/>
    <cellStyle name="Normal 44 13" xfId="386" xr:uid="{00000000-0005-0000-0000-0000AB090000}"/>
    <cellStyle name="Normal 44 14" xfId="4175" xr:uid="{F84EA2F5-74E9-4381-9D08-C1F7D93B07FD}"/>
    <cellStyle name="Normal 44 2" xfId="505" xr:uid="{00000000-0005-0000-0000-0000AC090000}"/>
    <cellStyle name="Normal 44 3" xfId="579" xr:uid="{00000000-0005-0000-0000-0000AD090000}"/>
    <cellStyle name="Normal 44 3 2" xfId="1053" xr:uid="{00000000-0005-0000-0000-0000AE090000}"/>
    <cellStyle name="Normal 44 3 3" xfId="1372" xr:uid="{00000000-0005-0000-0000-0000AF090000}"/>
    <cellStyle name="Normal 44 3 4" xfId="1674" xr:uid="{00000000-0005-0000-0000-0000B0090000}"/>
    <cellStyle name="Normal 44 3 5" xfId="3102" xr:uid="{00000000-0005-0000-0000-0000B1090000}"/>
    <cellStyle name="Normal 44 3 6" xfId="4012" xr:uid="{00000000-0005-0000-0000-0000B2090000}"/>
    <cellStyle name="Normal 44 4" xfId="599" xr:uid="{00000000-0005-0000-0000-0000B3090000}"/>
    <cellStyle name="Normal 44 4 2" xfId="1073" xr:uid="{00000000-0005-0000-0000-0000B4090000}"/>
    <cellStyle name="Normal 44 4 3" xfId="1392" xr:uid="{00000000-0005-0000-0000-0000B5090000}"/>
    <cellStyle name="Normal 44 4 4" xfId="1694" xr:uid="{00000000-0005-0000-0000-0000B6090000}"/>
    <cellStyle name="Normal 44 4 5" xfId="3323" xr:uid="{00000000-0005-0000-0000-0000B7090000}"/>
    <cellStyle name="Normal 44 4 6" xfId="4032" xr:uid="{00000000-0005-0000-0000-0000B8090000}"/>
    <cellStyle name="Normal 44 5" xfId="419" xr:uid="{00000000-0005-0000-0000-0000B9090000}"/>
    <cellStyle name="Normal 44 6" xfId="922" xr:uid="{00000000-0005-0000-0000-0000BA090000}"/>
    <cellStyle name="Normal 44 7" xfId="1233" xr:uid="{00000000-0005-0000-0000-0000BB090000}"/>
    <cellStyle name="Normal 44 8" xfId="1549" xr:uid="{00000000-0005-0000-0000-0000BC090000}"/>
    <cellStyle name="Normal 44 9" xfId="2805" xr:uid="{00000000-0005-0000-0000-0000BD090000}"/>
    <cellStyle name="Normal 45" xfId="421" xr:uid="{00000000-0005-0000-0000-0000BE090000}"/>
    <cellStyle name="Normal 45 10" xfId="3886" xr:uid="{00000000-0005-0000-0000-0000BF090000}"/>
    <cellStyle name="Normal 45 2" xfId="612" xr:uid="{00000000-0005-0000-0000-0000C0090000}"/>
    <cellStyle name="Normal 45 2 2" xfId="1086" xr:uid="{00000000-0005-0000-0000-0000C1090000}"/>
    <cellStyle name="Normal 45 2 3" xfId="1405" xr:uid="{00000000-0005-0000-0000-0000C2090000}"/>
    <cellStyle name="Normal 45 2 4" xfId="1707" xr:uid="{00000000-0005-0000-0000-0000C3090000}"/>
    <cellStyle name="Normal 45 2 5" xfId="3079" xr:uid="{00000000-0005-0000-0000-0000C4090000}"/>
    <cellStyle name="Normal 45 2 6" xfId="4045" xr:uid="{00000000-0005-0000-0000-0000C5090000}"/>
    <cellStyle name="Normal 45 3" xfId="743" xr:uid="{00000000-0005-0000-0000-0000C6090000}"/>
    <cellStyle name="Normal 45 4" xfId="937" xr:uid="{00000000-0005-0000-0000-0000C7090000}"/>
    <cellStyle name="Normal 45 5" xfId="1246" xr:uid="{00000000-0005-0000-0000-0000C8090000}"/>
    <cellStyle name="Normal 45 6" xfId="1563" xr:uid="{00000000-0005-0000-0000-0000C9090000}"/>
    <cellStyle name="Normal 45 7" xfId="2818" xr:uid="{00000000-0005-0000-0000-0000CA090000}"/>
    <cellStyle name="Normal 45 8" xfId="3265" xr:uid="{00000000-0005-0000-0000-0000CB090000}"/>
    <cellStyle name="Normal 45 9" xfId="3624" xr:uid="{00000000-0005-0000-0000-0000CC090000}"/>
    <cellStyle name="Normal 46" xfId="442" xr:uid="{00000000-0005-0000-0000-0000CD090000}"/>
    <cellStyle name="Normal 46 10" xfId="3189" xr:uid="{00000000-0005-0000-0000-0000CE090000}"/>
    <cellStyle name="Normal 46 11" xfId="3542" xr:uid="{00000000-0005-0000-0000-0000CF090000}"/>
    <cellStyle name="Normal 46 12" xfId="3632" xr:uid="{00000000-0005-0000-0000-0000D0090000}"/>
    <cellStyle name="Normal 46 13" xfId="3804" xr:uid="{00000000-0005-0000-0000-0000D1090000}"/>
    <cellStyle name="Normal 46 14" xfId="3895" xr:uid="{00000000-0005-0000-0000-0000D2090000}"/>
    <cellStyle name="Normal 46 2" xfId="623" xr:uid="{00000000-0005-0000-0000-0000D3090000}"/>
    <cellStyle name="Normal 46 2 2" xfId="1096" xr:uid="{00000000-0005-0000-0000-0000D4090000}"/>
    <cellStyle name="Normal 46 2 3" xfId="1416" xr:uid="{00000000-0005-0000-0000-0000D5090000}"/>
    <cellStyle name="Normal 46 2 4" xfId="1718" xr:uid="{00000000-0005-0000-0000-0000D6090000}"/>
    <cellStyle name="Normal 46 2 5" xfId="3069" xr:uid="{00000000-0005-0000-0000-0000D7090000}"/>
    <cellStyle name="Normal 46 2 6" xfId="4056" xr:uid="{00000000-0005-0000-0000-0000D8090000}"/>
    <cellStyle name="Normal 46 3" xfId="947" xr:uid="{00000000-0005-0000-0000-0000D9090000}"/>
    <cellStyle name="Normal 46 4" xfId="1257" xr:uid="{00000000-0005-0000-0000-0000DA090000}"/>
    <cellStyle name="Normal 46 5" xfId="1572" xr:uid="{00000000-0005-0000-0000-0000DB090000}"/>
    <cellStyle name="Normal 46 6" xfId="2247" xr:uid="{00000000-0005-0000-0000-0000DC090000}"/>
    <cellStyle name="Normal 46 7" xfId="2550" xr:uid="{00000000-0005-0000-0000-0000DD090000}"/>
    <cellStyle name="Normal 46 8" xfId="2775" xr:uid="{00000000-0005-0000-0000-0000DE090000}"/>
    <cellStyle name="Normal 46 9" xfId="2834" xr:uid="{00000000-0005-0000-0000-0000DF090000}"/>
    <cellStyle name="Normal 47" xfId="458" xr:uid="{00000000-0005-0000-0000-0000E0090000}"/>
    <cellStyle name="Normal 47 2" xfId="634" xr:uid="{00000000-0005-0000-0000-0000E1090000}"/>
    <cellStyle name="Normal 47 2 2" xfId="1105" xr:uid="{00000000-0005-0000-0000-0000E2090000}"/>
    <cellStyle name="Normal 47 2 3" xfId="1427" xr:uid="{00000000-0005-0000-0000-0000E3090000}"/>
    <cellStyle name="Normal 47 2 4" xfId="1729" xr:uid="{00000000-0005-0000-0000-0000E4090000}"/>
    <cellStyle name="Normal 47 2 5" xfId="3058" xr:uid="{00000000-0005-0000-0000-0000E5090000}"/>
    <cellStyle name="Normal 47 2 6" xfId="4067" xr:uid="{00000000-0005-0000-0000-0000E6090000}"/>
    <cellStyle name="Normal 47 3" xfId="956" xr:uid="{00000000-0005-0000-0000-0000E7090000}"/>
    <cellStyle name="Normal 47 4" xfId="1268" xr:uid="{00000000-0005-0000-0000-0000E8090000}"/>
    <cellStyle name="Normal 47 5" xfId="1577" xr:uid="{00000000-0005-0000-0000-0000E9090000}"/>
    <cellStyle name="Normal 47 6" xfId="2551" xr:uid="{00000000-0005-0000-0000-0000EA090000}"/>
    <cellStyle name="Normal 47 7" xfId="3284" xr:uid="{00000000-0005-0000-0000-0000EB090000}"/>
    <cellStyle name="Normal 47 8" xfId="3900" xr:uid="{00000000-0005-0000-0000-0000EC090000}"/>
    <cellStyle name="Normal 48" xfId="474" xr:uid="{00000000-0005-0000-0000-0000ED090000}"/>
    <cellStyle name="Normal 48 2" xfId="650" xr:uid="{00000000-0005-0000-0000-0000EE090000}"/>
    <cellStyle name="Normal 48 2 2" xfId="1121" xr:uid="{00000000-0005-0000-0000-0000EF090000}"/>
    <cellStyle name="Normal 48 2 3" xfId="1443" xr:uid="{00000000-0005-0000-0000-0000F0090000}"/>
    <cellStyle name="Normal 48 2 4" xfId="1745" xr:uid="{00000000-0005-0000-0000-0000F1090000}"/>
    <cellStyle name="Normal 48 2 5" xfId="3041" xr:uid="{00000000-0005-0000-0000-0000F2090000}"/>
    <cellStyle name="Normal 48 2 6" xfId="4083" xr:uid="{00000000-0005-0000-0000-0000F3090000}"/>
    <cellStyle name="Normal 48 3" xfId="972" xr:uid="{00000000-0005-0000-0000-0000F4090000}"/>
    <cellStyle name="Normal 48 4" xfId="1284" xr:uid="{00000000-0005-0000-0000-0000F5090000}"/>
    <cellStyle name="Normal 48 5" xfId="1593" xr:uid="{00000000-0005-0000-0000-0000F6090000}"/>
    <cellStyle name="Normal 48 6" xfId="2552" xr:uid="{00000000-0005-0000-0000-0000F7090000}"/>
    <cellStyle name="Normal 48 7" xfId="3293" xr:uid="{00000000-0005-0000-0000-0000F8090000}"/>
    <cellStyle name="Normal 48 8" xfId="3916" xr:uid="{00000000-0005-0000-0000-0000F9090000}"/>
    <cellStyle name="Normal 49" xfId="499" xr:uid="{00000000-0005-0000-0000-0000FA090000}"/>
    <cellStyle name="Normal 49 2" xfId="675" xr:uid="{00000000-0005-0000-0000-0000FB090000}"/>
    <cellStyle name="Normal 49 2 2" xfId="1142" xr:uid="{00000000-0005-0000-0000-0000FC090000}"/>
    <cellStyle name="Normal 49 2 3" xfId="1465" xr:uid="{00000000-0005-0000-0000-0000FD090000}"/>
    <cellStyle name="Normal 49 2 4" xfId="1767" xr:uid="{00000000-0005-0000-0000-0000FE090000}"/>
    <cellStyle name="Normal 49 2 5" xfId="3015" xr:uid="{00000000-0005-0000-0000-0000FF090000}"/>
    <cellStyle name="Normal 49 2 6" xfId="4107" xr:uid="{00000000-0005-0000-0000-0000000A0000}"/>
    <cellStyle name="Normal 49 3" xfId="993" xr:uid="{00000000-0005-0000-0000-0000010A0000}"/>
    <cellStyle name="Normal 49 4" xfId="1307" xr:uid="{00000000-0005-0000-0000-0000020A0000}"/>
    <cellStyle name="Normal 49 5" xfId="1614" xr:uid="{00000000-0005-0000-0000-0000030A0000}"/>
    <cellStyle name="Normal 49 6" xfId="2553" xr:uid="{00000000-0005-0000-0000-0000040A0000}"/>
    <cellStyle name="Normal 49 7" xfId="3162" xr:uid="{00000000-0005-0000-0000-0000050A0000}"/>
    <cellStyle name="Normal 49 8" xfId="3939" xr:uid="{00000000-0005-0000-0000-0000060A0000}"/>
    <cellStyle name="Normal 5" xfId="50" xr:uid="{00000000-0005-0000-0000-0000070A0000}"/>
    <cellStyle name="Normal 5 10" xfId="3237" xr:uid="{00000000-0005-0000-0000-0000080A0000}"/>
    <cellStyle name="Normal 5 11" xfId="3600" xr:uid="{00000000-0005-0000-0000-0000090A0000}"/>
    <cellStyle name="Normal 5 12" xfId="3862" xr:uid="{00000000-0005-0000-0000-00000A0A0000}"/>
    <cellStyle name="Normal 5 13" xfId="372" xr:uid="{00000000-0005-0000-0000-00000B0A0000}"/>
    <cellStyle name="Normal 5 2" xfId="432" xr:uid="{00000000-0005-0000-0000-00000C0A0000}"/>
    <cellStyle name="Normal 5 3" xfId="565" xr:uid="{00000000-0005-0000-0000-00000D0A0000}"/>
    <cellStyle name="Normal 5 3 2" xfId="1042" xr:uid="{00000000-0005-0000-0000-00000E0A0000}"/>
    <cellStyle name="Normal 5 3 3" xfId="1361" xr:uid="{00000000-0005-0000-0000-00000F0A0000}"/>
    <cellStyle name="Normal 5 3 4" xfId="1663" xr:uid="{00000000-0005-0000-0000-0000100A0000}"/>
    <cellStyle name="Normal 5 3 5" xfId="3112" xr:uid="{00000000-0005-0000-0000-0000110A0000}"/>
    <cellStyle name="Normal 5 3 6" xfId="4001" xr:uid="{00000000-0005-0000-0000-0000120A0000}"/>
    <cellStyle name="Normal 5 4" xfId="587" xr:uid="{00000000-0005-0000-0000-0000130A0000}"/>
    <cellStyle name="Normal 5 4 2" xfId="1061" xr:uid="{00000000-0005-0000-0000-0000140A0000}"/>
    <cellStyle name="Normal 5 4 3" xfId="1380" xr:uid="{00000000-0005-0000-0000-0000150A0000}"/>
    <cellStyle name="Normal 5 4 4" xfId="1682" xr:uid="{00000000-0005-0000-0000-0000160A0000}"/>
    <cellStyle name="Normal 5 4 5" xfId="3094" xr:uid="{00000000-0005-0000-0000-0000170A0000}"/>
    <cellStyle name="Normal 5 4 6" xfId="4020" xr:uid="{00000000-0005-0000-0000-0000180A0000}"/>
    <cellStyle name="Normal 5 5" xfId="394" xr:uid="{00000000-0005-0000-0000-0000190A0000}"/>
    <cellStyle name="Normal 5 6" xfId="907" xr:uid="{00000000-0005-0000-0000-00001A0A0000}"/>
    <cellStyle name="Normal 5 7" xfId="1222" xr:uid="{00000000-0005-0000-0000-00001B0A0000}"/>
    <cellStyle name="Normal 5 8" xfId="1535" xr:uid="{00000000-0005-0000-0000-00001C0A0000}"/>
    <cellStyle name="Normal 5 9" xfId="2785" xr:uid="{00000000-0005-0000-0000-00001D0A0000}"/>
    <cellStyle name="Normal 50" xfId="516" xr:uid="{00000000-0005-0000-0000-00001E0A0000}"/>
    <cellStyle name="Normal 50 2" xfId="691" xr:uid="{00000000-0005-0000-0000-00001F0A0000}"/>
    <cellStyle name="Normal 50 2 2" xfId="1152" xr:uid="{00000000-0005-0000-0000-0000200A0000}"/>
    <cellStyle name="Normal 50 2 3" xfId="1477" xr:uid="{00000000-0005-0000-0000-0000210A0000}"/>
    <cellStyle name="Normal 50 2 4" xfId="1779" xr:uid="{00000000-0005-0000-0000-0000220A0000}"/>
    <cellStyle name="Normal 50 2 5" xfId="3337" xr:uid="{00000000-0005-0000-0000-0000230A0000}"/>
    <cellStyle name="Normal 50 2 6" xfId="4123" xr:uid="{00000000-0005-0000-0000-0000240A0000}"/>
    <cellStyle name="Normal 50 3" xfId="1003" xr:uid="{00000000-0005-0000-0000-0000250A0000}"/>
    <cellStyle name="Normal 50 4" xfId="1319" xr:uid="{00000000-0005-0000-0000-0000260A0000}"/>
    <cellStyle name="Normal 50 5" xfId="1621" xr:uid="{00000000-0005-0000-0000-0000270A0000}"/>
    <cellStyle name="Normal 50 6" xfId="2554" xr:uid="{00000000-0005-0000-0000-0000280A0000}"/>
    <cellStyle name="Normal 50 7" xfId="3161" xr:uid="{00000000-0005-0000-0000-0000290A0000}"/>
    <cellStyle name="Normal 50 8" xfId="3953" xr:uid="{00000000-0005-0000-0000-00002A0A0000}"/>
    <cellStyle name="Normal 51" xfId="517" xr:uid="{00000000-0005-0000-0000-00002B0A0000}"/>
    <cellStyle name="Normal 51 2" xfId="692" xr:uid="{00000000-0005-0000-0000-00002C0A0000}"/>
    <cellStyle name="Normal 51 2 2" xfId="1153" xr:uid="{00000000-0005-0000-0000-00002D0A0000}"/>
    <cellStyle name="Normal 51 2 3" xfId="1478" xr:uid="{00000000-0005-0000-0000-00002E0A0000}"/>
    <cellStyle name="Normal 51 2 4" xfId="1780" xr:uid="{00000000-0005-0000-0000-00002F0A0000}"/>
    <cellStyle name="Normal 51 2 5" xfId="3010" xr:uid="{00000000-0005-0000-0000-0000300A0000}"/>
    <cellStyle name="Normal 51 2 6" xfId="4124" xr:uid="{00000000-0005-0000-0000-0000310A0000}"/>
    <cellStyle name="Normal 51 3" xfId="1004" xr:uid="{00000000-0005-0000-0000-0000320A0000}"/>
    <cellStyle name="Normal 51 4" xfId="1320" xr:uid="{00000000-0005-0000-0000-0000330A0000}"/>
    <cellStyle name="Normal 51 5" xfId="1622" xr:uid="{00000000-0005-0000-0000-0000340A0000}"/>
    <cellStyle name="Normal 51 6" xfId="3259" xr:uid="{00000000-0005-0000-0000-0000350A0000}"/>
    <cellStyle name="Normal 51 7" xfId="3160" xr:uid="{00000000-0005-0000-0000-0000360A0000}"/>
    <cellStyle name="Normal 51 8" xfId="3954" xr:uid="{00000000-0005-0000-0000-0000370A0000}"/>
    <cellStyle name="Normal 52" xfId="542" xr:uid="{00000000-0005-0000-0000-0000380A0000}"/>
    <cellStyle name="Normal 52 2" xfId="712" xr:uid="{00000000-0005-0000-0000-0000390A0000}"/>
    <cellStyle name="Normal 52 2 2" xfId="1173" xr:uid="{00000000-0005-0000-0000-00003A0A0000}"/>
    <cellStyle name="Normal 52 2 3" xfId="1498" xr:uid="{00000000-0005-0000-0000-00003B0A0000}"/>
    <cellStyle name="Normal 52 2 4" xfId="1800" xr:uid="{00000000-0005-0000-0000-00003C0A0000}"/>
    <cellStyle name="Normal 52 2 5" xfId="3351" xr:uid="{00000000-0005-0000-0000-00003D0A0000}"/>
    <cellStyle name="Normal 52 2 6" xfId="4144" xr:uid="{00000000-0005-0000-0000-00003E0A0000}"/>
    <cellStyle name="Normal 52 3" xfId="1025" xr:uid="{00000000-0005-0000-0000-00003F0A0000}"/>
    <cellStyle name="Normal 52 4" xfId="1342" xr:uid="{00000000-0005-0000-0000-0000400A0000}"/>
    <cellStyle name="Normal 52 5" xfId="1644" xr:uid="{00000000-0005-0000-0000-0000410A0000}"/>
    <cellStyle name="Normal 52 6" xfId="3134" xr:uid="{00000000-0005-0000-0000-0000420A0000}"/>
    <cellStyle name="Normal 52 7" xfId="3978" xr:uid="{00000000-0005-0000-0000-0000430A0000}"/>
    <cellStyle name="Normal 53" xfId="598" xr:uid="{00000000-0005-0000-0000-0000440A0000}"/>
    <cellStyle name="Normal 53 2" xfId="1072" xr:uid="{00000000-0005-0000-0000-0000450A0000}"/>
    <cellStyle name="Normal 53 3" xfId="1391" xr:uid="{00000000-0005-0000-0000-0000460A0000}"/>
    <cellStyle name="Normal 53 4" xfId="1693" xr:uid="{00000000-0005-0000-0000-0000470A0000}"/>
    <cellStyle name="Normal 53 5" xfId="3322" xr:uid="{00000000-0005-0000-0000-0000480A0000}"/>
    <cellStyle name="Normal 53 6" xfId="4031" xr:uid="{00000000-0005-0000-0000-0000490A0000}"/>
    <cellStyle name="Normal 54" xfId="717" xr:uid="{00000000-0005-0000-0000-00004A0A0000}"/>
    <cellStyle name="Normal 54 2" xfId="1178" xr:uid="{00000000-0005-0000-0000-00004B0A0000}"/>
    <cellStyle name="Normal 54 3" xfId="1503" xr:uid="{00000000-0005-0000-0000-00004C0A0000}"/>
    <cellStyle name="Normal 54 4" xfId="1805" xr:uid="{00000000-0005-0000-0000-00004D0A0000}"/>
    <cellStyle name="Normal 54 5" xfId="3356" xr:uid="{00000000-0005-0000-0000-00004E0A0000}"/>
    <cellStyle name="Normal 54 6" xfId="4149" xr:uid="{00000000-0005-0000-0000-00004F0A0000}"/>
    <cellStyle name="Normal 55" xfId="794" xr:uid="{00000000-0005-0000-0000-0000500A0000}"/>
    <cellStyle name="Normal 56" xfId="801" xr:uid="{00000000-0005-0000-0000-0000510A0000}"/>
    <cellStyle name="Normal 57" xfId="859" xr:uid="{00000000-0005-0000-0000-0000520A0000}"/>
    <cellStyle name="Normal 58" xfId="796" xr:uid="{00000000-0005-0000-0000-0000530A0000}"/>
    <cellStyle name="Normal 59" xfId="1548" xr:uid="{00000000-0005-0000-0000-0000540A0000}"/>
    <cellStyle name="Normal 6" xfId="53" xr:uid="{00000000-0005-0000-0000-0000550A0000}"/>
    <cellStyle name="Normal 6 10" xfId="1925" xr:uid="{00000000-0005-0000-0000-0000560A0000}"/>
    <cellStyle name="Normal 6 11" xfId="2359" xr:uid="{00000000-0005-0000-0000-0000570A0000}"/>
    <cellStyle name="Normal 6 12" xfId="2589" xr:uid="{00000000-0005-0000-0000-0000580A0000}"/>
    <cellStyle name="Normal 6 13" xfId="3190" xr:uid="{00000000-0005-0000-0000-0000590A0000}"/>
    <cellStyle name="Normal 6 14" xfId="3543" xr:uid="{00000000-0005-0000-0000-00005A0A0000}"/>
    <cellStyle name="Normal 6 15" xfId="3805" xr:uid="{00000000-0005-0000-0000-00005B0A0000}"/>
    <cellStyle name="Normal 6 16" xfId="375" xr:uid="{00000000-0005-0000-0000-00005C0A0000}"/>
    <cellStyle name="Normal 6 2" xfId="265" xr:uid="{00000000-0005-0000-0000-00005D0A0000}"/>
    <cellStyle name="Normal 6 2 10" xfId="1229" xr:uid="{00000000-0005-0000-0000-00005E0A0000}"/>
    <cellStyle name="Normal 6 2 11" xfId="1544" xr:uid="{00000000-0005-0000-0000-00005F0A0000}"/>
    <cellStyle name="Normal 6 2 12" xfId="1926" xr:uid="{00000000-0005-0000-0000-0000600A0000}"/>
    <cellStyle name="Normal 6 2 13" xfId="2360" xr:uid="{00000000-0005-0000-0000-0000610A0000}"/>
    <cellStyle name="Normal 6 2 14" xfId="2590" xr:uid="{00000000-0005-0000-0000-0000620A0000}"/>
    <cellStyle name="Normal 6 2 15" xfId="2795" xr:uid="{00000000-0005-0000-0000-0000630A0000}"/>
    <cellStyle name="Normal 6 2 16" xfId="3191" xr:uid="{00000000-0005-0000-0000-0000640A0000}"/>
    <cellStyle name="Normal 6 2 17" xfId="3544" xr:uid="{00000000-0005-0000-0000-0000650A0000}"/>
    <cellStyle name="Normal 6 2 18" xfId="3607" xr:uid="{00000000-0005-0000-0000-0000660A0000}"/>
    <cellStyle name="Normal 6 2 19" xfId="3806" xr:uid="{00000000-0005-0000-0000-0000670A0000}"/>
    <cellStyle name="Normal 6 2 2" xfId="434" xr:uid="{00000000-0005-0000-0000-0000680A0000}"/>
    <cellStyle name="Normal 6 2 2 10" xfId="3192" xr:uid="{00000000-0005-0000-0000-0000690A0000}"/>
    <cellStyle name="Normal 6 2 2 11" xfId="3545" xr:uid="{00000000-0005-0000-0000-00006A0A0000}"/>
    <cellStyle name="Normal 6 2 2 12" xfId="3628" xr:uid="{00000000-0005-0000-0000-00006B0A0000}"/>
    <cellStyle name="Normal 6 2 2 13" xfId="3807" xr:uid="{00000000-0005-0000-0000-00006C0A0000}"/>
    <cellStyle name="Normal 6 2 2 14" xfId="3891" xr:uid="{00000000-0005-0000-0000-00006D0A0000}"/>
    <cellStyle name="Normal 6 2 2 2" xfId="619" xr:uid="{00000000-0005-0000-0000-00006E0A0000}"/>
    <cellStyle name="Normal 6 2 2 2 10" xfId="3808" xr:uid="{00000000-0005-0000-0000-00006F0A0000}"/>
    <cellStyle name="Normal 6 2 2 2 11" xfId="4052" xr:uid="{00000000-0005-0000-0000-0000700A0000}"/>
    <cellStyle name="Normal 6 2 2 2 2" xfId="1092" xr:uid="{00000000-0005-0000-0000-0000710A0000}"/>
    <cellStyle name="Normal 6 2 2 2 3" xfId="1412" xr:uid="{00000000-0005-0000-0000-0000720A0000}"/>
    <cellStyle name="Normal 6 2 2 2 4" xfId="1714" xr:uid="{00000000-0005-0000-0000-0000730A0000}"/>
    <cellStyle name="Normal 6 2 2 2 5" xfId="2195" xr:uid="{00000000-0005-0000-0000-0000740A0000}"/>
    <cellStyle name="Normal 6 2 2 2 6" xfId="2511" xr:uid="{00000000-0005-0000-0000-0000750A0000}"/>
    <cellStyle name="Normal 6 2 2 2 7" xfId="2740" xr:uid="{00000000-0005-0000-0000-0000760A0000}"/>
    <cellStyle name="Normal 6 2 2 2 8" xfId="3193" xr:uid="{00000000-0005-0000-0000-0000770A0000}"/>
    <cellStyle name="Normal 6 2 2 2 9" xfId="3546" xr:uid="{00000000-0005-0000-0000-0000780A0000}"/>
    <cellStyle name="Normal 6 2 2 3" xfId="943" xr:uid="{00000000-0005-0000-0000-0000790A0000}"/>
    <cellStyle name="Normal 6 2 2 4" xfId="1253" xr:uid="{00000000-0005-0000-0000-00007A0A0000}"/>
    <cellStyle name="Normal 6 2 2 5" xfId="1568" xr:uid="{00000000-0005-0000-0000-00007B0A0000}"/>
    <cellStyle name="Normal 6 2 2 6" xfId="2194" xr:uid="{00000000-0005-0000-0000-00007C0A0000}"/>
    <cellStyle name="Normal 6 2 2 7" xfId="2510" xr:uid="{00000000-0005-0000-0000-00007D0A0000}"/>
    <cellStyle name="Normal 6 2 2 8" xfId="2739" xr:uid="{00000000-0005-0000-0000-00007E0A0000}"/>
    <cellStyle name="Normal 6 2 2 9" xfId="2829" xr:uid="{00000000-0005-0000-0000-00007F0A0000}"/>
    <cellStyle name="Normal 6 2 20" xfId="3869" xr:uid="{00000000-0005-0000-0000-0000800A0000}"/>
    <cellStyle name="Normal 6 2 21" xfId="382" xr:uid="{00000000-0005-0000-0000-0000810A0000}"/>
    <cellStyle name="Normal 6 2 3" xfId="495" xr:uid="{00000000-0005-0000-0000-0000820A0000}"/>
    <cellStyle name="Normal 6 2 3 10" xfId="3547" xr:uid="{00000000-0005-0000-0000-0000830A0000}"/>
    <cellStyle name="Normal 6 2 3 11" xfId="3809" xr:uid="{00000000-0005-0000-0000-0000840A0000}"/>
    <cellStyle name="Normal 6 2 3 12" xfId="3935" xr:uid="{00000000-0005-0000-0000-0000850A0000}"/>
    <cellStyle name="Normal 6 2 3 2" xfId="671" xr:uid="{00000000-0005-0000-0000-0000860A0000}"/>
    <cellStyle name="Normal 6 2 3 2 2" xfId="1138" xr:uid="{00000000-0005-0000-0000-0000870A0000}"/>
    <cellStyle name="Normal 6 2 3 2 3" xfId="1461" xr:uid="{00000000-0005-0000-0000-0000880A0000}"/>
    <cellStyle name="Normal 6 2 3 2 4" xfId="1763" xr:uid="{00000000-0005-0000-0000-0000890A0000}"/>
    <cellStyle name="Normal 6 2 3 2 5" xfId="3019" xr:uid="{00000000-0005-0000-0000-00008A0A0000}"/>
    <cellStyle name="Normal 6 2 3 2 6" xfId="4103" xr:uid="{00000000-0005-0000-0000-00008B0A0000}"/>
    <cellStyle name="Normal 6 2 3 3" xfId="989" xr:uid="{00000000-0005-0000-0000-00008C0A0000}"/>
    <cellStyle name="Normal 6 2 3 4" xfId="1303" xr:uid="{00000000-0005-0000-0000-00008D0A0000}"/>
    <cellStyle name="Normal 6 2 3 5" xfId="1610" xr:uid="{00000000-0005-0000-0000-00008E0A0000}"/>
    <cellStyle name="Normal 6 2 3 6" xfId="2196" xr:uid="{00000000-0005-0000-0000-00008F0A0000}"/>
    <cellStyle name="Normal 6 2 3 7" xfId="2512" xr:uid="{00000000-0005-0000-0000-0000900A0000}"/>
    <cellStyle name="Normal 6 2 3 8" xfId="2741" xr:uid="{00000000-0005-0000-0000-0000910A0000}"/>
    <cellStyle name="Normal 6 2 3 9" xfId="3194" xr:uid="{00000000-0005-0000-0000-0000920A0000}"/>
    <cellStyle name="Normal 6 2 4" xfId="538" xr:uid="{00000000-0005-0000-0000-0000930A0000}"/>
    <cellStyle name="Normal 6 2 4 2" xfId="708" xr:uid="{00000000-0005-0000-0000-0000940A0000}"/>
    <cellStyle name="Normal 6 2 4 2 2" xfId="1169" xr:uid="{00000000-0005-0000-0000-0000950A0000}"/>
    <cellStyle name="Normal 6 2 4 2 3" xfId="1494" xr:uid="{00000000-0005-0000-0000-0000960A0000}"/>
    <cellStyle name="Normal 6 2 4 2 4" xfId="1796" xr:uid="{00000000-0005-0000-0000-0000970A0000}"/>
    <cellStyle name="Normal 6 2 4 2 5" xfId="3347" xr:uid="{00000000-0005-0000-0000-0000980A0000}"/>
    <cellStyle name="Normal 6 2 4 2 6" xfId="4140" xr:uid="{00000000-0005-0000-0000-0000990A0000}"/>
    <cellStyle name="Normal 6 2 4 3" xfId="1021" xr:uid="{00000000-0005-0000-0000-00009A0A0000}"/>
    <cellStyle name="Normal 6 2 4 4" xfId="1338" xr:uid="{00000000-0005-0000-0000-00009B0A0000}"/>
    <cellStyle name="Normal 6 2 4 5" xfId="1640" xr:uid="{00000000-0005-0000-0000-00009C0A0000}"/>
    <cellStyle name="Normal 6 2 4 6" xfId="3138" xr:uid="{00000000-0005-0000-0000-00009D0A0000}"/>
    <cellStyle name="Normal 6 2 4 7" xfId="3974" xr:uid="{00000000-0005-0000-0000-00009E0A0000}"/>
    <cellStyle name="Normal 6 2 5" xfId="575" xr:uid="{00000000-0005-0000-0000-00009F0A0000}"/>
    <cellStyle name="Normal 6 2 5 2" xfId="1049" xr:uid="{00000000-0005-0000-0000-0000A00A0000}"/>
    <cellStyle name="Normal 6 2 5 3" xfId="1368" xr:uid="{00000000-0005-0000-0000-0000A10A0000}"/>
    <cellStyle name="Normal 6 2 5 4" xfId="1670" xr:uid="{00000000-0005-0000-0000-0000A20A0000}"/>
    <cellStyle name="Normal 6 2 5 5" xfId="3106" xr:uid="{00000000-0005-0000-0000-0000A30A0000}"/>
    <cellStyle name="Normal 6 2 5 6" xfId="4008" xr:uid="{00000000-0005-0000-0000-0000A40A0000}"/>
    <cellStyle name="Normal 6 2 6" xfId="594" xr:uid="{00000000-0005-0000-0000-0000A50A0000}"/>
    <cellStyle name="Normal 6 2 6 2" xfId="1068" xr:uid="{00000000-0005-0000-0000-0000A60A0000}"/>
    <cellStyle name="Normal 6 2 6 3" xfId="1387" xr:uid="{00000000-0005-0000-0000-0000A70A0000}"/>
    <cellStyle name="Normal 6 2 6 4" xfId="1689" xr:uid="{00000000-0005-0000-0000-0000A80A0000}"/>
    <cellStyle name="Normal 6 2 6 5" xfId="3318" xr:uid="{00000000-0005-0000-0000-0000A90A0000}"/>
    <cellStyle name="Normal 6 2 6 6" xfId="4027" xr:uid="{00000000-0005-0000-0000-0000AA0A0000}"/>
    <cellStyle name="Normal 6 2 7" xfId="733" xr:uid="{00000000-0005-0000-0000-0000AB0A0000}"/>
    <cellStyle name="Normal 6 2 7 2" xfId="1194" xr:uid="{00000000-0005-0000-0000-0000AC0A0000}"/>
    <cellStyle name="Normal 6 2 7 3" xfId="1519" xr:uid="{00000000-0005-0000-0000-0000AD0A0000}"/>
    <cellStyle name="Normal 6 2 7 4" xfId="1821" xr:uid="{00000000-0005-0000-0000-0000AE0A0000}"/>
    <cellStyle name="Normal 6 2 7 5" xfId="3372" xr:uid="{00000000-0005-0000-0000-0000AF0A0000}"/>
    <cellStyle name="Normal 6 2 7 6" xfId="4165" xr:uid="{00000000-0005-0000-0000-0000B00A0000}"/>
    <cellStyle name="Normal 6 2 8" xfId="414" xr:uid="{00000000-0005-0000-0000-0000B10A0000}"/>
    <cellStyle name="Normal 6 2 9" xfId="918" xr:uid="{00000000-0005-0000-0000-0000B20A0000}"/>
    <cellStyle name="Normal 6 3" xfId="14" xr:uid="{00000000-0005-0000-0000-0000B30A0000}"/>
    <cellStyle name="Normal 6 3 10" xfId="2513" xr:uid="{00000000-0005-0000-0000-0000B40A0000}"/>
    <cellStyle name="Normal 6 3 11" xfId="2742" xr:uid="{00000000-0005-0000-0000-0000B50A0000}"/>
    <cellStyle name="Normal 6 3 12" xfId="2782" xr:uid="{00000000-0005-0000-0000-0000B60A0000}"/>
    <cellStyle name="Normal 6 3 13" xfId="3195" xr:uid="{00000000-0005-0000-0000-0000B70A0000}"/>
    <cellStyle name="Normal 6 3 14" xfId="3548" xr:uid="{00000000-0005-0000-0000-0000B80A0000}"/>
    <cellStyle name="Normal 6 3 15" xfId="3597" xr:uid="{00000000-0005-0000-0000-0000B90A0000}"/>
    <cellStyle name="Normal 6 3 16" xfId="3810" xr:uid="{00000000-0005-0000-0000-0000BA0A0000}"/>
    <cellStyle name="Normal 6 3 17" xfId="3859" xr:uid="{00000000-0005-0000-0000-0000BB0A0000}"/>
    <cellStyle name="Normal 6 3 18" xfId="369" xr:uid="{00000000-0005-0000-0000-0000BC0A0000}"/>
    <cellStyle name="Normal 6 3 2" xfId="15" xr:uid="{00000000-0005-0000-0000-0000BD0A0000}"/>
    <cellStyle name="Normal 6 3 2 10" xfId="2743" xr:uid="{00000000-0005-0000-0000-0000BE0A0000}"/>
    <cellStyle name="Normal 6 3 2 11" xfId="2783" xr:uid="{00000000-0005-0000-0000-0000BF0A0000}"/>
    <cellStyle name="Normal 6 3 2 12" xfId="3196" xr:uid="{00000000-0005-0000-0000-0000C00A0000}"/>
    <cellStyle name="Normal 6 3 2 13" xfId="3549" xr:uid="{00000000-0005-0000-0000-0000C10A0000}"/>
    <cellStyle name="Normal 6 3 2 14" xfId="3598" xr:uid="{00000000-0005-0000-0000-0000C20A0000}"/>
    <cellStyle name="Normal 6 3 2 15" xfId="3811" xr:uid="{00000000-0005-0000-0000-0000C30A0000}"/>
    <cellStyle name="Normal 6 3 2 16" xfId="3860" xr:uid="{00000000-0005-0000-0000-0000C40A0000}"/>
    <cellStyle name="Normal 6 3 2 17" xfId="370" xr:uid="{00000000-0005-0000-0000-0000C50A0000}"/>
    <cellStyle name="Normal 6 3 2 2" xfId="563" xr:uid="{00000000-0005-0000-0000-0000C60A0000}"/>
    <cellStyle name="Normal 6 3 2 2 2" xfId="1040" xr:uid="{00000000-0005-0000-0000-0000C70A0000}"/>
    <cellStyle name="Normal 6 3 2 2 3" xfId="1359" xr:uid="{00000000-0005-0000-0000-0000C80A0000}"/>
    <cellStyle name="Normal 6 3 2 2 4" xfId="1661" xr:uid="{00000000-0005-0000-0000-0000C90A0000}"/>
    <cellStyle name="Normal 6 3 2 2 5" xfId="3113" xr:uid="{00000000-0005-0000-0000-0000CA0A0000}"/>
    <cellStyle name="Normal 6 3 2 2 6" xfId="3999" xr:uid="{00000000-0005-0000-0000-0000CB0A0000}"/>
    <cellStyle name="Normal 6 3 2 3" xfId="585" xr:uid="{00000000-0005-0000-0000-0000CC0A0000}"/>
    <cellStyle name="Normal 6 3 2 3 2" xfId="1059" xr:uid="{00000000-0005-0000-0000-0000CD0A0000}"/>
    <cellStyle name="Normal 6 3 2 3 3" xfId="1378" xr:uid="{00000000-0005-0000-0000-0000CE0A0000}"/>
    <cellStyle name="Normal 6 3 2 3 4" xfId="1680" xr:uid="{00000000-0005-0000-0000-0000CF0A0000}"/>
    <cellStyle name="Normal 6 3 2 3 5" xfId="3096" xr:uid="{00000000-0005-0000-0000-0000D00A0000}"/>
    <cellStyle name="Normal 6 3 2 3 6" xfId="4018" xr:uid="{00000000-0005-0000-0000-0000D10A0000}"/>
    <cellStyle name="Normal 6 3 2 4" xfId="392" xr:uid="{00000000-0005-0000-0000-0000D20A0000}"/>
    <cellStyle name="Normal 6 3 2 5" xfId="905" xr:uid="{00000000-0005-0000-0000-0000D30A0000}"/>
    <cellStyle name="Normal 6 3 2 6" xfId="1220" xr:uid="{00000000-0005-0000-0000-0000D40A0000}"/>
    <cellStyle name="Normal 6 3 2 7" xfId="1533" xr:uid="{00000000-0005-0000-0000-0000D50A0000}"/>
    <cellStyle name="Normal 6 3 2 8" xfId="2198" xr:uid="{00000000-0005-0000-0000-0000D60A0000}"/>
    <cellStyle name="Normal 6 3 2 9" xfId="2514" xr:uid="{00000000-0005-0000-0000-0000D70A0000}"/>
    <cellStyle name="Normal 6 3 3" xfId="562" xr:uid="{00000000-0005-0000-0000-0000D80A0000}"/>
    <cellStyle name="Normal 6 3 3 2" xfId="1039" xr:uid="{00000000-0005-0000-0000-0000D90A0000}"/>
    <cellStyle name="Normal 6 3 3 3" xfId="1358" xr:uid="{00000000-0005-0000-0000-0000DA0A0000}"/>
    <cellStyle name="Normal 6 3 3 4" xfId="1660" xr:uid="{00000000-0005-0000-0000-0000DB0A0000}"/>
    <cellStyle name="Normal 6 3 3 5" xfId="3114" xr:uid="{00000000-0005-0000-0000-0000DC0A0000}"/>
    <cellStyle name="Normal 6 3 3 6" xfId="3998" xr:uid="{00000000-0005-0000-0000-0000DD0A0000}"/>
    <cellStyle name="Normal 6 3 4" xfId="584" xr:uid="{00000000-0005-0000-0000-0000DE0A0000}"/>
    <cellStyle name="Normal 6 3 4 2" xfId="1058" xr:uid="{00000000-0005-0000-0000-0000DF0A0000}"/>
    <cellStyle name="Normal 6 3 4 3" xfId="1377" xr:uid="{00000000-0005-0000-0000-0000E00A0000}"/>
    <cellStyle name="Normal 6 3 4 4" xfId="1679" xr:uid="{00000000-0005-0000-0000-0000E10A0000}"/>
    <cellStyle name="Normal 6 3 4 5" xfId="3097" xr:uid="{00000000-0005-0000-0000-0000E20A0000}"/>
    <cellStyle name="Normal 6 3 4 6" xfId="4017" xr:uid="{00000000-0005-0000-0000-0000E30A0000}"/>
    <cellStyle name="Normal 6 3 5" xfId="391" xr:uid="{00000000-0005-0000-0000-0000E40A0000}"/>
    <cellStyle name="Normal 6 3 6" xfId="904" xr:uid="{00000000-0005-0000-0000-0000E50A0000}"/>
    <cellStyle name="Normal 6 3 7" xfId="1219" xr:uid="{00000000-0005-0000-0000-0000E60A0000}"/>
    <cellStyle name="Normal 6 3 8" xfId="1532" xr:uid="{00000000-0005-0000-0000-0000E70A0000}"/>
    <cellStyle name="Normal 6 3 9" xfId="2197" xr:uid="{00000000-0005-0000-0000-0000E80A0000}"/>
    <cellStyle name="Normal 6 4" xfId="433" xr:uid="{00000000-0005-0000-0000-0000E90A0000}"/>
    <cellStyle name="Normal 6 4 10" xfId="3197" xr:uid="{00000000-0005-0000-0000-0000EA0A0000}"/>
    <cellStyle name="Normal 6 4 11" xfId="3550" xr:uid="{00000000-0005-0000-0000-0000EB0A0000}"/>
    <cellStyle name="Normal 6 4 12" xfId="3627" xr:uid="{00000000-0005-0000-0000-0000EC0A0000}"/>
    <cellStyle name="Normal 6 4 13" xfId="3812" xr:uid="{00000000-0005-0000-0000-0000ED0A0000}"/>
    <cellStyle name="Normal 6 4 14" xfId="3890" xr:uid="{00000000-0005-0000-0000-0000EE0A0000}"/>
    <cellStyle name="Normal 6 4 2" xfId="618" xr:uid="{00000000-0005-0000-0000-0000EF0A0000}"/>
    <cellStyle name="Normal 6 4 2 2" xfId="1091" xr:uid="{00000000-0005-0000-0000-0000F00A0000}"/>
    <cellStyle name="Normal 6 4 2 3" xfId="1411" xr:uid="{00000000-0005-0000-0000-0000F10A0000}"/>
    <cellStyle name="Normal 6 4 2 4" xfId="1713" xr:uid="{00000000-0005-0000-0000-0000F20A0000}"/>
    <cellStyle name="Normal 6 4 2 5" xfId="3073" xr:uid="{00000000-0005-0000-0000-0000F30A0000}"/>
    <cellStyle name="Normal 6 4 2 6" xfId="4051" xr:uid="{00000000-0005-0000-0000-0000F40A0000}"/>
    <cellStyle name="Normal 6 4 3" xfId="942" xr:uid="{00000000-0005-0000-0000-0000F50A0000}"/>
    <cellStyle name="Normal 6 4 4" xfId="1252" xr:uid="{00000000-0005-0000-0000-0000F60A0000}"/>
    <cellStyle name="Normal 6 4 5" xfId="1567" xr:uid="{00000000-0005-0000-0000-0000F70A0000}"/>
    <cellStyle name="Normal 6 4 6" xfId="2199" xr:uid="{00000000-0005-0000-0000-0000F80A0000}"/>
    <cellStyle name="Normal 6 4 7" xfId="2515" xr:uid="{00000000-0005-0000-0000-0000F90A0000}"/>
    <cellStyle name="Normal 6 4 8" xfId="2744" xr:uid="{00000000-0005-0000-0000-0000FA0A0000}"/>
    <cellStyle name="Normal 6 4 9" xfId="2828" xr:uid="{00000000-0005-0000-0000-0000FB0A0000}"/>
    <cellStyle name="Normal 6 5" xfId="494" xr:uid="{00000000-0005-0000-0000-0000FC0A0000}"/>
    <cellStyle name="Normal 6 5 2" xfId="670" xr:uid="{00000000-0005-0000-0000-0000FD0A0000}"/>
    <cellStyle name="Normal 6 5 2 2" xfId="1137" xr:uid="{00000000-0005-0000-0000-0000FE0A0000}"/>
    <cellStyle name="Normal 6 5 2 3" xfId="1460" xr:uid="{00000000-0005-0000-0000-0000FF0A0000}"/>
    <cellStyle name="Normal 6 5 2 4" xfId="1762" xr:uid="{00000000-0005-0000-0000-0000000B0000}"/>
    <cellStyle name="Normal 6 5 2 5" xfId="3020" xr:uid="{00000000-0005-0000-0000-0000010B0000}"/>
    <cellStyle name="Normal 6 5 2 6" xfId="4102" xr:uid="{00000000-0005-0000-0000-0000020B0000}"/>
    <cellStyle name="Normal 6 5 3" xfId="988" xr:uid="{00000000-0005-0000-0000-0000030B0000}"/>
    <cellStyle name="Normal 6 5 4" xfId="1302" xr:uid="{00000000-0005-0000-0000-0000040B0000}"/>
    <cellStyle name="Normal 6 5 5" xfId="1609" xr:uid="{00000000-0005-0000-0000-0000050B0000}"/>
    <cellStyle name="Normal 6 5 6" xfId="3165" xr:uid="{00000000-0005-0000-0000-0000060B0000}"/>
    <cellStyle name="Normal 6 5 7" xfId="3934" xr:uid="{00000000-0005-0000-0000-0000070B0000}"/>
    <cellStyle name="Normal 6 6" xfId="537" xr:uid="{00000000-0005-0000-0000-0000080B0000}"/>
    <cellStyle name="Normal 6 6 2" xfId="707" xr:uid="{00000000-0005-0000-0000-0000090B0000}"/>
    <cellStyle name="Normal 6 6 2 2" xfId="1168" xr:uid="{00000000-0005-0000-0000-00000A0B0000}"/>
    <cellStyle name="Normal 6 6 2 3" xfId="1493" xr:uid="{00000000-0005-0000-0000-00000B0B0000}"/>
    <cellStyle name="Normal 6 6 2 4" xfId="1795" xr:uid="{00000000-0005-0000-0000-00000C0B0000}"/>
    <cellStyle name="Normal 6 6 2 5" xfId="3346" xr:uid="{00000000-0005-0000-0000-00000D0B0000}"/>
    <cellStyle name="Normal 6 6 2 6" xfId="4139" xr:uid="{00000000-0005-0000-0000-00000E0B0000}"/>
    <cellStyle name="Normal 6 6 3" xfId="1020" xr:uid="{00000000-0005-0000-0000-00000F0B0000}"/>
    <cellStyle name="Normal 6 6 4" xfId="1337" xr:uid="{00000000-0005-0000-0000-0000100B0000}"/>
    <cellStyle name="Normal 6 6 5" xfId="1639" xr:uid="{00000000-0005-0000-0000-0000110B0000}"/>
    <cellStyle name="Normal 6 6 6" xfId="3139" xr:uid="{00000000-0005-0000-0000-0000120B0000}"/>
    <cellStyle name="Normal 6 6 7" xfId="3973" xr:uid="{00000000-0005-0000-0000-0000130B0000}"/>
    <cellStyle name="Normal 6 7" xfId="568" xr:uid="{00000000-0005-0000-0000-0000140B0000}"/>
    <cellStyle name="Normal 6 8" xfId="732" xr:uid="{00000000-0005-0000-0000-0000150B0000}"/>
    <cellStyle name="Normal 6 8 2" xfId="1193" xr:uid="{00000000-0005-0000-0000-0000160B0000}"/>
    <cellStyle name="Normal 6 8 3" xfId="1518" xr:uid="{00000000-0005-0000-0000-0000170B0000}"/>
    <cellStyle name="Normal 6 8 4" xfId="1820" xr:uid="{00000000-0005-0000-0000-0000180B0000}"/>
    <cellStyle name="Normal 6 8 5" xfId="3371" xr:uid="{00000000-0005-0000-0000-0000190B0000}"/>
    <cellStyle name="Normal 6 8 6" xfId="4164" xr:uid="{00000000-0005-0000-0000-00001A0B0000}"/>
    <cellStyle name="Normal 6 9" xfId="397" xr:uid="{00000000-0005-0000-0000-00001B0B0000}"/>
    <cellStyle name="Normal 60" xfId="1843" xr:uid="{00000000-0005-0000-0000-00001C0B0000}"/>
    <cellStyle name="Normal 61" xfId="1956" xr:uid="{00000000-0005-0000-0000-00001D0B0000}"/>
    <cellStyle name="Normal 62" xfId="2255" xr:uid="{00000000-0005-0000-0000-00001E0B0000}"/>
    <cellStyle name="Normal 63" xfId="1922" xr:uid="{00000000-0005-0000-0000-00001F0B0000}"/>
    <cellStyle name="Normal 64" xfId="2298" xr:uid="{00000000-0005-0000-0000-0000200B0000}"/>
    <cellStyle name="Normal 65" xfId="2259" xr:uid="{00000000-0005-0000-0000-0000210B0000}"/>
    <cellStyle name="Normal 66" xfId="2256" xr:uid="{00000000-0005-0000-0000-0000220B0000}"/>
    <cellStyle name="Normal 67" xfId="1920" xr:uid="{00000000-0005-0000-0000-0000230B0000}"/>
    <cellStyle name="Normal 68" xfId="1882" xr:uid="{00000000-0005-0000-0000-0000240B0000}"/>
    <cellStyle name="Normal 69" xfId="1948" xr:uid="{00000000-0005-0000-0000-0000250B0000}"/>
    <cellStyle name="Normal 7" xfId="56" xr:uid="{00000000-0005-0000-0000-0000260B0000}"/>
    <cellStyle name="Normal 7 10" xfId="910" xr:uid="{00000000-0005-0000-0000-0000270B0000}"/>
    <cellStyle name="Normal 7 11" xfId="1225" xr:uid="{00000000-0005-0000-0000-0000280B0000}"/>
    <cellStyle name="Normal 7 12" xfId="1538" xr:uid="{00000000-0005-0000-0000-0000290B0000}"/>
    <cellStyle name="Normal 7 13" xfId="1927" xr:uid="{00000000-0005-0000-0000-00002A0B0000}"/>
    <cellStyle name="Normal 7 14" xfId="2361" xr:uid="{00000000-0005-0000-0000-00002B0B0000}"/>
    <cellStyle name="Normal 7 15" xfId="2591" xr:uid="{00000000-0005-0000-0000-00002C0B0000}"/>
    <cellStyle name="Normal 7 16" xfId="2788" xr:uid="{00000000-0005-0000-0000-00002D0B0000}"/>
    <cellStyle name="Normal 7 17" xfId="3198" xr:uid="{00000000-0005-0000-0000-00002E0B0000}"/>
    <cellStyle name="Normal 7 18" xfId="3551" xr:uid="{00000000-0005-0000-0000-00002F0B0000}"/>
    <cellStyle name="Normal 7 19" xfId="3603" xr:uid="{00000000-0005-0000-0000-0000300B0000}"/>
    <cellStyle name="Normal 7 2" xfId="266" xr:uid="{00000000-0005-0000-0000-0000310B0000}"/>
    <cellStyle name="Normal 7 2 2" xfId="2200" xr:uid="{00000000-0005-0000-0000-0000320B0000}"/>
    <cellStyle name="Normal 7 2 2 2" xfId="2201" xr:uid="{00000000-0005-0000-0000-0000330B0000}"/>
    <cellStyle name="Normal 7 2 2 2 2" xfId="2517" xr:uid="{00000000-0005-0000-0000-0000340B0000}"/>
    <cellStyle name="Normal 7 2 2 2 3" xfId="2746" xr:uid="{00000000-0005-0000-0000-0000350B0000}"/>
    <cellStyle name="Normal 7 2 2 2 4" xfId="3200" xr:uid="{00000000-0005-0000-0000-0000360B0000}"/>
    <cellStyle name="Normal 7 2 2 2 5" xfId="3553" xr:uid="{00000000-0005-0000-0000-0000370B0000}"/>
    <cellStyle name="Normal 7 2 2 2 6" xfId="3815" xr:uid="{00000000-0005-0000-0000-0000380B0000}"/>
    <cellStyle name="Normal 7 2 2 3" xfId="2516" xr:uid="{00000000-0005-0000-0000-0000390B0000}"/>
    <cellStyle name="Normal 7 2 2 4" xfId="2745" xr:uid="{00000000-0005-0000-0000-00003A0B0000}"/>
    <cellStyle name="Normal 7 2 2 5" xfId="3199" xr:uid="{00000000-0005-0000-0000-00003B0B0000}"/>
    <cellStyle name="Normal 7 2 2 6" xfId="3552" xr:uid="{00000000-0005-0000-0000-00003C0B0000}"/>
    <cellStyle name="Normal 7 2 2 7" xfId="3814" xr:uid="{00000000-0005-0000-0000-00003D0B0000}"/>
    <cellStyle name="Normal 7 2 3" xfId="2202" xr:uid="{00000000-0005-0000-0000-00003E0B0000}"/>
    <cellStyle name="Normal 7 2 3 2" xfId="2518" xr:uid="{00000000-0005-0000-0000-00003F0B0000}"/>
    <cellStyle name="Normal 7 2 3 3" xfId="2747" xr:uid="{00000000-0005-0000-0000-0000400B0000}"/>
    <cellStyle name="Normal 7 2 3 4" xfId="3201" xr:uid="{00000000-0005-0000-0000-0000410B0000}"/>
    <cellStyle name="Normal 7 2 3 5" xfId="3554" xr:uid="{00000000-0005-0000-0000-0000420B0000}"/>
    <cellStyle name="Normal 7 2 3 6" xfId="3816" xr:uid="{00000000-0005-0000-0000-0000430B0000}"/>
    <cellStyle name="Normal 7 20" xfId="3813" xr:uid="{00000000-0005-0000-0000-0000440B0000}"/>
    <cellStyle name="Normal 7 21" xfId="3865" xr:uid="{00000000-0005-0000-0000-0000450B0000}"/>
    <cellStyle name="Normal 7 22" xfId="378" xr:uid="{00000000-0005-0000-0000-0000460B0000}"/>
    <cellStyle name="Normal 7 3" xfId="435" xr:uid="{00000000-0005-0000-0000-0000470B0000}"/>
    <cellStyle name="Normal 7 3 10" xfId="3202" xr:uid="{00000000-0005-0000-0000-0000480B0000}"/>
    <cellStyle name="Normal 7 3 11" xfId="3555" xr:uid="{00000000-0005-0000-0000-0000490B0000}"/>
    <cellStyle name="Normal 7 3 12" xfId="3629" xr:uid="{00000000-0005-0000-0000-00004A0B0000}"/>
    <cellStyle name="Normal 7 3 13" xfId="3817" xr:uid="{00000000-0005-0000-0000-00004B0B0000}"/>
    <cellStyle name="Normal 7 3 14" xfId="3892" xr:uid="{00000000-0005-0000-0000-00004C0B0000}"/>
    <cellStyle name="Normal 7 3 2" xfId="620" xr:uid="{00000000-0005-0000-0000-00004D0B0000}"/>
    <cellStyle name="Normal 7 3 2 10" xfId="3818" xr:uid="{00000000-0005-0000-0000-00004E0B0000}"/>
    <cellStyle name="Normal 7 3 2 11" xfId="4053" xr:uid="{00000000-0005-0000-0000-00004F0B0000}"/>
    <cellStyle name="Normal 7 3 2 2" xfId="1093" xr:uid="{00000000-0005-0000-0000-0000500B0000}"/>
    <cellStyle name="Normal 7 3 2 3" xfId="1413" xr:uid="{00000000-0005-0000-0000-0000510B0000}"/>
    <cellStyle name="Normal 7 3 2 4" xfId="1715" xr:uid="{00000000-0005-0000-0000-0000520B0000}"/>
    <cellStyle name="Normal 7 3 2 5" xfId="2204" xr:uid="{00000000-0005-0000-0000-0000530B0000}"/>
    <cellStyle name="Normal 7 3 2 6" xfId="2520" xr:uid="{00000000-0005-0000-0000-0000540B0000}"/>
    <cellStyle name="Normal 7 3 2 7" xfId="2749" xr:uid="{00000000-0005-0000-0000-0000550B0000}"/>
    <cellStyle name="Normal 7 3 2 8" xfId="3203" xr:uid="{00000000-0005-0000-0000-0000560B0000}"/>
    <cellStyle name="Normal 7 3 2 9" xfId="3556" xr:uid="{00000000-0005-0000-0000-0000570B0000}"/>
    <cellStyle name="Normal 7 3 3" xfId="944" xr:uid="{00000000-0005-0000-0000-0000580B0000}"/>
    <cellStyle name="Normal 7 3 4" xfId="1254" xr:uid="{00000000-0005-0000-0000-0000590B0000}"/>
    <cellStyle name="Normal 7 3 5" xfId="1569" xr:uid="{00000000-0005-0000-0000-00005A0B0000}"/>
    <cellStyle name="Normal 7 3 6" xfId="2203" xr:uid="{00000000-0005-0000-0000-00005B0B0000}"/>
    <cellStyle name="Normal 7 3 7" xfId="2519" xr:uid="{00000000-0005-0000-0000-00005C0B0000}"/>
    <cellStyle name="Normal 7 3 8" xfId="2748" xr:uid="{00000000-0005-0000-0000-00005D0B0000}"/>
    <cellStyle name="Normal 7 3 9" xfId="2830" xr:uid="{00000000-0005-0000-0000-00005E0B0000}"/>
    <cellStyle name="Normal 7 4" xfId="496" xr:uid="{00000000-0005-0000-0000-00005F0B0000}"/>
    <cellStyle name="Normal 7 4 10" xfId="3557" xr:uid="{00000000-0005-0000-0000-0000600B0000}"/>
    <cellStyle name="Normal 7 4 11" xfId="3819" xr:uid="{00000000-0005-0000-0000-0000610B0000}"/>
    <cellStyle name="Normal 7 4 12" xfId="3936" xr:uid="{00000000-0005-0000-0000-0000620B0000}"/>
    <cellStyle name="Normal 7 4 2" xfId="672" xr:uid="{00000000-0005-0000-0000-0000630B0000}"/>
    <cellStyle name="Normal 7 4 2 2" xfId="1139" xr:uid="{00000000-0005-0000-0000-0000640B0000}"/>
    <cellStyle name="Normal 7 4 2 3" xfId="1462" xr:uid="{00000000-0005-0000-0000-0000650B0000}"/>
    <cellStyle name="Normal 7 4 2 4" xfId="1764" xr:uid="{00000000-0005-0000-0000-0000660B0000}"/>
    <cellStyle name="Normal 7 4 2 5" xfId="3018" xr:uid="{00000000-0005-0000-0000-0000670B0000}"/>
    <cellStyle name="Normal 7 4 2 6" xfId="4104" xr:uid="{00000000-0005-0000-0000-0000680B0000}"/>
    <cellStyle name="Normal 7 4 3" xfId="990" xr:uid="{00000000-0005-0000-0000-0000690B0000}"/>
    <cellStyle name="Normal 7 4 4" xfId="1304" xr:uid="{00000000-0005-0000-0000-00006A0B0000}"/>
    <cellStyle name="Normal 7 4 5" xfId="1611" xr:uid="{00000000-0005-0000-0000-00006B0B0000}"/>
    <cellStyle name="Normal 7 4 6" xfId="2205" xr:uid="{00000000-0005-0000-0000-00006C0B0000}"/>
    <cellStyle name="Normal 7 4 7" xfId="2521" xr:uid="{00000000-0005-0000-0000-00006D0B0000}"/>
    <cellStyle name="Normal 7 4 8" xfId="2750" xr:uid="{00000000-0005-0000-0000-00006E0B0000}"/>
    <cellStyle name="Normal 7 4 9" xfId="3204" xr:uid="{00000000-0005-0000-0000-00006F0B0000}"/>
    <cellStyle name="Normal 7 5" xfId="539" xr:uid="{00000000-0005-0000-0000-0000700B0000}"/>
    <cellStyle name="Normal 7 5 2" xfId="709" xr:uid="{00000000-0005-0000-0000-0000710B0000}"/>
    <cellStyle name="Normal 7 5 2 2" xfId="1170" xr:uid="{00000000-0005-0000-0000-0000720B0000}"/>
    <cellStyle name="Normal 7 5 2 3" xfId="1495" xr:uid="{00000000-0005-0000-0000-0000730B0000}"/>
    <cellStyle name="Normal 7 5 2 4" xfId="1797" xr:uid="{00000000-0005-0000-0000-0000740B0000}"/>
    <cellStyle name="Normal 7 5 2 5" xfId="3348" xr:uid="{00000000-0005-0000-0000-0000750B0000}"/>
    <cellStyle name="Normal 7 5 2 6" xfId="4141" xr:uid="{00000000-0005-0000-0000-0000760B0000}"/>
    <cellStyle name="Normal 7 5 3" xfId="1022" xr:uid="{00000000-0005-0000-0000-0000770B0000}"/>
    <cellStyle name="Normal 7 5 4" xfId="1339" xr:uid="{00000000-0005-0000-0000-0000780B0000}"/>
    <cellStyle name="Normal 7 5 5" xfId="1641" xr:uid="{00000000-0005-0000-0000-0000790B0000}"/>
    <cellStyle name="Normal 7 5 6" xfId="3137" xr:uid="{00000000-0005-0000-0000-00007A0B0000}"/>
    <cellStyle name="Normal 7 5 7" xfId="3975" xr:uid="{00000000-0005-0000-0000-00007B0B0000}"/>
    <cellStyle name="Normal 7 6" xfId="571" xr:uid="{00000000-0005-0000-0000-00007C0B0000}"/>
    <cellStyle name="Normal 7 6 2" xfId="1045" xr:uid="{00000000-0005-0000-0000-00007D0B0000}"/>
    <cellStyle name="Normal 7 6 3" xfId="1364" xr:uid="{00000000-0005-0000-0000-00007E0B0000}"/>
    <cellStyle name="Normal 7 6 4" xfId="1666" xr:uid="{00000000-0005-0000-0000-00007F0B0000}"/>
    <cellStyle name="Normal 7 6 5" xfId="3109" xr:uid="{00000000-0005-0000-0000-0000800B0000}"/>
    <cellStyle name="Normal 7 6 6" xfId="4004" xr:uid="{00000000-0005-0000-0000-0000810B0000}"/>
    <cellStyle name="Normal 7 7" xfId="590" xr:uid="{00000000-0005-0000-0000-0000820B0000}"/>
    <cellStyle name="Normal 7 7 2" xfId="1064" xr:uid="{00000000-0005-0000-0000-0000830B0000}"/>
    <cellStyle name="Normal 7 7 3" xfId="1383" xr:uid="{00000000-0005-0000-0000-0000840B0000}"/>
    <cellStyle name="Normal 7 7 4" xfId="1685" xr:uid="{00000000-0005-0000-0000-0000850B0000}"/>
    <cellStyle name="Normal 7 7 5" xfId="3315" xr:uid="{00000000-0005-0000-0000-0000860B0000}"/>
    <cellStyle name="Normal 7 7 6" xfId="4023" xr:uid="{00000000-0005-0000-0000-0000870B0000}"/>
    <cellStyle name="Normal 7 8" xfId="734" xr:uid="{00000000-0005-0000-0000-0000880B0000}"/>
    <cellStyle name="Normal 7 8 2" xfId="1195" xr:uid="{00000000-0005-0000-0000-0000890B0000}"/>
    <cellStyle name="Normal 7 8 3" xfId="1520" xr:uid="{00000000-0005-0000-0000-00008A0B0000}"/>
    <cellStyle name="Normal 7 8 4" xfId="1822" xr:uid="{00000000-0005-0000-0000-00008B0B0000}"/>
    <cellStyle name="Normal 7 8 5" xfId="3373" xr:uid="{00000000-0005-0000-0000-00008C0B0000}"/>
    <cellStyle name="Normal 7 8 6" xfId="4166" xr:uid="{00000000-0005-0000-0000-00008D0B0000}"/>
    <cellStyle name="Normal 7 9" xfId="400" xr:uid="{00000000-0005-0000-0000-00008E0B0000}"/>
    <cellStyle name="Normal 70" xfId="1888" xr:uid="{00000000-0005-0000-0000-00008F0B0000}"/>
    <cellStyle name="Normal 71" xfId="2289" xr:uid="{00000000-0005-0000-0000-0000900B0000}"/>
    <cellStyle name="Normal 72" xfId="2285" xr:uid="{00000000-0005-0000-0000-0000910B0000}"/>
    <cellStyle name="Normal 73" xfId="2342" xr:uid="{00000000-0005-0000-0000-0000920B0000}"/>
    <cellStyle name="Normal 74" xfId="2344" xr:uid="{00000000-0005-0000-0000-0000930B0000}"/>
    <cellStyle name="Normal 75" xfId="2574" xr:uid="{00000000-0005-0000-0000-0000940B0000}"/>
    <cellStyle name="Normal 76" xfId="2855" xr:uid="{00000000-0005-0000-0000-0000950B0000}"/>
    <cellStyle name="Normal 77" xfId="3258" xr:uid="{00000000-0005-0000-0000-0000960B0000}"/>
    <cellStyle name="Normal 78" xfId="3273" xr:uid="{00000000-0005-0000-0000-0000970B0000}"/>
    <cellStyle name="Normal 79" xfId="3238" xr:uid="{00000000-0005-0000-0000-0000980B0000}"/>
    <cellStyle name="Normal 8" xfId="59" xr:uid="{00000000-0005-0000-0000-0000990B0000}"/>
    <cellStyle name="Normal 8 10" xfId="3606" xr:uid="{00000000-0005-0000-0000-00009A0B0000}"/>
    <cellStyle name="Normal 8 11" xfId="3868" xr:uid="{00000000-0005-0000-0000-00009B0B0000}"/>
    <cellStyle name="Normal 8 12" xfId="381" xr:uid="{00000000-0005-0000-0000-00009C0B0000}"/>
    <cellStyle name="Normal 8 2" xfId="436" xr:uid="{00000000-0005-0000-0000-00009D0B0000}"/>
    <cellStyle name="Normal 8 2 2" xfId="2207" xr:uid="{00000000-0005-0000-0000-00009E0B0000}"/>
    <cellStyle name="Normal 8 2 2 2" xfId="2208" xr:uid="{00000000-0005-0000-0000-00009F0B0000}"/>
    <cellStyle name="Normal 8 2 2 2 2" xfId="2524" xr:uid="{00000000-0005-0000-0000-0000A00B0000}"/>
    <cellStyle name="Normal 8 2 2 2 3" xfId="2753" xr:uid="{00000000-0005-0000-0000-0000A10B0000}"/>
    <cellStyle name="Normal 8 2 2 2 4" xfId="3207" xr:uid="{00000000-0005-0000-0000-0000A20B0000}"/>
    <cellStyle name="Normal 8 2 2 2 5" xfId="3560" xr:uid="{00000000-0005-0000-0000-0000A30B0000}"/>
    <cellStyle name="Normal 8 2 2 2 6" xfId="3822" xr:uid="{00000000-0005-0000-0000-0000A40B0000}"/>
    <cellStyle name="Normal 8 2 2 3" xfId="2523" xr:uid="{00000000-0005-0000-0000-0000A50B0000}"/>
    <cellStyle name="Normal 8 2 2 4" xfId="2752" xr:uid="{00000000-0005-0000-0000-0000A60B0000}"/>
    <cellStyle name="Normal 8 2 2 5" xfId="3206" xr:uid="{00000000-0005-0000-0000-0000A70B0000}"/>
    <cellStyle name="Normal 8 2 2 6" xfId="3559" xr:uid="{00000000-0005-0000-0000-0000A80B0000}"/>
    <cellStyle name="Normal 8 2 2 7" xfId="3821" xr:uid="{00000000-0005-0000-0000-0000A90B0000}"/>
    <cellStyle name="Normal 8 2 3" xfId="2209" xr:uid="{00000000-0005-0000-0000-0000AA0B0000}"/>
    <cellStyle name="Normal 8 2 3 2" xfId="2525" xr:uid="{00000000-0005-0000-0000-0000AB0B0000}"/>
    <cellStyle name="Normal 8 2 3 3" xfId="2754" xr:uid="{00000000-0005-0000-0000-0000AC0B0000}"/>
    <cellStyle name="Normal 8 2 3 4" xfId="3208" xr:uid="{00000000-0005-0000-0000-0000AD0B0000}"/>
    <cellStyle name="Normal 8 2 3 5" xfId="3561" xr:uid="{00000000-0005-0000-0000-0000AE0B0000}"/>
    <cellStyle name="Normal 8 2 3 6" xfId="3823" xr:uid="{00000000-0005-0000-0000-0000AF0B0000}"/>
    <cellStyle name="Normal 8 2 4" xfId="2206" xr:uid="{00000000-0005-0000-0000-0000B00B0000}"/>
    <cellStyle name="Normal 8 2 5" xfId="2522" xr:uid="{00000000-0005-0000-0000-0000B10B0000}"/>
    <cellStyle name="Normal 8 2 6" xfId="2751" xr:uid="{00000000-0005-0000-0000-0000B20B0000}"/>
    <cellStyle name="Normal 8 2 7" xfId="3205" xr:uid="{00000000-0005-0000-0000-0000B30B0000}"/>
    <cellStyle name="Normal 8 2 8" xfId="3558" xr:uid="{00000000-0005-0000-0000-0000B40B0000}"/>
    <cellStyle name="Normal 8 2 9" xfId="3820" xr:uid="{00000000-0005-0000-0000-0000B50B0000}"/>
    <cellStyle name="Normal 8 3" xfId="574" xr:uid="{00000000-0005-0000-0000-0000B60B0000}"/>
    <cellStyle name="Normal 8 3 10" xfId="3824" xr:uid="{00000000-0005-0000-0000-0000B70B0000}"/>
    <cellStyle name="Normal 8 3 11" xfId="4007" xr:uid="{00000000-0005-0000-0000-0000B80B0000}"/>
    <cellStyle name="Normal 8 3 2" xfId="1048" xr:uid="{00000000-0005-0000-0000-0000B90B0000}"/>
    <cellStyle name="Normal 8 3 2 2" xfId="2211" xr:uid="{00000000-0005-0000-0000-0000BA0B0000}"/>
    <cellStyle name="Normal 8 3 2 3" xfId="2527" xr:uid="{00000000-0005-0000-0000-0000BB0B0000}"/>
    <cellStyle name="Normal 8 3 2 4" xfId="2756" xr:uid="{00000000-0005-0000-0000-0000BC0B0000}"/>
    <cellStyle name="Normal 8 3 2 5" xfId="3210" xr:uid="{00000000-0005-0000-0000-0000BD0B0000}"/>
    <cellStyle name="Normal 8 3 2 6" xfId="3563" xr:uid="{00000000-0005-0000-0000-0000BE0B0000}"/>
    <cellStyle name="Normal 8 3 2 7" xfId="3825" xr:uid="{00000000-0005-0000-0000-0000BF0B0000}"/>
    <cellStyle name="Normal 8 3 3" xfId="1367" xr:uid="{00000000-0005-0000-0000-0000C00B0000}"/>
    <cellStyle name="Normal 8 3 4" xfId="1669" xr:uid="{00000000-0005-0000-0000-0000C10B0000}"/>
    <cellStyle name="Normal 8 3 5" xfId="2210" xr:uid="{00000000-0005-0000-0000-0000C20B0000}"/>
    <cellStyle name="Normal 8 3 6" xfId="2526" xr:uid="{00000000-0005-0000-0000-0000C30B0000}"/>
    <cellStyle name="Normal 8 3 7" xfId="2755" xr:uid="{00000000-0005-0000-0000-0000C40B0000}"/>
    <cellStyle name="Normal 8 3 8" xfId="3209" xr:uid="{00000000-0005-0000-0000-0000C50B0000}"/>
    <cellStyle name="Normal 8 3 9" xfId="3562" xr:uid="{00000000-0005-0000-0000-0000C60B0000}"/>
    <cellStyle name="Normal 8 4" xfId="593" xr:uid="{00000000-0005-0000-0000-0000C70B0000}"/>
    <cellStyle name="Normal 8 4 10" xfId="3826" xr:uid="{00000000-0005-0000-0000-0000C80B0000}"/>
    <cellStyle name="Normal 8 4 11" xfId="4026" xr:uid="{00000000-0005-0000-0000-0000C90B0000}"/>
    <cellStyle name="Normal 8 4 2" xfId="1067" xr:uid="{00000000-0005-0000-0000-0000CA0B0000}"/>
    <cellStyle name="Normal 8 4 3" xfId="1386" xr:uid="{00000000-0005-0000-0000-0000CB0B0000}"/>
    <cellStyle name="Normal 8 4 4" xfId="1688" xr:uid="{00000000-0005-0000-0000-0000CC0B0000}"/>
    <cellStyle name="Normal 8 4 5" xfId="2212" xr:uid="{00000000-0005-0000-0000-0000CD0B0000}"/>
    <cellStyle name="Normal 8 4 6" xfId="2528" xr:uid="{00000000-0005-0000-0000-0000CE0B0000}"/>
    <cellStyle name="Normal 8 4 7" xfId="2757" xr:uid="{00000000-0005-0000-0000-0000CF0B0000}"/>
    <cellStyle name="Normal 8 4 8" xfId="3211" xr:uid="{00000000-0005-0000-0000-0000D00B0000}"/>
    <cellStyle name="Normal 8 4 9" xfId="3564" xr:uid="{00000000-0005-0000-0000-0000D10B0000}"/>
    <cellStyle name="Normal 8 5" xfId="403" xr:uid="{00000000-0005-0000-0000-0000D20B0000}"/>
    <cellStyle name="Normal 8 6" xfId="913" xr:uid="{00000000-0005-0000-0000-0000D30B0000}"/>
    <cellStyle name="Normal 8 7" xfId="1228" xr:uid="{00000000-0005-0000-0000-0000D40B0000}"/>
    <cellStyle name="Normal 8 8" xfId="1541" xr:uid="{00000000-0005-0000-0000-0000D50B0000}"/>
    <cellStyle name="Normal 8 9" xfId="2791" xr:uid="{00000000-0005-0000-0000-0000D60B0000}"/>
    <cellStyle name="Normal 80" xfId="3340" xr:uid="{00000000-0005-0000-0000-0000D70B0000}"/>
    <cellStyle name="Normal 81" xfId="3381" xr:uid="{00000000-0005-0000-0000-0000D80B0000}"/>
    <cellStyle name="Normal 82" xfId="3591" xr:uid="{00000000-0005-0000-0000-0000D90B0000}"/>
    <cellStyle name="Normal 83" xfId="3592" xr:uid="{00000000-0005-0000-0000-0000DA0B0000}"/>
    <cellStyle name="Normal 84" xfId="3647" xr:uid="{00000000-0005-0000-0000-0000DB0B0000}"/>
    <cellStyle name="Normal 85" xfId="3854" xr:uid="{00000000-0005-0000-0000-0000DC0B0000}"/>
    <cellStyle name="Normal 86" xfId="3848" xr:uid="{00000000-0005-0000-0000-0000DD0B0000}"/>
    <cellStyle name="Normal 9" xfId="267" xr:uid="{00000000-0005-0000-0000-0000DE0B0000}"/>
    <cellStyle name="Normal 9 2" xfId="2213" xr:uid="{00000000-0005-0000-0000-0000DF0B0000}"/>
    <cellStyle name="Normal 9 2 2" xfId="2214" xr:uid="{00000000-0005-0000-0000-0000E00B0000}"/>
    <cellStyle name="Normal 9 2 2 2" xfId="2530" xr:uid="{00000000-0005-0000-0000-0000E10B0000}"/>
    <cellStyle name="Normal 9 2 2 3" xfId="2759" xr:uid="{00000000-0005-0000-0000-0000E20B0000}"/>
    <cellStyle name="Normal 9 2 2 4" xfId="3213" xr:uid="{00000000-0005-0000-0000-0000E30B0000}"/>
    <cellStyle name="Normal 9 2 2 5" xfId="3566" xr:uid="{00000000-0005-0000-0000-0000E40B0000}"/>
    <cellStyle name="Normal 9 2 2 6" xfId="3828" xr:uid="{00000000-0005-0000-0000-0000E50B0000}"/>
    <cellStyle name="Normal 9 2 3" xfId="2529" xr:uid="{00000000-0005-0000-0000-0000E60B0000}"/>
    <cellStyle name="Normal 9 2 4" xfId="2758" xr:uid="{00000000-0005-0000-0000-0000E70B0000}"/>
    <cellStyle name="Normal 9 2 5" xfId="3212" xr:uid="{00000000-0005-0000-0000-0000E80B0000}"/>
    <cellStyle name="Normal 9 2 6" xfId="3565" xr:uid="{00000000-0005-0000-0000-0000E90B0000}"/>
    <cellStyle name="Normal 9 2 7" xfId="3827" xr:uid="{00000000-0005-0000-0000-0000EA0B0000}"/>
    <cellStyle name="Normal 9 3" xfId="2215" xr:uid="{00000000-0005-0000-0000-0000EB0B0000}"/>
    <cellStyle name="Normal 9 3 2" xfId="2531" xr:uid="{00000000-0005-0000-0000-0000EC0B0000}"/>
    <cellStyle name="Normal 9 3 3" xfId="2760" xr:uid="{00000000-0005-0000-0000-0000ED0B0000}"/>
    <cellStyle name="Normal 9 3 4" xfId="3214" xr:uid="{00000000-0005-0000-0000-0000EE0B0000}"/>
    <cellStyle name="Normal 9 3 5" xfId="3567" xr:uid="{00000000-0005-0000-0000-0000EF0B0000}"/>
    <cellStyle name="Normal 9 3 6" xfId="3829" xr:uid="{00000000-0005-0000-0000-0000F00B0000}"/>
    <cellStyle name="Normale_ cellular Costs" xfId="268" xr:uid="{00000000-0005-0000-0000-0000F10B0000}"/>
    <cellStyle name="Nota 10" xfId="2592" xr:uid="{00000000-0005-0000-0000-0000F20B0000}"/>
    <cellStyle name="Nota 11" xfId="3215" xr:uid="{00000000-0005-0000-0000-0000F30B0000}"/>
    <cellStyle name="Nota 12" xfId="3568" xr:uid="{00000000-0005-0000-0000-0000F40B0000}"/>
    <cellStyle name="Nota 13" xfId="3830" xr:uid="{00000000-0005-0000-0000-0000F50B0000}"/>
    <cellStyle name="Nota 2" xfId="269" xr:uid="{00000000-0005-0000-0000-0000F60B0000}"/>
    <cellStyle name="Nota 2 10" xfId="2314" xr:uid="{00000000-0005-0000-0000-0000F70B0000}"/>
    <cellStyle name="Nota 2 11" xfId="1891" xr:uid="{00000000-0005-0000-0000-0000F80B0000}"/>
    <cellStyle name="Nota 2 12" xfId="2270" xr:uid="{00000000-0005-0000-0000-0000F90B0000}"/>
    <cellStyle name="Nota 2 13" xfId="2326" xr:uid="{00000000-0005-0000-0000-0000FA0B0000}"/>
    <cellStyle name="Nota 2 2" xfId="270" xr:uid="{00000000-0005-0000-0000-0000FB0B0000}"/>
    <cellStyle name="Nota 2 2 10" xfId="1894" xr:uid="{00000000-0005-0000-0000-0000FC0B0000}"/>
    <cellStyle name="Nota 2 2 11" xfId="2312" xr:uid="{00000000-0005-0000-0000-0000FD0B0000}"/>
    <cellStyle name="Nota 2 2 2" xfId="456" xr:uid="{00000000-0005-0000-0000-0000FE0B0000}"/>
    <cellStyle name="Nota 2 2 2 10" xfId="2801" xr:uid="{00000000-0005-0000-0000-0000FF0B0000}"/>
    <cellStyle name="Nota 2 2 2 11" xfId="2853" xr:uid="{00000000-0005-0000-0000-0000000C0000}"/>
    <cellStyle name="Nota 2 2 2 12" xfId="3282" xr:uid="{00000000-0005-0000-0000-0000010C0000}"/>
    <cellStyle name="Nota 2 2 2 13" xfId="3645" xr:uid="{00000000-0005-0000-0000-0000020C0000}"/>
    <cellStyle name="Nota 2 2 2 2" xfId="632" xr:uid="{00000000-0005-0000-0000-0000030C0000}"/>
    <cellStyle name="Nota 2 2 2 2 2" xfId="806" xr:uid="{00000000-0005-0000-0000-0000040C0000}"/>
    <cellStyle name="Nota 2 2 2 2 3" xfId="878" xr:uid="{00000000-0005-0000-0000-0000050C0000}"/>
    <cellStyle name="Nota 2 2 2 2 4" xfId="1425" xr:uid="{00000000-0005-0000-0000-0000060C0000}"/>
    <cellStyle name="Nota 2 2 2 2 5" xfId="1727" xr:uid="{00000000-0005-0000-0000-0000070C0000}"/>
    <cellStyle name="Nota 2 2 2 2 6" xfId="3060" xr:uid="{00000000-0005-0000-0000-0000080C0000}"/>
    <cellStyle name="Nota 2 2 2 2 7" xfId="4065" xr:uid="{00000000-0005-0000-0000-0000090C0000}"/>
    <cellStyle name="Nota 2 2 2 3" xfId="757" xr:uid="{00000000-0005-0000-0000-00000A0C0000}"/>
    <cellStyle name="Nota 2 2 2 4" xfId="838" xr:uid="{00000000-0005-0000-0000-00000B0C0000}"/>
    <cellStyle name="Nota 2 2 2 5" xfId="1206" xr:uid="{00000000-0005-0000-0000-00000C0C0000}"/>
    <cellStyle name="Nota 2 2 2 6" xfId="1266" xr:uid="{00000000-0005-0000-0000-00000D0C0000}"/>
    <cellStyle name="Nota 2 2 2 7" xfId="1834" xr:uid="{00000000-0005-0000-0000-00000E0C0000}"/>
    <cellStyle name="Nota 2 2 2 8" xfId="2564" xr:uid="{00000000-0005-0000-0000-00000F0C0000}"/>
    <cellStyle name="Nota 2 2 2 9" xfId="2843" xr:uid="{00000000-0005-0000-0000-0000100C0000}"/>
    <cellStyle name="Nota 2 2 3" xfId="510" xr:uid="{00000000-0005-0000-0000-0000110C0000}"/>
    <cellStyle name="Nota 2 2 3 2" xfId="685" xr:uid="{00000000-0005-0000-0000-0000120C0000}"/>
    <cellStyle name="Nota 2 2 3 2 2" xfId="820" xr:uid="{00000000-0005-0000-0000-0000130C0000}"/>
    <cellStyle name="Nota 2 2 3 2 3" xfId="890" xr:uid="{00000000-0005-0000-0000-0000140C0000}"/>
    <cellStyle name="Nota 2 2 3 2 4" xfId="1475" xr:uid="{00000000-0005-0000-0000-0000150C0000}"/>
    <cellStyle name="Nota 2 2 3 2 5" xfId="1777" xr:uid="{00000000-0005-0000-0000-0000160C0000}"/>
    <cellStyle name="Nota 2 2 3 2 6" xfId="3331" xr:uid="{00000000-0005-0000-0000-0000170C0000}"/>
    <cellStyle name="Nota 2 2 3 2 7" xfId="4117" xr:uid="{00000000-0005-0000-0000-0000180C0000}"/>
    <cellStyle name="Nota 2 2 3 3" xfId="770" xr:uid="{00000000-0005-0000-0000-0000190C0000}"/>
    <cellStyle name="Nota 2 2 3 4" xfId="849" xr:uid="{00000000-0005-0000-0000-00001A0C0000}"/>
    <cellStyle name="Nota 2 2 3 5" xfId="1317" xr:uid="{00000000-0005-0000-0000-00001B0C0000}"/>
    <cellStyle name="Nota 2 2 3 6" xfId="1619" xr:uid="{00000000-0005-0000-0000-00001C0C0000}"/>
    <cellStyle name="Nota 2 2 3 7" xfId="3313" xr:uid="{00000000-0005-0000-0000-00001D0C0000}"/>
    <cellStyle name="Nota 2 2 3 8" xfId="3949" xr:uid="{00000000-0005-0000-0000-00001E0C0000}"/>
    <cellStyle name="Nota 2 2 4" xfId="552" xr:uid="{00000000-0005-0000-0000-00001F0C0000}"/>
    <cellStyle name="Nota 2 2 4 2" xfId="787" xr:uid="{00000000-0005-0000-0000-0000200C0000}"/>
    <cellStyle name="Nota 2 2 4 3" xfId="865" xr:uid="{00000000-0005-0000-0000-0000210C0000}"/>
    <cellStyle name="Nota 2 2 4 4" xfId="1352" xr:uid="{00000000-0005-0000-0000-0000220C0000}"/>
    <cellStyle name="Nota 2 2 4 5" xfId="1654" xr:uid="{00000000-0005-0000-0000-0000230C0000}"/>
    <cellStyle name="Nota 2 2 4 6" xfId="3123" xr:uid="{00000000-0005-0000-0000-0000240C0000}"/>
    <cellStyle name="Nota 2 2 4 7" xfId="3988" xr:uid="{00000000-0005-0000-0000-0000250C0000}"/>
    <cellStyle name="Nota 2 2 5" xfId="756" xr:uid="{00000000-0005-0000-0000-0000260C0000}"/>
    <cellStyle name="Nota 2 2 6" xfId="1879" xr:uid="{00000000-0005-0000-0000-0000270C0000}"/>
    <cellStyle name="Nota 2 2 7" xfId="1943" xr:uid="{00000000-0005-0000-0000-0000280C0000}"/>
    <cellStyle name="Nota 2 2 8" xfId="1862" xr:uid="{00000000-0005-0000-0000-0000290C0000}"/>
    <cellStyle name="Nota 2 2 9" xfId="2320" xr:uid="{00000000-0005-0000-0000-00002A0C0000}"/>
    <cellStyle name="Nota 2 3" xfId="271" xr:uid="{00000000-0005-0000-0000-00002B0C0000}"/>
    <cellStyle name="Nota 2 3 10" xfId="1892" xr:uid="{00000000-0005-0000-0000-00002C0C0000}"/>
    <cellStyle name="Nota 2 3 11" xfId="2262" xr:uid="{00000000-0005-0000-0000-00002D0C0000}"/>
    <cellStyle name="Nota 2 3 2" xfId="457" xr:uid="{00000000-0005-0000-0000-00002E0C0000}"/>
    <cellStyle name="Nota 2 3 2 10" xfId="2849" xr:uid="{00000000-0005-0000-0000-00002F0C0000}"/>
    <cellStyle name="Nota 2 3 2 11" xfId="2854" xr:uid="{00000000-0005-0000-0000-0000300C0000}"/>
    <cellStyle name="Nota 2 3 2 12" xfId="3283" xr:uid="{00000000-0005-0000-0000-0000310C0000}"/>
    <cellStyle name="Nota 2 3 2 13" xfId="3646" xr:uid="{00000000-0005-0000-0000-0000320C0000}"/>
    <cellStyle name="Nota 2 3 2 2" xfId="633" xr:uid="{00000000-0005-0000-0000-0000330C0000}"/>
    <cellStyle name="Nota 2 3 2 2 2" xfId="807" xr:uid="{00000000-0005-0000-0000-0000340C0000}"/>
    <cellStyle name="Nota 2 3 2 2 3" xfId="879" xr:uid="{00000000-0005-0000-0000-0000350C0000}"/>
    <cellStyle name="Nota 2 3 2 2 4" xfId="1426" xr:uid="{00000000-0005-0000-0000-0000360C0000}"/>
    <cellStyle name="Nota 2 3 2 2 5" xfId="1728" xr:uid="{00000000-0005-0000-0000-0000370C0000}"/>
    <cellStyle name="Nota 2 3 2 2 6" xfId="3059" xr:uid="{00000000-0005-0000-0000-0000380C0000}"/>
    <cellStyle name="Nota 2 3 2 2 7" xfId="4066" xr:uid="{00000000-0005-0000-0000-0000390C0000}"/>
    <cellStyle name="Nota 2 3 2 3" xfId="758" xr:uid="{00000000-0005-0000-0000-00003A0C0000}"/>
    <cellStyle name="Nota 2 3 2 4" xfId="839" xr:uid="{00000000-0005-0000-0000-00003B0C0000}"/>
    <cellStyle name="Nota 2 3 2 5" xfId="1207" xr:uid="{00000000-0005-0000-0000-00003C0C0000}"/>
    <cellStyle name="Nota 2 3 2 6" xfId="1267" xr:uid="{00000000-0005-0000-0000-00003D0C0000}"/>
    <cellStyle name="Nota 2 3 2 7" xfId="1835" xr:uid="{00000000-0005-0000-0000-00003E0C0000}"/>
    <cellStyle name="Nota 2 3 2 8" xfId="2565" xr:uid="{00000000-0005-0000-0000-00003F0C0000}"/>
    <cellStyle name="Nota 2 3 2 9" xfId="2844" xr:uid="{00000000-0005-0000-0000-0000400C0000}"/>
    <cellStyle name="Nota 2 3 3" xfId="511" xr:uid="{00000000-0005-0000-0000-0000410C0000}"/>
    <cellStyle name="Nota 2 3 3 2" xfId="686" xr:uid="{00000000-0005-0000-0000-0000420C0000}"/>
    <cellStyle name="Nota 2 3 3 2 2" xfId="821" xr:uid="{00000000-0005-0000-0000-0000430C0000}"/>
    <cellStyle name="Nota 2 3 3 2 3" xfId="891" xr:uid="{00000000-0005-0000-0000-0000440C0000}"/>
    <cellStyle name="Nota 2 3 3 2 4" xfId="1476" xr:uid="{00000000-0005-0000-0000-0000450C0000}"/>
    <cellStyle name="Nota 2 3 3 2 5" xfId="1778" xr:uid="{00000000-0005-0000-0000-0000460C0000}"/>
    <cellStyle name="Nota 2 3 3 2 6" xfId="3332" xr:uid="{00000000-0005-0000-0000-0000470C0000}"/>
    <cellStyle name="Nota 2 3 3 2 7" xfId="4118" xr:uid="{00000000-0005-0000-0000-0000480C0000}"/>
    <cellStyle name="Nota 2 3 3 3" xfId="771" xr:uid="{00000000-0005-0000-0000-0000490C0000}"/>
    <cellStyle name="Nota 2 3 3 4" xfId="850" xr:uid="{00000000-0005-0000-0000-00004A0C0000}"/>
    <cellStyle name="Nota 2 3 3 5" xfId="1318" xr:uid="{00000000-0005-0000-0000-00004B0C0000}"/>
    <cellStyle name="Nota 2 3 3 6" xfId="1620" xr:uid="{00000000-0005-0000-0000-00004C0C0000}"/>
    <cellStyle name="Nota 2 3 3 7" xfId="3314" xr:uid="{00000000-0005-0000-0000-00004D0C0000}"/>
    <cellStyle name="Nota 2 3 3 8" xfId="3950" xr:uid="{00000000-0005-0000-0000-00004E0C0000}"/>
    <cellStyle name="Nota 2 3 4" xfId="553" xr:uid="{00000000-0005-0000-0000-00004F0C0000}"/>
    <cellStyle name="Nota 2 3 4 2" xfId="788" xr:uid="{00000000-0005-0000-0000-0000500C0000}"/>
    <cellStyle name="Nota 2 3 4 3" xfId="866" xr:uid="{00000000-0005-0000-0000-0000510C0000}"/>
    <cellStyle name="Nota 2 3 4 4" xfId="1353" xr:uid="{00000000-0005-0000-0000-0000520C0000}"/>
    <cellStyle name="Nota 2 3 4 5" xfId="1655" xr:uid="{00000000-0005-0000-0000-0000530C0000}"/>
    <cellStyle name="Nota 2 3 4 6" xfId="3122" xr:uid="{00000000-0005-0000-0000-0000540C0000}"/>
    <cellStyle name="Nota 2 3 4 7" xfId="3989" xr:uid="{00000000-0005-0000-0000-0000550C0000}"/>
    <cellStyle name="Nota 2 3 5" xfId="406" xr:uid="{00000000-0005-0000-0000-0000560C0000}"/>
    <cellStyle name="Nota 2 3 6" xfId="1878" xr:uid="{00000000-0005-0000-0000-0000570C0000}"/>
    <cellStyle name="Nota 2 3 7" xfId="2306" xr:uid="{00000000-0005-0000-0000-0000580C0000}"/>
    <cellStyle name="Nota 2 3 8" xfId="2313" xr:uid="{00000000-0005-0000-0000-0000590C0000}"/>
    <cellStyle name="Nota 2 3 9" xfId="2319" xr:uid="{00000000-0005-0000-0000-00005A0C0000}"/>
    <cellStyle name="Nota 2 4" xfId="424" xr:uid="{00000000-0005-0000-0000-00005B0C0000}"/>
    <cellStyle name="Nota 2 4 10" xfId="2847" xr:uid="{00000000-0005-0000-0000-00005C0C0000}"/>
    <cellStyle name="Nota 2 4 11" xfId="2802" xr:uid="{00000000-0005-0000-0000-00005D0C0000}"/>
    <cellStyle name="Nota 2 4 12" xfId="3267" xr:uid="{00000000-0005-0000-0000-00005E0C0000}"/>
    <cellStyle name="Nota 2 4 13" xfId="3637" xr:uid="{00000000-0005-0000-0000-00005F0C0000}"/>
    <cellStyle name="Nota 2 4 2" xfId="614" xr:uid="{00000000-0005-0000-0000-0000600C0000}"/>
    <cellStyle name="Nota 2 4 2 2" xfId="798" xr:uid="{00000000-0005-0000-0000-0000610C0000}"/>
    <cellStyle name="Nota 2 4 2 3" xfId="871" xr:uid="{00000000-0005-0000-0000-0000620C0000}"/>
    <cellStyle name="Nota 2 4 2 4" xfId="1407" xr:uid="{00000000-0005-0000-0000-0000630C0000}"/>
    <cellStyle name="Nota 2 4 2 5" xfId="1709" xr:uid="{00000000-0005-0000-0000-0000640C0000}"/>
    <cellStyle name="Nota 2 4 2 6" xfId="3077" xr:uid="{00000000-0005-0000-0000-0000650C0000}"/>
    <cellStyle name="Nota 2 4 2 7" xfId="4047" xr:uid="{00000000-0005-0000-0000-0000660C0000}"/>
    <cellStyle name="Nota 2 4 3" xfId="747" xr:uid="{00000000-0005-0000-0000-0000670C0000}"/>
    <cellStyle name="Nota 2 4 4" xfId="829" xr:uid="{00000000-0005-0000-0000-0000680C0000}"/>
    <cellStyle name="Nota 2 4 5" xfId="915" xr:uid="{00000000-0005-0000-0000-0000690C0000}"/>
    <cellStyle name="Nota 2 4 6" xfId="1248" xr:uid="{00000000-0005-0000-0000-00006A0C0000}"/>
    <cellStyle name="Nota 2 4 7" xfId="1554" xr:uid="{00000000-0005-0000-0000-00006B0C0000}"/>
    <cellStyle name="Nota 2 4 8" xfId="2566" xr:uid="{00000000-0005-0000-0000-00006C0C0000}"/>
    <cellStyle name="Nota 2 4 9" xfId="2820" xr:uid="{00000000-0005-0000-0000-00006D0C0000}"/>
    <cellStyle name="Nota 2 5" xfId="490" xr:uid="{00000000-0005-0000-0000-00006E0C0000}"/>
    <cellStyle name="Nota 2 5 2" xfId="666" xr:uid="{00000000-0005-0000-0000-00006F0C0000}"/>
    <cellStyle name="Nota 2 5 2 2" xfId="810" xr:uid="{00000000-0005-0000-0000-0000700C0000}"/>
    <cellStyle name="Nota 2 5 2 3" xfId="883" xr:uid="{00000000-0005-0000-0000-0000710C0000}"/>
    <cellStyle name="Nota 2 5 2 4" xfId="1457" xr:uid="{00000000-0005-0000-0000-0000720C0000}"/>
    <cellStyle name="Nota 2 5 2 5" xfId="1759" xr:uid="{00000000-0005-0000-0000-0000730C0000}"/>
    <cellStyle name="Nota 2 5 2 6" xfId="3024" xr:uid="{00000000-0005-0000-0000-0000740C0000}"/>
    <cellStyle name="Nota 2 5 2 7" xfId="4099" xr:uid="{00000000-0005-0000-0000-0000750C0000}"/>
    <cellStyle name="Nota 2 5 3" xfId="761" xr:uid="{00000000-0005-0000-0000-0000760C0000}"/>
    <cellStyle name="Nota 2 5 4" xfId="842" xr:uid="{00000000-0005-0000-0000-0000770C0000}"/>
    <cellStyle name="Nota 2 5 5" xfId="1298" xr:uid="{00000000-0005-0000-0000-0000780C0000}"/>
    <cellStyle name="Nota 2 5 6" xfId="1607" xr:uid="{00000000-0005-0000-0000-0000790C0000}"/>
    <cellStyle name="Nota 2 5 7" xfId="3169" xr:uid="{00000000-0005-0000-0000-00007A0C0000}"/>
    <cellStyle name="Nota 2 5 8" xfId="3931" xr:uid="{00000000-0005-0000-0000-00007B0C0000}"/>
    <cellStyle name="Nota 2 6" xfId="533" xr:uid="{00000000-0005-0000-0000-00007C0C0000}"/>
    <cellStyle name="Nota 2 6 2" xfId="778" xr:uid="{00000000-0005-0000-0000-00007D0C0000}"/>
    <cellStyle name="Nota 2 6 3" xfId="857" xr:uid="{00000000-0005-0000-0000-00007E0C0000}"/>
    <cellStyle name="Nota 2 6 4" xfId="1334" xr:uid="{00000000-0005-0000-0000-00007F0C0000}"/>
    <cellStyle name="Nota 2 6 5" xfId="1636" xr:uid="{00000000-0005-0000-0000-0000800C0000}"/>
    <cellStyle name="Nota 2 6 6" xfId="3144" xr:uid="{00000000-0005-0000-0000-0000810C0000}"/>
    <cellStyle name="Nota 2 6 7" xfId="3970" xr:uid="{00000000-0005-0000-0000-0000820C0000}"/>
    <cellStyle name="Nota 2 7" xfId="407" xr:uid="{00000000-0005-0000-0000-0000830C0000}"/>
    <cellStyle name="Nota 2 8" xfId="1880" xr:uid="{00000000-0005-0000-0000-0000840C0000}"/>
    <cellStyle name="Nota 2 9" xfId="1942" xr:uid="{00000000-0005-0000-0000-0000850C0000}"/>
    <cellStyle name="Nota 3" xfId="423" xr:uid="{00000000-0005-0000-0000-0000860C0000}"/>
    <cellStyle name="Nota 3 2" xfId="613" xr:uid="{00000000-0005-0000-0000-0000870C0000}"/>
    <cellStyle name="Nota 3 2 2" xfId="1087" xr:uid="{00000000-0005-0000-0000-0000880C0000}"/>
    <cellStyle name="Nota 3 2 3" xfId="1406" xr:uid="{00000000-0005-0000-0000-0000890C0000}"/>
    <cellStyle name="Nota 3 2 4" xfId="1708" xr:uid="{00000000-0005-0000-0000-00008A0C0000}"/>
    <cellStyle name="Nota 3 2 5" xfId="3078" xr:uid="{00000000-0005-0000-0000-00008B0C0000}"/>
    <cellStyle name="Nota 3 2 6" xfId="4046" xr:uid="{00000000-0005-0000-0000-00008C0C0000}"/>
    <cellStyle name="Nota 3 3" xfId="938" xr:uid="{00000000-0005-0000-0000-00008D0C0000}"/>
    <cellStyle name="Nota 3 4" xfId="1247" xr:uid="{00000000-0005-0000-0000-00008E0C0000}"/>
    <cellStyle name="Nota 3 5" xfId="1564" xr:uid="{00000000-0005-0000-0000-00008F0C0000}"/>
    <cellStyle name="Nota 3 6" xfId="2819" xr:uid="{00000000-0005-0000-0000-0000900C0000}"/>
    <cellStyle name="Nota 3 7" xfId="3266" xr:uid="{00000000-0005-0000-0000-0000910C0000}"/>
    <cellStyle name="Nota 3 8" xfId="3625" xr:uid="{00000000-0005-0000-0000-0000920C0000}"/>
    <cellStyle name="Nota 3 9" xfId="3887" xr:uid="{00000000-0005-0000-0000-0000930C0000}"/>
    <cellStyle name="Nota 4" xfId="461" xr:uid="{00000000-0005-0000-0000-0000940C0000}"/>
    <cellStyle name="Nota 4 2" xfId="637" xr:uid="{00000000-0005-0000-0000-0000950C0000}"/>
    <cellStyle name="Nota 4 2 2" xfId="1108" xr:uid="{00000000-0005-0000-0000-0000960C0000}"/>
    <cellStyle name="Nota 4 2 3" xfId="1430" xr:uid="{00000000-0005-0000-0000-0000970C0000}"/>
    <cellStyle name="Nota 4 2 4" xfId="1732" xr:uid="{00000000-0005-0000-0000-0000980C0000}"/>
    <cellStyle name="Nota 4 2 5" xfId="3055" xr:uid="{00000000-0005-0000-0000-0000990C0000}"/>
    <cellStyle name="Nota 4 2 6" xfId="4070" xr:uid="{00000000-0005-0000-0000-00009A0C0000}"/>
    <cellStyle name="Nota 4 3" xfId="959" xr:uid="{00000000-0005-0000-0000-00009B0C0000}"/>
    <cellStyle name="Nota 4 4" xfId="1271" xr:uid="{00000000-0005-0000-0000-00009C0C0000}"/>
    <cellStyle name="Nota 4 5" xfId="1580" xr:uid="{00000000-0005-0000-0000-00009D0C0000}"/>
    <cellStyle name="Nota 4 6" xfId="3286" xr:uid="{00000000-0005-0000-0000-00009E0C0000}"/>
    <cellStyle name="Nota 4 7" xfId="3903" xr:uid="{00000000-0005-0000-0000-00009F0C0000}"/>
    <cellStyle name="Nota 5" xfId="475" xr:uid="{00000000-0005-0000-0000-0000A00C0000}"/>
    <cellStyle name="Nota 5 2" xfId="651" xr:uid="{00000000-0005-0000-0000-0000A10C0000}"/>
    <cellStyle name="Nota 5 2 2" xfId="1122" xr:uid="{00000000-0005-0000-0000-0000A20C0000}"/>
    <cellStyle name="Nota 5 2 3" xfId="1444" xr:uid="{00000000-0005-0000-0000-0000A30C0000}"/>
    <cellStyle name="Nota 5 2 4" xfId="1746" xr:uid="{00000000-0005-0000-0000-0000A40C0000}"/>
    <cellStyle name="Nota 5 2 5" xfId="3040" xr:uid="{00000000-0005-0000-0000-0000A50C0000}"/>
    <cellStyle name="Nota 5 2 6" xfId="4084" xr:uid="{00000000-0005-0000-0000-0000A60C0000}"/>
    <cellStyle name="Nota 5 3" xfId="973" xr:uid="{00000000-0005-0000-0000-0000A70C0000}"/>
    <cellStyle name="Nota 5 4" xfId="1285" xr:uid="{00000000-0005-0000-0000-0000A80C0000}"/>
    <cellStyle name="Nota 5 5" xfId="1594" xr:uid="{00000000-0005-0000-0000-0000A90C0000}"/>
    <cellStyle name="Nota 5 6" xfId="3294" xr:uid="{00000000-0005-0000-0000-0000AA0C0000}"/>
    <cellStyle name="Nota 5 7" xfId="3917" xr:uid="{00000000-0005-0000-0000-0000AB0C0000}"/>
    <cellStyle name="Nota 6" xfId="518" xr:uid="{00000000-0005-0000-0000-0000AC0C0000}"/>
    <cellStyle name="Nota 6 2" xfId="693" xr:uid="{00000000-0005-0000-0000-0000AD0C0000}"/>
    <cellStyle name="Nota 6 2 2" xfId="1154" xr:uid="{00000000-0005-0000-0000-0000AE0C0000}"/>
    <cellStyle name="Nota 6 2 3" xfId="1479" xr:uid="{00000000-0005-0000-0000-0000AF0C0000}"/>
    <cellStyle name="Nota 6 2 4" xfId="1781" xr:uid="{00000000-0005-0000-0000-0000B00C0000}"/>
    <cellStyle name="Nota 6 2 5" xfId="3009" xr:uid="{00000000-0005-0000-0000-0000B10C0000}"/>
    <cellStyle name="Nota 6 2 6" xfId="4125" xr:uid="{00000000-0005-0000-0000-0000B20C0000}"/>
    <cellStyle name="Nota 6 3" xfId="1005" xr:uid="{00000000-0005-0000-0000-0000B30C0000}"/>
    <cellStyle name="Nota 6 4" xfId="1321" xr:uid="{00000000-0005-0000-0000-0000B40C0000}"/>
    <cellStyle name="Nota 6 5" xfId="1623" xr:uid="{00000000-0005-0000-0000-0000B50C0000}"/>
    <cellStyle name="Nota 6 6" xfId="3159" xr:uid="{00000000-0005-0000-0000-0000B60C0000}"/>
    <cellStyle name="Nota 6 7" xfId="3955" xr:uid="{00000000-0005-0000-0000-0000B70C0000}"/>
    <cellStyle name="Nota 7" xfId="735" xr:uid="{00000000-0005-0000-0000-0000B80C0000}"/>
    <cellStyle name="Nota 7 2" xfId="1196" xr:uid="{00000000-0005-0000-0000-0000B90C0000}"/>
    <cellStyle name="Nota 7 3" xfId="1521" xr:uid="{00000000-0005-0000-0000-0000BA0C0000}"/>
    <cellStyle name="Nota 7 4" xfId="1823" xr:uid="{00000000-0005-0000-0000-0000BB0C0000}"/>
    <cellStyle name="Nota 7 5" xfId="3374" xr:uid="{00000000-0005-0000-0000-0000BC0C0000}"/>
    <cellStyle name="Nota 7 6" xfId="4167" xr:uid="{00000000-0005-0000-0000-0000BD0C0000}"/>
    <cellStyle name="Nota 8" xfId="1928" xr:uid="{00000000-0005-0000-0000-0000BE0C0000}"/>
    <cellStyle name="Nota 9" xfId="2362" xr:uid="{00000000-0005-0000-0000-0000BF0C0000}"/>
    <cellStyle name="Notas 2" xfId="2216" xr:uid="{00000000-0005-0000-0000-0000C00C0000}"/>
    <cellStyle name="Notas 2 2" xfId="2217" xr:uid="{00000000-0005-0000-0000-0000C10C0000}"/>
    <cellStyle name="Notas 2 2 2" xfId="2218" xr:uid="{00000000-0005-0000-0000-0000C20C0000}"/>
    <cellStyle name="Notas 2 2 2 2" xfId="2219" xr:uid="{00000000-0005-0000-0000-0000C30C0000}"/>
    <cellStyle name="Notas 2 2 2 2 2" xfId="2535" xr:uid="{00000000-0005-0000-0000-0000C40C0000}"/>
    <cellStyle name="Notas 2 2 2 2 3" xfId="2764" xr:uid="{00000000-0005-0000-0000-0000C50C0000}"/>
    <cellStyle name="Notas 2 2 2 2 4" xfId="3222" xr:uid="{00000000-0005-0000-0000-0000C60C0000}"/>
    <cellStyle name="Notas 2 2 2 2 5" xfId="3572" xr:uid="{00000000-0005-0000-0000-0000C70C0000}"/>
    <cellStyle name="Notas 2 2 2 2 6" xfId="3834" xr:uid="{00000000-0005-0000-0000-0000C80C0000}"/>
    <cellStyle name="Notas 2 2 2 3" xfId="2534" xr:uid="{00000000-0005-0000-0000-0000C90C0000}"/>
    <cellStyle name="Notas 2 2 2 4" xfId="2763" xr:uid="{00000000-0005-0000-0000-0000CA0C0000}"/>
    <cellStyle name="Notas 2 2 2 5" xfId="3221" xr:uid="{00000000-0005-0000-0000-0000CB0C0000}"/>
    <cellStyle name="Notas 2 2 2 6" xfId="3571" xr:uid="{00000000-0005-0000-0000-0000CC0C0000}"/>
    <cellStyle name="Notas 2 2 2 7" xfId="3833" xr:uid="{00000000-0005-0000-0000-0000CD0C0000}"/>
    <cellStyle name="Notas 2 2 3" xfId="2220" xr:uid="{00000000-0005-0000-0000-0000CE0C0000}"/>
    <cellStyle name="Notas 2 2 3 2" xfId="2536" xr:uid="{00000000-0005-0000-0000-0000CF0C0000}"/>
    <cellStyle name="Notas 2 2 3 3" xfId="2765" xr:uid="{00000000-0005-0000-0000-0000D00C0000}"/>
    <cellStyle name="Notas 2 2 3 4" xfId="3223" xr:uid="{00000000-0005-0000-0000-0000D10C0000}"/>
    <cellStyle name="Notas 2 2 3 5" xfId="3573" xr:uid="{00000000-0005-0000-0000-0000D20C0000}"/>
    <cellStyle name="Notas 2 2 3 6" xfId="3835" xr:uid="{00000000-0005-0000-0000-0000D30C0000}"/>
    <cellStyle name="Notas 2 2 4" xfId="2533" xr:uid="{00000000-0005-0000-0000-0000D40C0000}"/>
    <cellStyle name="Notas 2 2 5" xfId="2762" xr:uid="{00000000-0005-0000-0000-0000D50C0000}"/>
    <cellStyle name="Notas 2 2 6" xfId="3220" xr:uid="{00000000-0005-0000-0000-0000D60C0000}"/>
    <cellStyle name="Notas 2 2 7" xfId="3570" xr:uid="{00000000-0005-0000-0000-0000D70C0000}"/>
    <cellStyle name="Notas 2 2 8" xfId="3832" xr:uid="{00000000-0005-0000-0000-0000D80C0000}"/>
    <cellStyle name="Notas 2 3" xfId="2221" xr:uid="{00000000-0005-0000-0000-0000D90C0000}"/>
    <cellStyle name="Notas 2 3 2" xfId="2222" xr:uid="{00000000-0005-0000-0000-0000DA0C0000}"/>
    <cellStyle name="Notas 2 3 2 2" xfId="2538" xr:uid="{00000000-0005-0000-0000-0000DB0C0000}"/>
    <cellStyle name="Notas 2 3 2 3" xfId="2767" xr:uid="{00000000-0005-0000-0000-0000DC0C0000}"/>
    <cellStyle name="Notas 2 3 2 4" xfId="3225" xr:uid="{00000000-0005-0000-0000-0000DD0C0000}"/>
    <cellStyle name="Notas 2 3 2 5" xfId="3575" xr:uid="{00000000-0005-0000-0000-0000DE0C0000}"/>
    <cellStyle name="Notas 2 3 2 6" xfId="3837" xr:uid="{00000000-0005-0000-0000-0000DF0C0000}"/>
    <cellStyle name="Notas 2 3 3" xfId="2537" xr:uid="{00000000-0005-0000-0000-0000E00C0000}"/>
    <cellStyle name="Notas 2 3 4" xfId="2766" xr:uid="{00000000-0005-0000-0000-0000E10C0000}"/>
    <cellStyle name="Notas 2 3 5" xfId="3224" xr:uid="{00000000-0005-0000-0000-0000E20C0000}"/>
    <cellStyle name="Notas 2 3 6" xfId="3574" xr:uid="{00000000-0005-0000-0000-0000E30C0000}"/>
    <cellStyle name="Notas 2 3 7" xfId="3836" xr:uid="{00000000-0005-0000-0000-0000E40C0000}"/>
    <cellStyle name="Notas 2 4" xfId="2223" xr:uid="{00000000-0005-0000-0000-0000E50C0000}"/>
    <cellStyle name="Notas 2 4 2" xfId="2539" xr:uid="{00000000-0005-0000-0000-0000E60C0000}"/>
    <cellStyle name="Notas 2 4 3" xfId="2768" xr:uid="{00000000-0005-0000-0000-0000E70C0000}"/>
    <cellStyle name="Notas 2 4 4" xfId="3226" xr:uid="{00000000-0005-0000-0000-0000E80C0000}"/>
    <cellStyle name="Notas 2 4 5" xfId="3576" xr:uid="{00000000-0005-0000-0000-0000E90C0000}"/>
    <cellStyle name="Notas 2 4 6" xfId="3838" xr:uid="{00000000-0005-0000-0000-0000EA0C0000}"/>
    <cellStyle name="Notas 2 5" xfId="2532" xr:uid="{00000000-0005-0000-0000-0000EB0C0000}"/>
    <cellStyle name="Notas 2 6" xfId="2761" xr:uid="{00000000-0005-0000-0000-0000EC0C0000}"/>
    <cellStyle name="Notas 2 7" xfId="3219" xr:uid="{00000000-0005-0000-0000-0000ED0C0000}"/>
    <cellStyle name="Notas 2 8" xfId="3569" xr:uid="{00000000-0005-0000-0000-0000EE0C0000}"/>
    <cellStyle name="Notas 2 9" xfId="3831" xr:uid="{00000000-0005-0000-0000-0000EF0C0000}"/>
    <cellStyle name="Notas 3" xfId="2224" xr:uid="{00000000-0005-0000-0000-0000F00C0000}"/>
    <cellStyle name="Notas 3 2" xfId="2225" xr:uid="{00000000-0005-0000-0000-0000F10C0000}"/>
    <cellStyle name="Notas 3 2 2" xfId="2226" xr:uid="{00000000-0005-0000-0000-0000F20C0000}"/>
    <cellStyle name="Notas 3 2 2 2" xfId="2542" xr:uid="{00000000-0005-0000-0000-0000F30C0000}"/>
    <cellStyle name="Notas 3 2 2 3" xfId="2771" xr:uid="{00000000-0005-0000-0000-0000F40C0000}"/>
    <cellStyle name="Notas 3 2 2 4" xfId="3229" xr:uid="{00000000-0005-0000-0000-0000F50C0000}"/>
    <cellStyle name="Notas 3 2 2 5" xfId="3579" xr:uid="{00000000-0005-0000-0000-0000F60C0000}"/>
    <cellStyle name="Notas 3 2 2 6" xfId="3841" xr:uid="{00000000-0005-0000-0000-0000F70C0000}"/>
    <cellStyle name="Notas 3 2 3" xfId="2541" xr:uid="{00000000-0005-0000-0000-0000F80C0000}"/>
    <cellStyle name="Notas 3 2 4" xfId="2770" xr:uid="{00000000-0005-0000-0000-0000F90C0000}"/>
    <cellStyle name="Notas 3 2 5" xfId="3228" xr:uid="{00000000-0005-0000-0000-0000FA0C0000}"/>
    <cellStyle name="Notas 3 2 6" xfId="3578" xr:uid="{00000000-0005-0000-0000-0000FB0C0000}"/>
    <cellStyle name="Notas 3 2 7" xfId="3840" xr:uid="{00000000-0005-0000-0000-0000FC0C0000}"/>
    <cellStyle name="Notas 3 3" xfId="2227" xr:uid="{00000000-0005-0000-0000-0000FD0C0000}"/>
    <cellStyle name="Notas 3 3 2" xfId="2543" xr:uid="{00000000-0005-0000-0000-0000FE0C0000}"/>
    <cellStyle name="Notas 3 3 3" xfId="2772" xr:uid="{00000000-0005-0000-0000-0000FF0C0000}"/>
    <cellStyle name="Notas 3 3 4" xfId="3230" xr:uid="{00000000-0005-0000-0000-0000000D0000}"/>
    <cellStyle name="Notas 3 3 5" xfId="3580" xr:uid="{00000000-0005-0000-0000-0000010D0000}"/>
    <cellStyle name="Notas 3 3 6" xfId="3842" xr:uid="{00000000-0005-0000-0000-0000020D0000}"/>
    <cellStyle name="Notas 3 4" xfId="2540" xr:uid="{00000000-0005-0000-0000-0000030D0000}"/>
    <cellStyle name="Notas 3 5" xfId="2769" xr:uid="{00000000-0005-0000-0000-0000040D0000}"/>
    <cellStyle name="Notas 3 6" xfId="3227" xr:uid="{00000000-0005-0000-0000-0000050D0000}"/>
    <cellStyle name="Notas 3 7" xfId="3577" xr:uid="{00000000-0005-0000-0000-0000060D0000}"/>
    <cellStyle name="Notas 3 8" xfId="3839" xr:uid="{00000000-0005-0000-0000-0000070D0000}"/>
    <cellStyle name="Notas 4" xfId="2228" xr:uid="{00000000-0005-0000-0000-0000080D0000}"/>
    <cellStyle name="Notas 4 10" xfId="2338" xr:uid="{00000000-0005-0000-0000-0000090D0000}"/>
    <cellStyle name="Notas 4 11" xfId="2544" xr:uid="{00000000-0005-0000-0000-00000A0D0000}"/>
    <cellStyle name="Notas 4 12" xfId="3231" xr:uid="{00000000-0005-0000-0000-00000B0D0000}"/>
    <cellStyle name="Notas 4 13" xfId="3581" xr:uid="{00000000-0005-0000-0000-00000C0D0000}"/>
    <cellStyle name="Notas 4 14" xfId="3843" xr:uid="{00000000-0005-0000-0000-00000D0D0000}"/>
    <cellStyle name="Notas 4 2" xfId="2303" xr:uid="{00000000-0005-0000-0000-00000E0D0000}"/>
    <cellStyle name="Notas 4 3" xfId="2309" xr:uid="{00000000-0005-0000-0000-00000F0D0000}"/>
    <cellStyle name="Notas 4 4" xfId="2253" xr:uid="{00000000-0005-0000-0000-0000100D0000}"/>
    <cellStyle name="Notas 4 5" xfId="2302" xr:uid="{00000000-0005-0000-0000-0000110D0000}"/>
    <cellStyle name="Notas 4 6" xfId="1900" xr:uid="{00000000-0005-0000-0000-0000120D0000}"/>
    <cellStyle name="Notas 4 7" xfId="1923" xr:uid="{00000000-0005-0000-0000-0000130D0000}"/>
    <cellStyle name="Notas 4 8" xfId="2296" xr:uid="{00000000-0005-0000-0000-0000140D0000}"/>
    <cellStyle name="Notas 4 9" xfId="2331" xr:uid="{00000000-0005-0000-0000-0000150D0000}"/>
    <cellStyle name="Note" xfId="2229" xr:uid="{00000000-0005-0000-0000-0000160D0000}"/>
    <cellStyle name="Note 10" xfId="2339" xr:uid="{00000000-0005-0000-0000-0000170D0000}"/>
    <cellStyle name="Note 11" xfId="2545" xr:uid="{00000000-0005-0000-0000-0000180D0000}"/>
    <cellStyle name="Note 12" xfId="3232" xr:uid="{00000000-0005-0000-0000-0000190D0000}"/>
    <cellStyle name="Note 13" xfId="3582" xr:uid="{00000000-0005-0000-0000-00001A0D0000}"/>
    <cellStyle name="Note 14" xfId="3844" xr:uid="{00000000-0005-0000-0000-00001B0D0000}"/>
    <cellStyle name="Note 2" xfId="2304" xr:uid="{00000000-0005-0000-0000-00001C0D0000}"/>
    <cellStyle name="Note 3" xfId="2310" xr:uid="{00000000-0005-0000-0000-00001D0D0000}"/>
    <cellStyle name="Note 4" xfId="2254" xr:uid="{00000000-0005-0000-0000-00001E0D0000}"/>
    <cellStyle name="Note 5" xfId="2301" xr:uid="{00000000-0005-0000-0000-00001F0D0000}"/>
    <cellStyle name="Note 6" xfId="1899" xr:uid="{00000000-0005-0000-0000-0000200D0000}"/>
    <cellStyle name="Note 7" xfId="2325" xr:uid="{00000000-0005-0000-0000-0000210D0000}"/>
    <cellStyle name="Note 8" xfId="1881" xr:uid="{00000000-0005-0000-0000-0000220D0000}"/>
    <cellStyle name="Note 9" xfId="2332" xr:uid="{00000000-0005-0000-0000-0000230D0000}"/>
    <cellStyle name="Œ…‹æØ‚è [0.00]_laroux" xfId="272" xr:uid="{00000000-0005-0000-0000-0000240D0000}"/>
    <cellStyle name="Œ…‹æØ‚è_laroux" xfId="273" xr:uid="{00000000-0005-0000-0000-0000250D0000}"/>
    <cellStyle name="Output" xfId="2230" xr:uid="{00000000-0005-0000-0000-0000260D0000}"/>
    <cellStyle name="Output 10" xfId="2340" xr:uid="{00000000-0005-0000-0000-0000270D0000}"/>
    <cellStyle name="Output 11" xfId="2546" xr:uid="{00000000-0005-0000-0000-0000280D0000}"/>
    <cellStyle name="Output 12" xfId="3233" xr:uid="{00000000-0005-0000-0000-0000290D0000}"/>
    <cellStyle name="Output 2" xfId="2305" xr:uid="{00000000-0005-0000-0000-00002A0D0000}"/>
    <cellStyle name="Output 3" xfId="2311" xr:uid="{00000000-0005-0000-0000-00002B0D0000}"/>
    <cellStyle name="Output 4" xfId="1957" xr:uid="{00000000-0005-0000-0000-00002C0D0000}"/>
    <cellStyle name="Output 5" xfId="1921" xr:uid="{00000000-0005-0000-0000-00002D0D0000}"/>
    <cellStyle name="Output 6" xfId="2297" xr:uid="{00000000-0005-0000-0000-00002E0D0000}"/>
    <cellStyle name="Output 7" xfId="2287" xr:uid="{00000000-0005-0000-0000-00002F0D0000}"/>
    <cellStyle name="Output 8" xfId="1887" xr:uid="{00000000-0005-0000-0000-0000300D0000}"/>
    <cellStyle name="Output 9" xfId="2333" xr:uid="{00000000-0005-0000-0000-0000310D0000}"/>
    <cellStyle name="Percent [0]" xfId="274" xr:uid="{00000000-0005-0000-0000-0000320D0000}"/>
    <cellStyle name="Percent [00]" xfId="275" xr:uid="{00000000-0005-0000-0000-0000330D0000}"/>
    <cellStyle name="Percent [2]" xfId="276" xr:uid="{00000000-0005-0000-0000-0000340D0000}"/>
    <cellStyle name="Percent 2" xfId="277" xr:uid="{00000000-0005-0000-0000-0000350D0000}"/>
    <cellStyle name="Percent 3" xfId="278" xr:uid="{00000000-0005-0000-0000-0000360D0000}"/>
    <cellStyle name="Porcentagem" xfId="1" builtinId="5"/>
    <cellStyle name="Porcentagem 10" xfId="460" xr:uid="{00000000-0005-0000-0000-0000380D0000}"/>
    <cellStyle name="Porcentagem 10 2" xfId="636" xr:uid="{00000000-0005-0000-0000-0000390D0000}"/>
    <cellStyle name="Porcentagem 10 2 2" xfId="1107" xr:uid="{00000000-0005-0000-0000-00003A0D0000}"/>
    <cellStyle name="Porcentagem 10 2 3" xfId="1429" xr:uid="{00000000-0005-0000-0000-00003B0D0000}"/>
    <cellStyle name="Porcentagem 10 2 4" xfId="1731" xr:uid="{00000000-0005-0000-0000-00003C0D0000}"/>
    <cellStyle name="Porcentagem 10 2 5" xfId="3056" xr:uid="{00000000-0005-0000-0000-00003D0D0000}"/>
    <cellStyle name="Porcentagem 10 2 6" xfId="4069" xr:uid="{00000000-0005-0000-0000-00003E0D0000}"/>
    <cellStyle name="Porcentagem 10 3" xfId="958" xr:uid="{00000000-0005-0000-0000-00003F0D0000}"/>
    <cellStyle name="Porcentagem 10 4" xfId="1270" xr:uid="{00000000-0005-0000-0000-0000400D0000}"/>
    <cellStyle name="Porcentagem 10 5" xfId="1579" xr:uid="{00000000-0005-0000-0000-0000410D0000}"/>
    <cellStyle name="Porcentagem 10 6" xfId="3285" xr:uid="{00000000-0005-0000-0000-0000420D0000}"/>
    <cellStyle name="Porcentagem 10 7" xfId="3902" xr:uid="{00000000-0005-0000-0000-0000430D0000}"/>
    <cellStyle name="Porcentagem 11" xfId="503" xr:uid="{00000000-0005-0000-0000-0000440D0000}"/>
    <cellStyle name="Porcentagem 11 2" xfId="679" xr:uid="{00000000-0005-0000-0000-0000450D0000}"/>
    <cellStyle name="Porcentagem 11 2 2" xfId="1146" xr:uid="{00000000-0005-0000-0000-0000460D0000}"/>
    <cellStyle name="Porcentagem 11 2 3" xfId="1469" xr:uid="{00000000-0005-0000-0000-0000470D0000}"/>
    <cellStyle name="Porcentagem 11 2 4" xfId="1771" xr:uid="{00000000-0005-0000-0000-0000480D0000}"/>
    <cellStyle name="Porcentagem 11 2 5" xfId="3011" xr:uid="{00000000-0005-0000-0000-0000490D0000}"/>
    <cellStyle name="Porcentagem 11 2 6" xfId="4111" xr:uid="{00000000-0005-0000-0000-00004A0D0000}"/>
    <cellStyle name="Porcentagem 11 3" xfId="997" xr:uid="{00000000-0005-0000-0000-00004B0D0000}"/>
    <cellStyle name="Porcentagem 11 4" xfId="1311" xr:uid="{00000000-0005-0000-0000-00004C0D0000}"/>
    <cellStyle name="Porcentagem 11 5" xfId="1618" xr:uid="{00000000-0005-0000-0000-00004D0D0000}"/>
    <cellStyle name="Porcentagem 11 6" xfId="3307" xr:uid="{00000000-0005-0000-0000-00004E0D0000}"/>
    <cellStyle name="Porcentagem 11 7" xfId="3943" xr:uid="{00000000-0005-0000-0000-00004F0D0000}"/>
    <cellStyle name="Porcentagem 12" xfId="546" xr:uid="{00000000-0005-0000-0000-0000500D0000}"/>
    <cellStyle name="Porcentagem 12 2" xfId="716" xr:uid="{00000000-0005-0000-0000-0000510D0000}"/>
    <cellStyle name="Porcentagem 12 2 2" xfId="1177" xr:uid="{00000000-0005-0000-0000-0000520D0000}"/>
    <cellStyle name="Porcentagem 12 2 3" xfId="1502" xr:uid="{00000000-0005-0000-0000-0000530D0000}"/>
    <cellStyle name="Porcentagem 12 2 4" xfId="1804" xr:uid="{00000000-0005-0000-0000-0000540D0000}"/>
    <cellStyle name="Porcentagem 12 2 5" xfId="3355" xr:uid="{00000000-0005-0000-0000-0000550D0000}"/>
    <cellStyle name="Porcentagem 12 2 6" xfId="4148" xr:uid="{00000000-0005-0000-0000-0000560D0000}"/>
    <cellStyle name="Porcentagem 12 3" xfId="1029" xr:uid="{00000000-0005-0000-0000-0000570D0000}"/>
    <cellStyle name="Porcentagem 12 4" xfId="1346" xr:uid="{00000000-0005-0000-0000-0000580D0000}"/>
    <cellStyle name="Porcentagem 12 5" xfId="1648" xr:uid="{00000000-0005-0000-0000-0000590D0000}"/>
    <cellStyle name="Porcentagem 12 6" xfId="3129" xr:uid="{00000000-0005-0000-0000-00005A0D0000}"/>
    <cellStyle name="Porcentagem 12 7" xfId="3982" xr:uid="{00000000-0005-0000-0000-00005B0D0000}"/>
    <cellStyle name="Porcentagem 13" xfId="558" xr:uid="{00000000-0005-0000-0000-00005C0D0000}"/>
    <cellStyle name="Porcentagem 13 2" xfId="1035" xr:uid="{00000000-0005-0000-0000-00005D0D0000}"/>
    <cellStyle name="Porcentagem 13 3" xfId="1354" xr:uid="{00000000-0005-0000-0000-00005E0D0000}"/>
    <cellStyle name="Porcentagem 13 4" xfId="1656" xr:uid="{00000000-0005-0000-0000-00005F0D0000}"/>
    <cellStyle name="Porcentagem 13 5" xfId="3117" xr:uid="{00000000-0005-0000-0000-0000600D0000}"/>
    <cellStyle name="Porcentagem 13 6" xfId="3994" xr:uid="{00000000-0005-0000-0000-0000610D0000}"/>
    <cellStyle name="Porcentagem 14" xfId="580" xr:uid="{00000000-0005-0000-0000-0000620D0000}"/>
    <cellStyle name="Porcentagem 14 2" xfId="1054" xr:uid="{00000000-0005-0000-0000-0000630D0000}"/>
    <cellStyle name="Porcentagem 14 3" xfId="1373" xr:uid="{00000000-0005-0000-0000-0000640D0000}"/>
    <cellStyle name="Porcentagem 14 4" xfId="1675" xr:uid="{00000000-0005-0000-0000-0000650D0000}"/>
    <cellStyle name="Porcentagem 14 5" xfId="3101" xr:uid="{00000000-0005-0000-0000-0000660D0000}"/>
    <cellStyle name="Porcentagem 14 6" xfId="4013" xr:uid="{00000000-0005-0000-0000-0000670D0000}"/>
    <cellStyle name="Porcentagem 15" xfId="736" xr:uid="{00000000-0005-0000-0000-0000680D0000}"/>
    <cellStyle name="Porcentagem 15 2" xfId="1197" xr:uid="{00000000-0005-0000-0000-0000690D0000}"/>
    <cellStyle name="Porcentagem 15 3" xfId="1522" xr:uid="{00000000-0005-0000-0000-00006A0D0000}"/>
    <cellStyle name="Porcentagem 15 4" xfId="1824" xr:uid="{00000000-0005-0000-0000-00006B0D0000}"/>
    <cellStyle name="Porcentagem 15 5" xfId="3375" xr:uid="{00000000-0005-0000-0000-00006C0D0000}"/>
    <cellStyle name="Porcentagem 15 6" xfId="4168" xr:uid="{00000000-0005-0000-0000-00006D0D0000}"/>
    <cellStyle name="Porcentagem 16" xfId="387" xr:uid="{00000000-0005-0000-0000-00006E0D0000}"/>
    <cellStyle name="Porcentagem 17" xfId="900" xr:uid="{00000000-0005-0000-0000-00006F0D0000}"/>
    <cellStyle name="Porcentagem 18" xfId="1215" xr:uid="{00000000-0005-0000-0000-0000700D0000}"/>
    <cellStyle name="Porcentagem 19" xfId="1528" xr:uid="{00000000-0005-0000-0000-0000710D0000}"/>
    <cellStyle name="Porcentagem 2" xfId="7" xr:uid="{00000000-0005-0000-0000-0000720D0000}"/>
    <cellStyle name="Porcentagem 2 10" xfId="1529" xr:uid="{00000000-0005-0000-0000-0000730D0000}"/>
    <cellStyle name="Porcentagem 2 11" xfId="2779" xr:uid="{00000000-0005-0000-0000-0000740D0000}"/>
    <cellStyle name="Porcentagem 2 12" xfId="3594" xr:uid="{00000000-0005-0000-0000-0000750D0000}"/>
    <cellStyle name="Porcentagem 2 13" xfId="3856" xr:uid="{00000000-0005-0000-0000-0000760D0000}"/>
    <cellStyle name="Porcentagem 2 14" xfId="366" xr:uid="{00000000-0005-0000-0000-0000770D0000}"/>
    <cellStyle name="Porcentagem 2 2" xfId="279" xr:uid="{00000000-0005-0000-0000-0000780D0000}"/>
    <cellStyle name="Porcentagem 2 3" xfId="280" xr:uid="{00000000-0005-0000-0000-0000790D0000}"/>
    <cellStyle name="Porcentagem 2 3 10" xfId="1230" xr:uid="{00000000-0005-0000-0000-00007A0D0000}"/>
    <cellStyle name="Porcentagem 2 3 11" xfId="1545" xr:uid="{00000000-0005-0000-0000-00007B0D0000}"/>
    <cellStyle name="Porcentagem 2 3 12" xfId="1932" xr:uid="{00000000-0005-0000-0000-00007C0D0000}"/>
    <cellStyle name="Porcentagem 2 3 13" xfId="2364" xr:uid="{00000000-0005-0000-0000-00007D0D0000}"/>
    <cellStyle name="Porcentagem 2 3 14" xfId="2594" xr:uid="{00000000-0005-0000-0000-00007E0D0000}"/>
    <cellStyle name="Porcentagem 2 3 15" xfId="2799" xr:uid="{00000000-0005-0000-0000-00007F0D0000}"/>
    <cellStyle name="Porcentagem 2 3 16" xfId="3236" xr:uid="{00000000-0005-0000-0000-0000800D0000}"/>
    <cellStyle name="Porcentagem 2 3 17" xfId="3584" xr:uid="{00000000-0005-0000-0000-0000810D0000}"/>
    <cellStyle name="Porcentagem 2 3 18" xfId="3608" xr:uid="{00000000-0005-0000-0000-0000820D0000}"/>
    <cellStyle name="Porcentagem 2 3 19" xfId="3846" xr:uid="{00000000-0005-0000-0000-0000830D0000}"/>
    <cellStyle name="Porcentagem 2 3 2" xfId="437" xr:uid="{00000000-0005-0000-0000-0000840D0000}"/>
    <cellStyle name="Porcentagem 2 3 2 2" xfId="621" xr:uid="{00000000-0005-0000-0000-0000850D0000}"/>
    <cellStyle name="Porcentagem 2 3 2 2 2" xfId="1094" xr:uid="{00000000-0005-0000-0000-0000860D0000}"/>
    <cellStyle name="Porcentagem 2 3 2 2 3" xfId="1414" xr:uid="{00000000-0005-0000-0000-0000870D0000}"/>
    <cellStyle name="Porcentagem 2 3 2 2 4" xfId="1716" xr:uid="{00000000-0005-0000-0000-0000880D0000}"/>
    <cellStyle name="Porcentagem 2 3 2 2 5" xfId="3071" xr:uid="{00000000-0005-0000-0000-0000890D0000}"/>
    <cellStyle name="Porcentagem 2 3 2 2 6" xfId="4054" xr:uid="{00000000-0005-0000-0000-00008A0D0000}"/>
    <cellStyle name="Porcentagem 2 3 2 3" xfId="945" xr:uid="{00000000-0005-0000-0000-00008B0D0000}"/>
    <cellStyle name="Porcentagem 2 3 2 4" xfId="1255" xr:uid="{00000000-0005-0000-0000-00008C0D0000}"/>
    <cellStyle name="Porcentagem 2 3 2 5" xfId="1570" xr:uid="{00000000-0005-0000-0000-00008D0D0000}"/>
    <cellStyle name="Porcentagem 2 3 2 6" xfId="2831" xr:uid="{00000000-0005-0000-0000-00008E0D0000}"/>
    <cellStyle name="Porcentagem 2 3 2 7" xfId="3271" xr:uid="{00000000-0005-0000-0000-00008F0D0000}"/>
    <cellStyle name="Porcentagem 2 3 2 8" xfId="3630" xr:uid="{00000000-0005-0000-0000-0000900D0000}"/>
    <cellStyle name="Porcentagem 2 3 2 9" xfId="3893" xr:uid="{00000000-0005-0000-0000-0000910D0000}"/>
    <cellStyle name="Porcentagem 2 3 20" xfId="3870" xr:uid="{00000000-0005-0000-0000-0000920D0000}"/>
    <cellStyle name="Porcentagem 2 3 21" xfId="383" xr:uid="{00000000-0005-0000-0000-0000930D0000}"/>
    <cellStyle name="Porcentagem 2 3 3" xfId="497" xr:uid="{00000000-0005-0000-0000-0000940D0000}"/>
    <cellStyle name="Porcentagem 2 3 3 2" xfId="673" xr:uid="{00000000-0005-0000-0000-0000950D0000}"/>
    <cellStyle name="Porcentagem 2 3 3 2 2" xfId="1140" xr:uid="{00000000-0005-0000-0000-0000960D0000}"/>
    <cellStyle name="Porcentagem 2 3 3 2 3" xfId="1463" xr:uid="{00000000-0005-0000-0000-0000970D0000}"/>
    <cellStyle name="Porcentagem 2 3 3 2 4" xfId="1765" xr:uid="{00000000-0005-0000-0000-0000980D0000}"/>
    <cellStyle name="Porcentagem 2 3 3 2 5" xfId="3017" xr:uid="{00000000-0005-0000-0000-0000990D0000}"/>
    <cellStyle name="Porcentagem 2 3 3 2 6" xfId="4105" xr:uid="{00000000-0005-0000-0000-00009A0D0000}"/>
    <cellStyle name="Porcentagem 2 3 3 3" xfId="991" xr:uid="{00000000-0005-0000-0000-00009B0D0000}"/>
    <cellStyle name="Porcentagem 2 3 3 4" xfId="1305" xr:uid="{00000000-0005-0000-0000-00009C0D0000}"/>
    <cellStyle name="Porcentagem 2 3 3 5" xfId="1612" xr:uid="{00000000-0005-0000-0000-00009D0D0000}"/>
    <cellStyle name="Porcentagem 2 3 3 6" xfId="3164" xr:uid="{00000000-0005-0000-0000-00009E0D0000}"/>
    <cellStyle name="Porcentagem 2 3 3 7" xfId="3937" xr:uid="{00000000-0005-0000-0000-00009F0D0000}"/>
    <cellStyle name="Porcentagem 2 3 4" xfId="540" xr:uid="{00000000-0005-0000-0000-0000A00D0000}"/>
    <cellStyle name="Porcentagem 2 3 4 2" xfId="710" xr:uid="{00000000-0005-0000-0000-0000A10D0000}"/>
    <cellStyle name="Porcentagem 2 3 4 2 2" xfId="1171" xr:uid="{00000000-0005-0000-0000-0000A20D0000}"/>
    <cellStyle name="Porcentagem 2 3 4 2 3" xfId="1496" xr:uid="{00000000-0005-0000-0000-0000A30D0000}"/>
    <cellStyle name="Porcentagem 2 3 4 2 4" xfId="1798" xr:uid="{00000000-0005-0000-0000-0000A40D0000}"/>
    <cellStyle name="Porcentagem 2 3 4 2 5" xfId="3349" xr:uid="{00000000-0005-0000-0000-0000A50D0000}"/>
    <cellStyle name="Porcentagem 2 3 4 2 6" xfId="4142" xr:uid="{00000000-0005-0000-0000-0000A60D0000}"/>
    <cellStyle name="Porcentagem 2 3 4 3" xfId="1023" xr:uid="{00000000-0005-0000-0000-0000A70D0000}"/>
    <cellStyle name="Porcentagem 2 3 4 4" xfId="1340" xr:uid="{00000000-0005-0000-0000-0000A80D0000}"/>
    <cellStyle name="Porcentagem 2 3 4 5" xfId="1642" xr:uid="{00000000-0005-0000-0000-0000A90D0000}"/>
    <cellStyle name="Porcentagem 2 3 4 6" xfId="3136" xr:uid="{00000000-0005-0000-0000-0000AA0D0000}"/>
    <cellStyle name="Porcentagem 2 3 4 7" xfId="3976" xr:uid="{00000000-0005-0000-0000-0000AB0D0000}"/>
    <cellStyle name="Porcentagem 2 3 5" xfId="576" xr:uid="{00000000-0005-0000-0000-0000AC0D0000}"/>
    <cellStyle name="Porcentagem 2 3 5 2" xfId="1050" xr:uid="{00000000-0005-0000-0000-0000AD0D0000}"/>
    <cellStyle name="Porcentagem 2 3 5 3" xfId="1369" xr:uid="{00000000-0005-0000-0000-0000AE0D0000}"/>
    <cellStyle name="Porcentagem 2 3 5 4" xfId="1671" xr:uid="{00000000-0005-0000-0000-0000AF0D0000}"/>
    <cellStyle name="Porcentagem 2 3 5 5" xfId="3105" xr:uid="{00000000-0005-0000-0000-0000B00D0000}"/>
    <cellStyle name="Porcentagem 2 3 5 6" xfId="4009" xr:uid="{00000000-0005-0000-0000-0000B10D0000}"/>
    <cellStyle name="Porcentagem 2 3 6" xfId="595" xr:uid="{00000000-0005-0000-0000-0000B20D0000}"/>
    <cellStyle name="Porcentagem 2 3 6 2" xfId="1069" xr:uid="{00000000-0005-0000-0000-0000B30D0000}"/>
    <cellStyle name="Porcentagem 2 3 6 3" xfId="1388" xr:uid="{00000000-0005-0000-0000-0000B40D0000}"/>
    <cellStyle name="Porcentagem 2 3 6 4" xfId="1690" xr:uid="{00000000-0005-0000-0000-0000B50D0000}"/>
    <cellStyle name="Porcentagem 2 3 6 5" xfId="3319" xr:uid="{00000000-0005-0000-0000-0000B60D0000}"/>
    <cellStyle name="Porcentagem 2 3 6 6" xfId="4028" xr:uid="{00000000-0005-0000-0000-0000B70D0000}"/>
    <cellStyle name="Porcentagem 2 3 7" xfId="737" xr:uid="{00000000-0005-0000-0000-0000B80D0000}"/>
    <cellStyle name="Porcentagem 2 3 7 2" xfId="1198" xr:uid="{00000000-0005-0000-0000-0000B90D0000}"/>
    <cellStyle name="Porcentagem 2 3 7 3" xfId="1523" xr:uid="{00000000-0005-0000-0000-0000BA0D0000}"/>
    <cellStyle name="Porcentagem 2 3 7 4" xfId="1825" xr:uid="{00000000-0005-0000-0000-0000BB0D0000}"/>
    <cellStyle name="Porcentagem 2 3 7 5" xfId="3376" xr:uid="{00000000-0005-0000-0000-0000BC0D0000}"/>
    <cellStyle name="Porcentagem 2 3 7 6" xfId="4169" xr:uid="{00000000-0005-0000-0000-0000BD0D0000}"/>
    <cellStyle name="Porcentagem 2 3 8" xfId="415" xr:uid="{00000000-0005-0000-0000-0000BE0D0000}"/>
    <cellStyle name="Porcentagem 2 3 9" xfId="919" xr:uid="{00000000-0005-0000-0000-0000BF0D0000}"/>
    <cellStyle name="Porcentagem 2 4" xfId="281" xr:uid="{00000000-0005-0000-0000-0000C00D0000}"/>
    <cellStyle name="Porcentagem 2 5" xfId="559" xr:uid="{00000000-0005-0000-0000-0000C10D0000}"/>
    <cellStyle name="Porcentagem 2 5 2" xfId="1036" xr:uid="{00000000-0005-0000-0000-0000C20D0000}"/>
    <cellStyle name="Porcentagem 2 5 3" xfId="1355" xr:uid="{00000000-0005-0000-0000-0000C30D0000}"/>
    <cellStyle name="Porcentagem 2 5 4" xfId="1657" xr:uid="{00000000-0005-0000-0000-0000C40D0000}"/>
    <cellStyle name="Porcentagem 2 5 5" xfId="3116" xr:uid="{00000000-0005-0000-0000-0000C50D0000}"/>
    <cellStyle name="Porcentagem 2 5 6" xfId="3995" xr:uid="{00000000-0005-0000-0000-0000C60D0000}"/>
    <cellStyle name="Porcentagem 2 6" xfId="581" xr:uid="{00000000-0005-0000-0000-0000C70D0000}"/>
    <cellStyle name="Porcentagem 2 6 2" xfId="1055" xr:uid="{00000000-0005-0000-0000-0000C80D0000}"/>
    <cellStyle name="Porcentagem 2 6 3" xfId="1374" xr:uid="{00000000-0005-0000-0000-0000C90D0000}"/>
    <cellStyle name="Porcentagem 2 6 4" xfId="1676" xr:uid="{00000000-0005-0000-0000-0000CA0D0000}"/>
    <cellStyle name="Porcentagem 2 6 5" xfId="3100" xr:uid="{00000000-0005-0000-0000-0000CB0D0000}"/>
    <cellStyle name="Porcentagem 2 6 6" xfId="4014" xr:uid="{00000000-0005-0000-0000-0000CC0D0000}"/>
    <cellStyle name="Porcentagem 2 7" xfId="388" xr:uid="{00000000-0005-0000-0000-0000CD0D0000}"/>
    <cellStyle name="Porcentagem 2 8" xfId="901" xr:uid="{00000000-0005-0000-0000-0000CE0D0000}"/>
    <cellStyle name="Porcentagem 2 9" xfId="1216" xr:uid="{00000000-0005-0000-0000-0000CF0D0000}"/>
    <cellStyle name="Porcentagem 20" xfId="1842" xr:uid="{00000000-0005-0000-0000-0000D00D0000}"/>
    <cellStyle name="Porcentagem 21" xfId="1931" xr:uid="{00000000-0005-0000-0000-0000D10D0000}"/>
    <cellStyle name="Porcentagem 22" xfId="2363" xr:uid="{00000000-0005-0000-0000-0000D20D0000}"/>
    <cellStyle name="Porcentagem 23" xfId="2593" xr:uid="{00000000-0005-0000-0000-0000D30D0000}"/>
    <cellStyle name="Porcentagem 24" xfId="2778" xr:uid="{00000000-0005-0000-0000-0000D40D0000}"/>
    <cellStyle name="Porcentagem 25" xfId="3234" xr:uid="{00000000-0005-0000-0000-0000D50D0000}"/>
    <cellStyle name="Porcentagem 26" xfId="3583" xr:uid="{00000000-0005-0000-0000-0000D60D0000}"/>
    <cellStyle name="Porcentagem 27" xfId="3593" xr:uid="{00000000-0005-0000-0000-0000D70D0000}"/>
    <cellStyle name="Porcentagem 28" xfId="3845" xr:uid="{00000000-0005-0000-0000-0000D80D0000}"/>
    <cellStyle name="Porcentagem 29" xfId="3855" xr:uid="{00000000-0005-0000-0000-0000D90D0000}"/>
    <cellStyle name="Porcentagem 3" xfId="8" xr:uid="{00000000-0005-0000-0000-0000DA0D0000}"/>
    <cellStyle name="Porcentagem 3 10" xfId="2929" xr:uid="{00000000-0005-0000-0000-0000DB0D0000}"/>
    <cellStyle name="Porcentagem 3 11" xfId="3595" xr:uid="{00000000-0005-0000-0000-0000DC0D0000}"/>
    <cellStyle name="Porcentagem 3 12" xfId="3857" xr:uid="{00000000-0005-0000-0000-0000DD0D0000}"/>
    <cellStyle name="Porcentagem 3 13" xfId="367" xr:uid="{00000000-0005-0000-0000-0000DE0D0000}"/>
    <cellStyle name="Porcentagem 3 2" xfId="438" xr:uid="{00000000-0005-0000-0000-0000DF0D0000}"/>
    <cellStyle name="Porcentagem 3 3" xfId="560" xr:uid="{00000000-0005-0000-0000-0000E00D0000}"/>
    <cellStyle name="Porcentagem 3 3 2" xfId="1037" xr:uid="{00000000-0005-0000-0000-0000E10D0000}"/>
    <cellStyle name="Porcentagem 3 3 3" xfId="1356" xr:uid="{00000000-0005-0000-0000-0000E20D0000}"/>
    <cellStyle name="Porcentagem 3 3 4" xfId="1658" xr:uid="{00000000-0005-0000-0000-0000E30D0000}"/>
    <cellStyle name="Porcentagem 3 3 5" xfId="3115" xr:uid="{00000000-0005-0000-0000-0000E40D0000}"/>
    <cellStyle name="Porcentagem 3 3 6" xfId="3996" xr:uid="{00000000-0005-0000-0000-0000E50D0000}"/>
    <cellStyle name="Porcentagem 3 4" xfId="582" xr:uid="{00000000-0005-0000-0000-0000E60D0000}"/>
    <cellStyle name="Porcentagem 3 4 2" xfId="1056" xr:uid="{00000000-0005-0000-0000-0000E70D0000}"/>
    <cellStyle name="Porcentagem 3 4 3" xfId="1375" xr:uid="{00000000-0005-0000-0000-0000E80D0000}"/>
    <cellStyle name="Porcentagem 3 4 4" xfId="1677" xr:uid="{00000000-0005-0000-0000-0000E90D0000}"/>
    <cellStyle name="Porcentagem 3 4 5" xfId="3099" xr:uid="{00000000-0005-0000-0000-0000EA0D0000}"/>
    <cellStyle name="Porcentagem 3 4 6" xfId="4015" xr:uid="{00000000-0005-0000-0000-0000EB0D0000}"/>
    <cellStyle name="Porcentagem 3 5" xfId="389" xr:uid="{00000000-0005-0000-0000-0000EC0D0000}"/>
    <cellStyle name="Porcentagem 3 6" xfId="902" xr:uid="{00000000-0005-0000-0000-0000ED0D0000}"/>
    <cellStyle name="Porcentagem 3 7" xfId="1217" xr:uid="{00000000-0005-0000-0000-0000EE0D0000}"/>
    <cellStyle name="Porcentagem 3 8" xfId="1530" xr:uid="{00000000-0005-0000-0000-0000EF0D0000}"/>
    <cellStyle name="Porcentagem 3 9" xfId="2780" xr:uid="{00000000-0005-0000-0000-0000F00D0000}"/>
    <cellStyle name="Porcentagem 30" xfId="364" xr:uid="{00000000-0005-0000-0000-0000F10D0000}"/>
    <cellStyle name="Porcentagem 31" xfId="4174" xr:uid="{EF60E608-95EE-45E5-A2CC-263FD2E40373}"/>
    <cellStyle name="Porcentagem 4" xfId="10" xr:uid="{00000000-0005-0000-0000-0000F20D0000}"/>
    <cellStyle name="Porcentagem 4 2" xfId="282" xr:uid="{00000000-0005-0000-0000-0000F30D0000}"/>
    <cellStyle name="Porcentagem 5" xfId="48" xr:uid="{00000000-0005-0000-0000-0000F40D0000}"/>
    <cellStyle name="Porcentagem 6" xfId="52" xr:uid="{00000000-0005-0000-0000-0000F50D0000}"/>
    <cellStyle name="Porcentagem 6 10" xfId="3260" xr:uid="{00000000-0005-0000-0000-0000F60D0000}"/>
    <cellStyle name="Porcentagem 6 11" xfId="3602" xr:uid="{00000000-0005-0000-0000-0000F70D0000}"/>
    <cellStyle name="Porcentagem 6 12" xfId="3864" xr:uid="{00000000-0005-0000-0000-0000F80D0000}"/>
    <cellStyle name="Porcentagem 6 13" xfId="374" xr:uid="{00000000-0005-0000-0000-0000F90D0000}"/>
    <cellStyle name="Porcentagem 6 2" xfId="283" xr:uid="{00000000-0005-0000-0000-0000FA0D0000}"/>
    <cellStyle name="Porcentagem 6 3" xfId="567" xr:uid="{00000000-0005-0000-0000-0000FB0D0000}"/>
    <cellStyle name="Porcentagem 6 3 2" xfId="1044" xr:uid="{00000000-0005-0000-0000-0000FC0D0000}"/>
    <cellStyle name="Porcentagem 6 3 3" xfId="1363" xr:uid="{00000000-0005-0000-0000-0000FD0D0000}"/>
    <cellStyle name="Porcentagem 6 3 4" xfId="1665" xr:uid="{00000000-0005-0000-0000-0000FE0D0000}"/>
    <cellStyle name="Porcentagem 6 3 5" xfId="3110" xr:uid="{00000000-0005-0000-0000-0000FF0D0000}"/>
    <cellStyle name="Porcentagem 6 3 6" xfId="4003" xr:uid="{00000000-0005-0000-0000-0000000E0000}"/>
    <cellStyle name="Porcentagem 6 4" xfId="589" xr:uid="{00000000-0005-0000-0000-0000010E0000}"/>
    <cellStyle name="Porcentagem 6 4 2" xfId="1063" xr:uid="{00000000-0005-0000-0000-0000020E0000}"/>
    <cellStyle name="Porcentagem 6 4 3" xfId="1382" xr:uid="{00000000-0005-0000-0000-0000030E0000}"/>
    <cellStyle name="Porcentagem 6 4 4" xfId="1684" xr:uid="{00000000-0005-0000-0000-0000040E0000}"/>
    <cellStyle name="Porcentagem 6 4 5" xfId="3092" xr:uid="{00000000-0005-0000-0000-0000050E0000}"/>
    <cellStyle name="Porcentagem 6 4 6" xfId="4022" xr:uid="{00000000-0005-0000-0000-0000060E0000}"/>
    <cellStyle name="Porcentagem 6 5" xfId="396" xr:uid="{00000000-0005-0000-0000-0000070E0000}"/>
    <cellStyle name="Porcentagem 6 6" xfId="909" xr:uid="{00000000-0005-0000-0000-0000080E0000}"/>
    <cellStyle name="Porcentagem 6 7" xfId="1224" xr:uid="{00000000-0005-0000-0000-0000090E0000}"/>
    <cellStyle name="Porcentagem 6 8" xfId="1537" xr:uid="{00000000-0005-0000-0000-00000A0E0000}"/>
    <cellStyle name="Porcentagem 6 9" xfId="2787" xr:uid="{00000000-0005-0000-0000-00000B0E0000}"/>
    <cellStyle name="Porcentagem 7" xfId="55" xr:uid="{00000000-0005-0000-0000-00000C0E0000}"/>
    <cellStyle name="Porcentagem 7 2" xfId="570" xr:uid="{00000000-0005-0000-0000-00000D0E0000}"/>
    <cellStyle name="Porcentagem 7 3" xfId="399" xr:uid="{00000000-0005-0000-0000-00000E0E0000}"/>
    <cellStyle name="Porcentagem 7 4" xfId="377" xr:uid="{00000000-0005-0000-0000-00000F0E0000}"/>
    <cellStyle name="Porcentagem 8" xfId="58" xr:uid="{00000000-0005-0000-0000-0000100E0000}"/>
    <cellStyle name="Porcentagem 8 10" xfId="3262" xr:uid="{00000000-0005-0000-0000-0000110E0000}"/>
    <cellStyle name="Porcentagem 8 11" xfId="3605" xr:uid="{00000000-0005-0000-0000-0000120E0000}"/>
    <cellStyle name="Porcentagem 8 12" xfId="3867" xr:uid="{00000000-0005-0000-0000-0000130E0000}"/>
    <cellStyle name="Porcentagem 8 13" xfId="380" xr:uid="{00000000-0005-0000-0000-0000140E0000}"/>
    <cellStyle name="Porcentagem 8 2" xfId="573" xr:uid="{00000000-0005-0000-0000-0000150E0000}"/>
    <cellStyle name="Porcentagem 8 2 2" xfId="1047" xr:uid="{00000000-0005-0000-0000-0000160E0000}"/>
    <cellStyle name="Porcentagem 8 2 3" xfId="1366" xr:uid="{00000000-0005-0000-0000-0000170E0000}"/>
    <cellStyle name="Porcentagem 8 2 4" xfId="1668" xr:uid="{00000000-0005-0000-0000-0000180E0000}"/>
    <cellStyle name="Porcentagem 8 2 5" xfId="3107" xr:uid="{00000000-0005-0000-0000-0000190E0000}"/>
    <cellStyle name="Porcentagem 8 2 6" xfId="4006" xr:uid="{00000000-0005-0000-0000-00001A0E0000}"/>
    <cellStyle name="Porcentagem 8 3" xfId="592" xr:uid="{00000000-0005-0000-0000-00001B0E0000}"/>
    <cellStyle name="Porcentagem 8 3 2" xfId="1066" xr:uid="{00000000-0005-0000-0000-00001C0E0000}"/>
    <cellStyle name="Porcentagem 8 3 3" xfId="1385" xr:uid="{00000000-0005-0000-0000-00001D0E0000}"/>
    <cellStyle name="Porcentagem 8 3 4" xfId="1687" xr:uid="{00000000-0005-0000-0000-00001E0E0000}"/>
    <cellStyle name="Porcentagem 8 3 5" xfId="3317" xr:uid="{00000000-0005-0000-0000-00001F0E0000}"/>
    <cellStyle name="Porcentagem 8 3 6" xfId="4025" xr:uid="{00000000-0005-0000-0000-0000200E0000}"/>
    <cellStyle name="Porcentagem 8 4" xfId="402" xr:uid="{00000000-0005-0000-0000-0000210E0000}"/>
    <cellStyle name="Porcentagem 8 5" xfId="912" xr:uid="{00000000-0005-0000-0000-0000220E0000}"/>
    <cellStyle name="Porcentagem 8 6" xfId="1227" xr:uid="{00000000-0005-0000-0000-0000230E0000}"/>
    <cellStyle name="Porcentagem 8 7" xfId="1540" xr:uid="{00000000-0005-0000-0000-0000240E0000}"/>
    <cellStyle name="Porcentagem 8 8" xfId="2567" xr:uid="{00000000-0005-0000-0000-0000250E0000}"/>
    <cellStyle name="Porcentagem 8 9" xfId="2790" xr:uid="{00000000-0005-0000-0000-0000260E0000}"/>
    <cellStyle name="Porcentagem 9" xfId="455" xr:uid="{00000000-0005-0000-0000-0000270E0000}"/>
    <cellStyle name="Porcentagem 9 2" xfId="631" xr:uid="{00000000-0005-0000-0000-0000280E0000}"/>
    <cellStyle name="Porcentagem 9 2 2" xfId="1104" xr:uid="{00000000-0005-0000-0000-0000290E0000}"/>
    <cellStyle name="Porcentagem 9 2 3" xfId="1424" xr:uid="{00000000-0005-0000-0000-00002A0E0000}"/>
    <cellStyle name="Porcentagem 9 2 4" xfId="1726" xr:uid="{00000000-0005-0000-0000-00002B0E0000}"/>
    <cellStyle name="Porcentagem 9 2 5" xfId="3061" xr:uid="{00000000-0005-0000-0000-00002C0E0000}"/>
    <cellStyle name="Porcentagem 9 2 6" xfId="4064" xr:uid="{00000000-0005-0000-0000-00002D0E0000}"/>
    <cellStyle name="Porcentagem 9 3" xfId="955" xr:uid="{00000000-0005-0000-0000-00002E0E0000}"/>
    <cellStyle name="Porcentagem 9 4" xfId="1265" xr:uid="{00000000-0005-0000-0000-00002F0E0000}"/>
    <cellStyle name="Porcentagem 9 5" xfId="1576" xr:uid="{00000000-0005-0000-0000-0000300E0000}"/>
    <cellStyle name="Porcentagem 9 6" xfId="2842" xr:uid="{00000000-0005-0000-0000-0000310E0000}"/>
    <cellStyle name="Porcentagem 9 7" xfId="3281" xr:uid="{00000000-0005-0000-0000-0000320E0000}"/>
    <cellStyle name="Porcentagem 9 8" xfId="3636" xr:uid="{00000000-0005-0000-0000-0000330E0000}"/>
    <cellStyle name="Porcentagem 9 9" xfId="3899" xr:uid="{00000000-0005-0000-0000-0000340E0000}"/>
    <cellStyle name="Porcentaje 10" xfId="2231" xr:uid="{00000000-0005-0000-0000-0000350E0000}"/>
    <cellStyle name="Porcentaje 11" xfId="2232" xr:uid="{00000000-0005-0000-0000-0000360E0000}"/>
    <cellStyle name="Porcentaje 2" xfId="2233" xr:uid="{00000000-0005-0000-0000-0000370E0000}"/>
    <cellStyle name="Porcentaje 2 2" xfId="2234" xr:uid="{00000000-0005-0000-0000-0000380E0000}"/>
    <cellStyle name="Porcentaje 2 3" xfId="2547" xr:uid="{00000000-0005-0000-0000-0000390E0000}"/>
    <cellStyle name="Porcentaje 2 4" xfId="2773" xr:uid="{00000000-0005-0000-0000-00003A0E0000}"/>
    <cellStyle name="Porcentaje 2 5" xfId="3239" xr:uid="{00000000-0005-0000-0000-00003B0E0000}"/>
    <cellStyle name="Porcentaje 2 6" xfId="3585" xr:uid="{00000000-0005-0000-0000-00003C0E0000}"/>
    <cellStyle name="Porcentaje 2 7" xfId="3847" xr:uid="{00000000-0005-0000-0000-00003D0E0000}"/>
    <cellStyle name="Porcentaje 3" xfId="2235" xr:uid="{00000000-0005-0000-0000-00003E0E0000}"/>
    <cellStyle name="Porcentaje 4" xfId="2236" xr:uid="{00000000-0005-0000-0000-00003F0E0000}"/>
    <cellStyle name="Porcentaje 5" xfId="2237" xr:uid="{00000000-0005-0000-0000-0000400E0000}"/>
    <cellStyle name="Porcentaje 6" xfId="2238" xr:uid="{00000000-0005-0000-0000-0000410E0000}"/>
    <cellStyle name="Porcentaje 7" xfId="2239" xr:uid="{00000000-0005-0000-0000-0000420E0000}"/>
    <cellStyle name="Porcentaje 8" xfId="2240" xr:uid="{00000000-0005-0000-0000-0000430E0000}"/>
    <cellStyle name="Porcentaje 9" xfId="2241" xr:uid="{00000000-0005-0000-0000-0000440E0000}"/>
    <cellStyle name="PrePop Currency (0)" xfId="284" xr:uid="{00000000-0005-0000-0000-0000450E0000}"/>
    <cellStyle name="PrePop Currency (2)" xfId="285" xr:uid="{00000000-0005-0000-0000-0000460E0000}"/>
    <cellStyle name="PrePop Units (0)" xfId="286" xr:uid="{00000000-0005-0000-0000-0000470E0000}"/>
    <cellStyle name="PrePop Units (1)" xfId="287" xr:uid="{00000000-0005-0000-0000-0000480E0000}"/>
    <cellStyle name="PrePop Units (2)" xfId="288" xr:uid="{00000000-0005-0000-0000-0000490E0000}"/>
    <cellStyle name="Punto0" xfId="289" xr:uid="{00000000-0005-0000-0000-00004A0E0000}"/>
    <cellStyle name="Red Text" xfId="290" xr:uid="{00000000-0005-0000-0000-00004B0E0000}"/>
    <cellStyle name="Ruim" xfId="330" builtinId="27" customBuiltin="1"/>
    <cellStyle name="Saída" xfId="333" builtinId="21" customBuiltin="1"/>
    <cellStyle name="Saída 2" xfId="291" xr:uid="{00000000-0005-0000-0000-00004D0E0000}"/>
    <cellStyle name="Saída 2 10" xfId="2266" xr:uid="{00000000-0005-0000-0000-00004E0E0000}"/>
    <cellStyle name="Saída 2 11" xfId="1936" xr:uid="{00000000-0005-0000-0000-00004F0E0000}"/>
    <cellStyle name="Saída 2 12" xfId="3240" xr:uid="{00000000-0005-0000-0000-0000500E0000}"/>
    <cellStyle name="Saída 2 2" xfId="292" xr:uid="{00000000-0005-0000-0000-0000510E0000}"/>
    <cellStyle name="Saída 2 2 10" xfId="3241" xr:uid="{00000000-0005-0000-0000-0000520E0000}"/>
    <cellStyle name="Saída 2 2 2" xfId="512" xr:uid="{00000000-0005-0000-0000-0000530E0000}"/>
    <cellStyle name="Saída 2 2 2 2" xfId="687" xr:uid="{00000000-0005-0000-0000-0000540E0000}"/>
    <cellStyle name="Saída 2 2 2 2 2" xfId="822" xr:uid="{00000000-0005-0000-0000-0000550E0000}"/>
    <cellStyle name="Saída 2 2 2 2 3" xfId="892" xr:uid="{00000000-0005-0000-0000-0000560E0000}"/>
    <cellStyle name="Saída 2 2 2 2 4" xfId="3333" xr:uid="{00000000-0005-0000-0000-0000570E0000}"/>
    <cellStyle name="Saída 2 2 2 2 5" xfId="4119" xr:uid="{00000000-0005-0000-0000-0000580E0000}"/>
    <cellStyle name="Saída 2 2 2 3" xfId="772" xr:uid="{00000000-0005-0000-0000-0000590E0000}"/>
    <cellStyle name="Saída 2 2 2 4" xfId="851" xr:uid="{00000000-0005-0000-0000-00005A0E0000}"/>
    <cellStyle name="Saída 2 2 2 5" xfId="2568" xr:uid="{00000000-0005-0000-0000-00005B0E0000}"/>
    <cellStyle name="Saída 2 2 2 6" xfId="3242" xr:uid="{00000000-0005-0000-0000-00005C0E0000}"/>
    <cellStyle name="Saída 2 2 2 7" xfId="3951" xr:uid="{00000000-0005-0000-0000-00005D0E0000}"/>
    <cellStyle name="Saída 2 2 3" xfId="554" xr:uid="{00000000-0005-0000-0000-00005E0E0000}"/>
    <cellStyle name="Saída 2 2 3 2" xfId="789" xr:uid="{00000000-0005-0000-0000-00005F0E0000}"/>
    <cellStyle name="Saída 2 2 3 3" xfId="867" xr:uid="{00000000-0005-0000-0000-0000600E0000}"/>
    <cellStyle name="Saída 2 2 3 4" xfId="3121" xr:uid="{00000000-0005-0000-0000-0000610E0000}"/>
    <cellStyle name="Saída 2 2 3 5" xfId="3990" xr:uid="{00000000-0005-0000-0000-0000620E0000}"/>
    <cellStyle name="Saída 2 2 4" xfId="405" xr:uid="{00000000-0005-0000-0000-0000630E0000}"/>
    <cellStyle name="Saída 2 2 5" xfId="1865" xr:uid="{00000000-0005-0000-0000-0000640E0000}"/>
    <cellStyle name="Saída 2 2 6" xfId="2258" xr:uid="{00000000-0005-0000-0000-0000650E0000}"/>
    <cellStyle name="Saída 2 2 7" xfId="2328" xr:uid="{00000000-0005-0000-0000-0000660E0000}"/>
    <cellStyle name="Saída 2 2 8" xfId="2265" xr:uid="{00000000-0005-0000-0000-0000670E0000}"/>
    <cellStyle name="Saída 2 2 9" xfId="2281" xr:uid="{00000000-0005-0000-0000-0000680E0000}"/>
    <cellStyle name="Saída 2 3" xfId="293" xr:uid="{00000000-0005-0000-0000-0000690E0000}"/>
    <cellStyle name="Saída 2 3 10" xfId="3243" xr:uid="{00000000-0005-0000-0000-00006A0E0000}"/>
    <cellStyle name="Saída 2 3 2" xfId="513" xr:uid="{00000000-0005-0000-0000-00006B0E0000}"/>
    <cellStyle name="Saída 2 3 2 2" xfId="688" xr:uid="{00000000-0005-0000-0000-00006C0E0000}"/>
    <cellStyle name="Saída 2 3 2 2 2" xfId="823" xr:uid="{00000000-0005-0000-0000-00006D0E0000}"/>
    <cellStyle name="Saída 2 3 2 2 3" xfId="893" xr:uid="{00000000-0005-0000-0000-00006E0E0000}"/>
    <cellStyle name="Saída 2 3 2 2 4" xfId="3334" xr:uid="{00000000-0005-0000-0000-00006F0E0000}"/>
    <cellStyle name="Saída 2 3 2 2 5" xfId="4120" xr:uid="{00000000-0005-0000-0000-0000700E0000}"/>
    <cellStyle name="Saída 2 3 2 3" xfId="773" xr:uid="{00000000-0005-0000-0000-0000710E0000}"/>
    <cellStyle name="Saída 2 3 2 4" xfId="852" xr:uid="{00000000-0005-0000-0000-0000720E0000}"/>
    <cellStyle name="Saída 2 3 2 5" xfId="2569" xr:uid="{00000000-0005-0000-0000-0000730E0000}"/>
    <cellStyle name="Saída 2 3 2 6" xfId="3244" xr:uid="{00000000-0005-0000-0000-0000740E0000}"/>
    <cellStyle name="Saída 2 3 2 7" xfId="3952" xr:uid="{00000000-0005-0000-0000-0000750E0000}"/>
    <cellStyle name="Saída 2 3 3" xfId="555" xr:uid="{00000000-0005-0000-0000-0000760E0000}"/>
    <cellStyle name="Saída 2 3 3 2" xfId="790" xr:uid="{00000000-0005-0000-0000-0000770E0000}"/>
    <cellStyle name="Saída 2 3 3 3" xfId="868" xr:uid="{00000000-0005-0000-0000-0000780E0000}"/>
    <cellStyle name="Saída 2 3 3 4" xfId="3120" xr:uid="{00000000-0005-0000-0000-0000790E0000}"/>
    <cellStyle name="Saída 2 3 3 5" xfId="3991" xr:uid="{00000000-0005-0000-0000-00007A0E0000}"/>
    <cellStyle name="Saída 2 3 4" xfId="404" xr:uid="{00000000-0005-0000-0000-00007B0E0000}"/>
    <cellStyle name="Saída 2 3 5" xfId="1864" xr:uid="{00000000-0005-0000-0000-00007C0E0000}"/>
    <cellStyle name="Saída 2 3 6" xfId="2322" xr:uid="{00000000-0005-0000-0000-00007D0E0000}"/>
    <cellStyle name="Saída 2 3 7" xfId="2271" xr:uid="{00000000-0005-0000-0000-00007E0E0000}"/>
    <cellStyle name="Saída 2 3 8" xfId="2264" xr:uid="{00000000-0005-0000-0000-00007F0E0000}"/>
    <cellStyle name="Saída 2 3 9" xfId="1933" xr:uid="{00000000-0005-0000-0000-0000800E0000}"/>
    <cellStyle name="Saída 2 4" xfId="489" xr:uid="{00000000-0005-0000-0000-0000810E0000}"/>
    <cellStyle name="Saída 2 4 2" xfId="665" xr:uid="{00000000-0005-0000-0000-0000820E0000}"/>
    <cellStyle name="Saída 2 4 2 2" xfId="809" xr:uid="{00000000-0005-0000-0000-0000830E0000}"/>
    <cellStyle name="Saída 2 4 2 3" xfId="882" xr:uid="{00000000-0005-0000-0000-0000840E0000}"/>
    <cellStyle name="Saída 2 4 2 4" xfId="3025" xr:uid="{00000000-0005-0000-0000-0000850E0000}"/>
    <cellStyle name="Saída 2 4 2 5" xfId="4098" xr:uid="{00000000-0005-0000-0000-0000860E0000}"/>
    <cellStyle name="Saída 2 4 3" xfId="760" xr:uid="{00000000-0005-0000-0000-0000870E0000}"/>
    <cellStyle name="Saída 2 4 4" xfId="841" xr:uid="{00000000-0005-0000-0000-0000880E0000}"/>
    <cellStyle name="Saída 2 4 5" xfId="2570" xr:uid="{00000000-0005-0000-0000-0000890E0000}"/>
    <cellStyle name="Saída 2 4 6" xfId="3245" xr:uid="{00000000-0005-0000-0000-00008A0E0000}"/>
    <cellStyle name="Saída 2 4 7" xfId="3930" xr:uid="{00000000-0005-0000-0000-00008B0E0000}"/>
    <cellStyle name="Saída 2 5" xfId="532" xr:uid="{00000000-0005-0000-0000-00008C0E0000}"/>
    <cellStyle name="Saída 2 5 2" xfId="777" xr:uid="{00000000-0005-0000-0000-00008D0E0000}"/>
    <cellStyle name="Saída 2 5 3" xfId="856" xr:uid="{00000000-0005-0000-0000-00008E0E0000}"/>
    <cellStyle name="Saída 2 5 4" xfId="3145" xr:uid="{00000000-0005-0000-0000-00008F0E0000}"/>
    <cellStyle name="Saída 2 5 5" xfId="3969" xr:uid="{00000000-0005-0000-0000-0000900E0000}"/>
    <cellStyle name="Saída 2 6" xfId="746" xr:uid="{00000000-0005-0000-0000-0000910E0000}"/>
    <cellStyle name="Saída 2 7" xfId="1866" xr:uid="{00000000-0005-0000-0000-0000920E0000}"/>
    <cellStyle name="Saída 2 8" xfId="2279" xr:uid="{00000000-0005-0000-0000-0000930E0000}"/>
    <cellStyle name="Saída 2 9" xfId="2269" xr:uid="{00000000-0005-0000-0000-0000940E0000}"/>
    <cellStyle name="Salida 2" xfId="2242" xr:uid="{00000000-0005-0000-0000-0000950E0000}"/>
    <cellStyle name="Salida 2 10" xfId="2341" xr:uid="{00000000-0005-0000-0000-0000960E0000}"/>
    <cellStyle name="Salida 2 11" xfId="2548" xr:uid="{00000000-0005-0000-0000-0000970E0000}"/>
    <cellStyle name="Salida 2 12" xfId="3246" xr:uid="{00000000-0005-0000-0000-0000980E0000}"/>
    <cellStyle name="Salida 2 2" xfId="2307" xr:uid="{00000000-0005-0000-0000-0000990E0000}"/>
    <cellStyle name="Salida 2 3" xfId="2315" xr:uid="{00000000-0005-0000-0000-00009A0E0000}"/>
    <cellStyle name="Salida 2 4" xfId="2316" xr:uid="{00000000-0005-0000-0000-00009B0E0000}"/>
    <cellStyle name="Salida 2 5" xfId="2321" xr:uid="{00000000-0005-0000-0000-00009C0E0000}"/>
    <cellStyle name="Salida 2 6" xfId="2324" xr:uid="{00000000-0005-0000-0000-00009D0E0000}"/>
    <cellStyle name="Salida 2 7" xfId="2329" xr:uid="{00000000-0005-0000-0000-00009E0E0000}"/>
    <cellStyle name="Salida 2 8" xfId="2330" xr:uid="{00000000-0005-0000-0000-00009F0E0000}"/>
    <cellStyle name="Salida 2 9" xfId="2334" xr:uid="{00000000-0005-0000-0000-0000A00E0000}"/>
    <cellStyle name="Sep. milhar [0]" xfId="294" xr:uid="{00000000-0005-0000-0000-0000A10E0000}"/>
    <cellStyle name="Separador de milhares 2" xfId="16" xr:uid="{00000000-0005-0000-0000-0000A20E0000}"/>
    <cellStyle name="Separador de milhares 2 2" xfId="17" xr:uid="{00000000-0005-0000-0000-0000A30E0000}"/>
    <cellStyle name="Separador de milhares 2 2 2" xfId="295" xr:uid="{00000000-0005-0000-0000-0000A40E0000}"/>
    <cellStyle name="Separador de milhares 2 2 2 10" xfId="1231" xr:uid="{00000000-0005-0000-0000-0000A50E0000}"/>
    <cellStyle name="Separador de milhares 2 2 2 11" xfId="1546" xr:uid="{00000000-0005-0000-0000-0000A60E0000}"/>
    <cellStyle name="Separador de milhares 2 2 2 12" xfId="1941" xr:uid="{00000000-0005-0000-0000-0000A70E0000}"/>
    <cellStyle name="Separador de milhares 2 2 2 13" xfId="2365" xr:uid="{00000000-0005-0000-0000-0000A80E0000}"/>
    <cellStyle name="Separador de milhares 2 2 2 14" xfId="2595" xr:uid="{00000000-0005-0000-0000-0000A90E0000}"/>
    <cellStyle name="Separador de milhares 2 2 2 15" xfId="2803" xr:uid="{00000000-0005-0000-0000-0000AA0E0000}"/>
    <cellStyle name="Separador de milhares 2 2 2 16" xfId="3247" xr:uid="{00000000-0005-0000-0000-0000AB0E0000}"/>
    <cellStyle name="Separador de milhares 2 2 2 17" xfId="3586" xr:uid="{00000000-0005-0000-0000-0000AC0E0000}"/>
    <cellStyle name="Separador de milhares 2 2 2 18" xfId="3609" xr:uid="{00000000-0005-0000-0000-0000AD0E0000}"/>
    <cellStyle name="Separador de milhares 2 2 2 19" xfId="3849" xr:uid="{00000000-0005-0000-0000-0000AE0E0000}"/>
    <cellStyle name="Separador de milhares 2 2 2 2" xfId="443" xr:uid="{00000000-0005-0000-0000-0000AF0E0000}"/>
    <cellStyle name="Separador de milhares 2 2 2 2 2" xfId="624" xr:uid="{00000000-0005-0000-0000-0000B00E0000}"/>
    <cellStyle name="Separador de milhares 2 2 2 2 2 2" xfId="1097" xr:uid="{00000000-0005-0000-0000-0000B10E0000}"/>
    <cellStyle name="Separador de milhares 2 2 2 2 2 3" xfId="1417" xr:uid="{00000000-0005-0000-0000-0000B20E0000}"/>
    <cellStyle name="Separador de milhares 2 2 2 2 2 4" xfId="1719" xr:uid="{00000000-0005-0000-0000-0000B30E0000}"/>
    <cellStyle name="Separador de milhares 2 2 2 2 2 5" xfId="3068" xr:uid="{00000000-0005-0000-0000-0000B40E0000}"/>
    <cellStyle name="Separador de milhares 2 2 2 2 2 6" xfId="4057" xr:uid="{00000000-0005-0000-0000-0000B50E0000}"/>
    <cellStyle name="Separador de milhares 2 2 2 2 3" xfId="948" xr:uid="{00000000-0005-0000-0000-0000B60E0000}"/>
    <cellStyle name="Separador de milhares 2 2 2 2 4" xfId="1258" xr:uid="{00000000-0005-0000-0000-0000B70E0000}"/>
    <cellStyle name="Separador de milhares 2 2 2 2 5" xfId="1573" xr:uid="{00000000-0005-0000-0000-0000B80E0000}"/>
    <cellStyle name="Separador de milhares 2 2 2 2 6" xfId="2835" xr:uid="{00000000-0005-0000-0000-0000B90E0000}"/>
    <cellStyle name="Separador de milhares 2 2 2 2 7" xfId="3274" xr:uid="{00000000-0005-0000-0000-0000BA0E0000}"/>
    <cellStyle name="Separador de milhares 2 2 2 2 8" xfId="3633" xr:uid="{00000000-0005-0000-0000-0000BB0E0000}"/>
    <cellStyle name="Separador de milhares 2 2 2 2 9" xfId="3896" xr:uid="{00000000-0005-0000-0000-0000BC0E0000}"/>
    <cellStyle name="Separador de milhares 2 2 2 20" xfId="3871" xr:uid="{00000000-0005-0000-0000-0000BD0E0000}"/>
    <cellStyle name="Separador de milhares 2 2 2 21" xfId="384" xr:uid="{00000000-0005-0000-0000-0000BE0E0000}"/>
    <cellStyle name="Separador de milhares 2 2 2 3" xfId="500" xr:uid="{00000000-0005-0000-0000-0000BF0E0000}"/>
    <cellStyle name="Separador de milhares 2 2 2 3 2" xfId="676" xr:uid="{00000000-0005-0000-0000-0000C00E0000}"/>
    <cellStyle name="Separador de milhares 2 2 2 3 2 2" xfId="1143" xr:uid="{00000000-0005-0000-0000-0000C10E0000}"/>
    <cellStyle name="Separador de milhares 2 2 2 3 2 3" xfId="1466" xr:uid="{00000000-0005-0000-0000-0000C20E0000}"/>
    <cellStyle name="Separador de milhares 2 2 2 3 2 4" xfId="1768" xr:uid="{00000000-0005-0000-0000-0000C30E0000}"/>
    <cellStyle name="Separador de milhares 2 2 2 3 2 5" xfId="3014" xr:uid="{00000000-0005-0000-0000-0000C40E0000}"/>
    <cellStyle name="Separador de milhares 2 2 2 3 2 6" xfId="4108" xr:uid="{00000000-0005-0000-0000-0000C50E0000}"/>
    <cellStyle name="Separador de milhares 2 2 2 3 3" xfId="994" xr:uid="{00000000-0005-0000-0000-0000C60E0000}"/>
    <cellStyle name="Separador de milhares 2 2 2 3 4" xfId="1308" xr:uid="{00000000-0005-0000-0000-0000C70E0000}"/>
    <cellStyle name="Separador de milhares 2 2 2 3 5" xfId="1615" xr:uid="{00000000-0005-0000-0000-0000C80E0000}"/>
    <cellStyle name="Separador de milhares 2 2 2 3 6" xfId="3304" xr:uid="{00000000-0005-0000-0000-0000C90E0000}"/>
    <cellStyle name="Separador de milhares 2 2 2 3 7" xfId="3940" xr:uid="{00000000-0005-0000-0000-0000CA0E0000}"/>
    <cellStyle name="Separador de milhares 2 2 2 4" xfId="543" xr:uid="{00000000-0005-0000-0000-0000CB0E0000}"/>
    <cellStyle name="Separador de milhares 2 2 2 4 2" xfId="713" xr:uid="{00000000-0005-0000-0000-0000CC0E0000}"/>
    <cellStyle name="Separador de milhares 2 2 2 4 2 2" xfId="1174" xr:uid="{00000000-0005-0000-0000-0000CD0E0000}"/>
    <cellStyle name="Separador de milhares 2 2 2 4 2 3" xfId="1499" xr:uid="{00000000-0005-0000-0000-0000CE0E0000}"/>
    <cellStyle name="Separador de milhares 2 2 2 4 2 4" xfId="1801" xr:uid="{00000000-0005-0000-0000-0000CF0E0000}"/>
    <cellStyle name="Separador de milhares 2 2 2 4 2 5" xfId="3352" xr:uid="{00000000-0005-0000-0000-0000D00E0000}"/>
    <cellStyle name="Separador de milhares 2 2 2 4 2 6" xfId="4145" xr:uid="{00000000-0005-0000-0000-0000D10E0000}"/>
    <cellStyle name="Separador de milhares 2 2 2 4 3" xfId="1026" xr:uid="{00000000-0005-0000-0000-0000D20E0000}"/>
    <cellStyle name="Separador de milhares 2 2 2 4 4" xfId="1343" xr:uid="{00000000-0005-0000-0000-0000D30E0000}"/>
    <cellStyle name="Separador de milhares 2 2 2 4 5" xfId="1645" xr:uid="{00000000-0005-0000-0000-0000D40E0000}"/>
    <cellStyle name="Separador de milhares 2 2 2 4 6" xfId="3132" xr:uid="{00000000-0005-0000-0000-0000D50E0000}"/>
    <cellStyle name="Separador de milhares 2 2 2 4 7" xfId="3979" xr:uid="{00000000-0005-0000-0000-0000D60E0000}"/>
    <cellStyle name="Separador de milhares 2 2 2 5" xfId="577" xr:uid="{00000000-0005-0000-0000-0000D70E0000}"/>
    <cellStyle name="Separador de milhares 2 2 2 5 2" xfId="1051" xr:uid="{00000000-0005-0000-0000-0000D80E0000}"/>
    <cellStyle name="Separador de milhares 2 2 2 5 3" xfId="1370" xr:uid="{00000000-0005-0000-0000-0000D90E0000}"/>
    <cellStyle name="Separador de milhares 2 2 2 5 4" xfId="1672" xr:uid="{00000000-0005-0000-0000-0000DA0E0000}"/>
    <cellStyle name="Separador de milhares 2 2 2 5 5" xfId="3104" xr:uid="{00000000-0005-0000-0000-0000DB0E0000}"/>
    <cellStyle name="Separador de milhares 2 2 2 5 6" xfId="4010" xr:uid="{00000000-0005-0000-0000-0000DC0E0000}"/>
    <cellStyle name="Separador de milhares 2 2 2 6" xfId="596" xr:uid="{00000000-0005-0000-0000-0000DD0E0000}"/>
    <cellStyle name="Separador de milhares 2 2 2 6 2" xfId="1070" xr:uid="{00000000-0005-0000-0000-0000DE0E0000}"/>
    <cellStyle name="Separador de milhares 2 2 2 6 3" xfId="1389" xr:uid="{00000000-0005-0000-0000-0000DF0E0000}"/>
    <cellStyle name="Separador de milhares 2 2 2 6 4" xfId="1691" xr:uid="{00000000-0005-0000-0000-0000E00E0000}"/>
    <cellStyle name="Separador de milhares 2 2 2 6 5" xfId="3320" xr:uid="{00000000-0005-0000-0000-0000E10E0000}"/>
    <cellStyle name="Separador de milhares 2 2 2 6 6" xfId="4029" xr:uid="{00000000-0005-0000-0000-0000E20E0000}"/>
    <cellStyle name="Separador de milhares 2 2 2 7" xfId="738" xr:uid="{00000000-0005-0000-0000-0000E30E0000}"/>
    <cellStyle name="Separador de milhares 2 2 2 7 2" xfId="1199" xr:uid="{00000000-0005-0000-0000-0000E40E0000}"/>
    <cellStyle name="Separador de milhares 2 2 2 7 3" xfId="1524" xr:uid="{00000000-0005-0000-0000-0000E50E0000}"/>
    <cellStyle name="Separador de milhares 2 2 2 7 4" xfId="1826" xr:uid="{00000000-0005-0000-0000-0000E60E0000}"/>
    <cellStyle name="Separador de milhares 2 2 2 7 5" xfId="3377" xr:uid="{00000000-0005-0000-0000-0000E70E0000}"/>
    <cellStyle name="Separador de milhares 2 2 2 7 6" xfId="4170" xr:uid="{00000000-0005-0000-0000-0000E80E0000}"/>
    <cellStyle name="Separador de milhares 2 2 2 8" xfId="416" xr:uid="{00000000-0005-0000-0000-0000E90E0000}"/>
    <cellStyle name="Separador de milhares 2 2 2 9" xfId="920" xr:uid="{00000000-0005-0000-0000-0000EA0E0000}"/>
    <cellStyle name="Separador de milhares 3" xfId="296" xr:uid="{00000000-0005-0000-0000-0000EB0E0000}"/>
    <cellStyle name="Separador de milhares 3 2" xfId="453" xr:uid="{00000000-0005-0000-0000-0000EC0E0000}"/>
    <cellStyle name="Separador de milhares 4" xfId="297" xr:uid="{00000000-0005-0000-0000-0000ED0E0000}"/>
    <cellStyle name="Separador de milhares 5" xfId="298" xr:uid="{00000000-0005-0000-0000-0000EE0E0000}"/>
    <cellStyle name="Style 1" xfId="299" xr:uid="{00000000-0005-0000-0000-0000EF0E0000}"/>
    <cellStyle name="Text Indent A" xfId="300" xr:uid="{00000000-0005-0000-0000-0000F00E0000}"/>
    <cellStyle name="Text Indent B" xfId="301" xr:uid="{00000000-0005-0000-0000-0000F10E0000}"/>
    <cellStyle name="Text Indent C" xfId="302" xr:uid="{00000000-0005-0000-0000-0000F20E0000}"/>
    <cellStyle name="Texto de advertencia 2" xfId="2243" xr:uid="{00000000-0005-0000-0000-0000F30E0000}"/>
    <cellStyle name="Texto de Aviso" xfId="337" builtinId="11" customBuiltin="1"/>
    <cellStyle name="Texto de Aviso 2" xfId="303" xr:uid="{00000000-0005-0000-0000-0000F50E0000}"/>
    <cellStyle name="Texto Explicativo" xfId="338" builtinId="53" customBuiltin="1"/>
    <cellStyle name="Texto Explicativo 2" xfId="304" xr:uid="{00000000-0005-0000-0000-0000F70E0000}"/>
    <cellStyle name="Title" xfId="2244" xr:uid="{00000000-0005-0000-0000-0000F80E0000}"/>
    <cellStyle name="Título 1" xfId="325" builtinId="16" customBuiltin="1"/>
    <cellStyle name="Título 1 2" xfId="305" xr:uid="{00000000-0005-0000-0000-0000FA0E0000}"/>
    <cellStyle name="Título 2" xfId="326" builtinId="17" customBuiltin="1"/>
    <cellStyle name="Título 2 2" xfId="306" xr:uid="{00000000-0005-0000-0000-0000FC0E0000}"/>
    <cellStyle name="Título 3" xfId="327" builtinId="18" customBuiltin="1"/>
    <cellStyle name="Título 3 2" xfId="307" xr:uid="{00000000-0005-0000-0000-0000FE0E0000}"/>
    <cellStyle name="Título 4" xfId="328" builtinId="19" customBuiltin="1"/>
    <cellStyle name="Título 4 2" xfId="308" xr:uid="{00000000-0005-0000-0000-0000000F0000}"/>
    <cellStyle name="Título 5" xfId="309" xr:uid="{00000000-0005-0000-0000-0000010F0000}"/>
    <cellStyle name="Título 6" xfId="422" xr:uid="{00000000-0005-0000-0000-0000020F0000}"/>
    <cellStyle name="Título 7" xfId="365" xr:uid="{00000000-0005-0000-0000-0000030F0000}"/>
    <cellStyle name="TopGrey" xfId="310" xr:uid="{00000000-0005-0000-0000-0000040F0000}"/>
    <cellStyle name="Total" xfId="339" builtinId="25" customBuiltin="1"/>
    <cellStyle name="Total 2" xfId="311" xr:uid="{00000000-0005-0000-0000-0000060F0000}"/>
    <cellStyle name="Total 2 10" xfId="2251" xr:uid="{00000000-0005-0000-0000-0000070F0000}"/>
    <cellStyle name="Total 2 11" xfId="2280" xr:uid="{00000000-0005-0000-0000-0000080F0000}"/>
    <cellStyle name="Total 2 12" xfId="3248" xr:uid="{00000000-0005-0000-0000-0000090F0000}"/>
    <cellStyle name="Total 2 2" xfId="312" xr:uid="{00000000-0005-0000-0000-00000A0F0000}"/>
    <cellStyle name="Total 2 2 10" xfId="3249" xr:uid="{00000000-0005-0000-0000-00000B0F0000}"/>
    <cellStyle name="Total 2 2 2" xfId="514" xr:uid="{00000000-0005-0000-0000-00000C0F0000}"/>
    <cellStyle name="Total 2 2 2 2" xfId="689" xr:uid="{00000000-0005-0000-0000-00000D0F0000}"/>
    <cellStyle name="Total 2 2 2 2 2" xfId="824" xr:uid="{00000000-0005-0000-0000-00000E0F0000}"/>
    <cellStyle name="Total 2 2 2 2 3" xfId="894" xr:uid="{00000000-0005-0000-0000-00000F0F0000}"/>
    <cellStyle name="Total 2 2 2 2 4" xfId="3335" xr:uid="{00000000-0005-0000-0000-0000100F0000}"/>
    <cellStyle name="Total 2 2 2 2 5" xfId="4121" xr:uid="{00000000-0005-0000-0000-0000110F0000}"/>
    <cellStyle name="Total 2 2 2 3" xfId="774" xr:uid="{00000000-0005-0000-0000-0000120F0000}"/>
    <cellStyle name="Total 2 2 2 4" xfId="853" xr:uid="{00000000-0005-0000-0000-0000130F0000}"/>
    <cellStyle name="Total 2 2 2 5" xfId="2571" xr:uid="{00000000-0005-0000-0000-0000140F0000}"/>
    <cellStyle name="Total 2 2 2 6" xfId="3250" xr:uid="{00000000-0005-0000-0000-0000150F0000}"/>
    <cellStyle name="Total 2 2 3" xfId="556" xr:uid="{00000000-0005-0000-0000-0000160F0000}"/>
    <cellStyle name="Total 2 2 3 2" xfId="791" xr:uid="{00000000-0005-0000-0000-0000170F0000}"/>
    <cellStyle name="Total 2 2 3 3" xfId="869" xr:uid="{00000000-0005-0000-0000-0000180F0000}"/>
    <cellStyle name="Total 2 2 3 4" xfId="3119" xr:uid="{00000000-0005-0000-0000-0000190F0000}"/>
    <cellStyle name="Total 2 2 3 5" xfId="3992" xr:uid="{00000000-0005-0000-0000-00001A0F0000}"/>
    <cellStyle name="Total 2 2 4" xfId="813" xr:uid="{00000000-0005-0000-0000-00001B0F0000}"/>
    <cellStyle name="Total 2 2 5" xfId="1849" xr:uid="{00000000-0005-0000-0000-00001C0F0000}"/>
    <cellStyle name="Total 2 2 6" xfId="1872" xr:uid="{00000000-0005-0000-0000-00001D0F0000}"/>
    <cellStyle name="Total 2 2 7" xfId="1861" xr:uid="{00000000-0005-0000-0000-00001E0F0000}"/>
    <cellStyle name="Total 2 2 8" xfId="2250" xr:uid="{00000000-0005-0000-0000-00001F0F0000}"/>
    <cellStyle name="Total 2 2 9" xfId="1946" xr:uid="{00000000-0005-0000-0000-0000200F0000}"/>
    <cellStyle name="Total 2 3" xfId="313" xr:uid="{00000000-0005-0000-0000-0000210F0000}"/>
    <cellStyle name="Total 2 3 10" xfId="3251" xr:uid="{00000000-0005-0000-0000-0000220F0000}"/>
    <cellStyle name="Total 2 3 2" xfId="515" xr:uid="{00000000-0005-0000-0000-0000230F0000}"/>
    <cellStyle name="Total 2 3 2 2" xfId="690" xr:uid="{00000000-0005-0000-0000-0000240F0000}"/>
    <cellStyle name="Total 2 3 2 2 2" xfId="825" xr:uid="{00000000-0005-0000-0000-0000250F0000}"/>
    <cellStyle name="Total 2 3 2 2 3" xfId="895" xr:uid="{00000000-0005-0000-0000-0000260F0000}"/>
    <cellStyle name="Total 2 3 2 2 4" xfId="3336" xr:uid="{00000000-0005-0000-0000-0000270F0000}"/>
    <cellStyle name="Total 2 3 2 2 5" xfId="4122" xr:uid="{00000000-0005-0000-0000-0000280F0000}"/>
    <cellStyle name="Total 2 3 2 3" xfId="775" xr:uid="{00000000-0005-0000-0000-0000290F0000}"/>
    <cellStyle name="Total 2 3 2 4" xfId="854" xr:uid="{00000000-0005-0000-0000-00002A0F0000}"/>
    <cellStyle name="Total 2 3 2 5" xfId="2572" xr:uid="{00000000-0005-0000-0000-00002B0F0000}"/>
    <cellStyle name="Total 2 3 2 6" xfId="3252" xr:uid="{00000000-0005-0000-0000-00002C0F0000}"/>
    <cellStyle name="Total 2 3 3" xfId="557" xr:uid="{00000000-0005-0000-0000-00002D0F0000}"/>
    <cellStyle name="Total 2 3 3 2" xfId="792" xr:uid="{00000000-0005-0000-0000-00002E0F0000}"/>
    <cellStyle name="Total 2 3 3 3" xfId="870" xr:uid="{00000000-0005-0000-0000-00002F0F0000}"/>
    <cellStyle name="Total 2 3 3 4" xfId="3118" xr:uid="{00000000-0005-0000-0000-0000300F0000}"/>
    <cellStyle name="Total 2 3 3 5" xfId="3993" xr:uid="{00000000-0005-0000-0000-0000310F0000}"/>
    <cellStyle name="Total 2 3 4" xfId="781" xr:uid="{00000000-0005-0000-0000-0000320F0000}"/>
    <cellStyle name="Total 2 3 5" xfId="1847" xr:uid="{00000000-0005-0000-0000-0000330F0000}"/>
    <cellStyle name="Total 2 3 6" xfId="1873" xr:uid="{00000000-0005-0000-0000-0000340F0000}"/>
    <cellStyle name="Total 2 3 7" xfId="1860" xr:uid="{00000000-0005-0000-0000-0000350F0000}"/>
    <cellStyle name="Total 2 3 8" xfId="2267" xr:uid="{00000000-0005-0000-0000-0000360F0000}"/>
    <cellStyle name="Total 2 3 9" xfId="1947" xr:uid="{00000000-0005-0000-0000-0000370F0000}"/>
    <cellStyle name="Total 2 4" xfId="480" xr:uid="{00000000-0005-0000-0000-0000380F0000}"/>
    <cellStyle name="Total 2 4 2" xfId="656" xr:uid="{00000000-0005-0000-0000-0000390F0000}"/>
    <cellStyle name="Total 2 4 2 2" xfId="808" xr:uid="{00000000-0005-0000-0000-00003A0F0000}"/>
    <cellStyle name="Total 2 4 2 3" xfId="881" xr:uid="{00000000-0005-0000-0000-00003B0F0000}"/>
    <cellStyle name="Total 2 4 2 4" xfId="3034" xr:uid="{00000000-0005-0000-0000-00003C0F0000}"/>
    <cellStyle name="Total 2 4 2 5" xfId="4089" xr:uid="{00000000-0005-0000-0000-00003D0F0000}"/>
    <cellStyle name="Total 2 4 3" xfId="759" xr:uid="{00000000-0005-0000-0000-00003E0F0000}"/>
    <cellStyle name="Total 2 4 4" xfId="840" xr:uid="{00000000-0005-0000-0000-00003F0F0000}"/>
    <cellStyle name="Total 2 4 5" xfId="2573" xr:uid="{00000000-0005-0000-0000-0000400F0000}"/>
    <cellStyle name="Total 2 4 6" xfId="3253" xr:uid="{00000000-0005-0000-0000-0000410F0000}"/>
    <cellStyle name="Total 2 5" xfId="531" xr:uid="{00000000-0005-0000-0000-0000420F0000}"/>
    <cellStyle name="Total 2 5 2" xfId="776" xr:uid="{00000000-0005-0000-0000-0000430F0000}"/>
    <cellStyle name="Total 2 5 3" xfId="855" xr:uid="{00000000-0005-0000-0000-0000440F0000}"/>
    <cellStyle name="Total 2 5 4" xfId="3146" xr:uid="{00000000-0005-0000-0000-0000450F0000}"/>
    <cellStyle name="Total 2 5 5" xfId="3968" xr:uid="{00000000-0005-0000-0000-0000460F0000}"/>
    <cellStyle name="Total 2 6" xfId="764" xr:uid="{00000000-0005-0000-0000-0000470F0000}"/>
    <cellStyle name="Total 2 7" xfId="1851" xr:uid="{00000000-0005-0000-0000-0000480F0000}"/>
    <cellStyle name="Total 2 8" xfId="1871" xr:uid="{00000000-0005-0000-0000-0000490F0000}"/>
    <cellStyle name="Total 2 9" xfId="2286" xr:uid="{00000000-0005-0000-0000-00004A0F0000}"/>
    <cellStyle name="Valuta (0)_ cellular Costs" xfId="314" xr:uid="{00000000-0005-0000-0000-00004B0F0000}"/>
    <cellStyle name="Valuta_ cellular Costs" xfId="315" xr:uid="{00000000-0005-0000-0000-00004C0F0000}"/>
    <cellStyle name="Vírgula" xfId="5" builtinId="3"/>
    <cellStyle name="Vírgula 10" xfId="459" xr:uid="{00000000-0005-0000-0000-00004E0F0000}"/>
    <cellStyle name="Vírgula 10 10" xfId="3588" xr:uid="{00000000-0005-0000-0000-00004F0F0000}"/>
    <cellStyle name="Vírgula 10 11" xfId="3851" xr:uid="{00000000-0005-0000-0000-0000500F0000}"/>
    <cellStyle name="Vírgula 10 12" xfId="3901" xr:uid="{00000000-0005-0000-0000-0000510F0000}"/>
    <cellStyle name="Vírgula 10 2" xfId="635" xr:uid="{00000000-0005-0000-0000-0000520F0000}"/>
    <cellStyle name="Vírgula 10 2 2" xfId="1106" xr:uid="{00000000-0005-0000-0000-0000530F0000}"/>
    <cellStyle name="Vírgula 10 2 3" xfId="1428" xr:uid="{00000000-0005-0000-0000-0000540F0000}"/>
    <cellStyle name="Vírgula 10 2 4" xfId="1730" xr:uid="{00000000-0005-0000-0000-0000550F0000}"/>
    <cellStyle name="Vírgula 10 2 5" xfId="3057" xr:uid="{00000000-0005-0000-0000-0000560F0000}"/>
    <cellStyle name="Vírgula 10 2 6" xfId="4068" xr:uid="{00000000-0005-0000-0000-0000570F0000}"/>
    <cellStyle name="Vírgula 10 3" xfId="957" xr:uid="{00000000-0005-0000-0000-0000580F0000}"/>
    <cellStyle name="Vírgula 10 4" xfId="1269" xr:uid="{00000000-0005-0000-0000-0000590F0000}"/>
    <cellStyle name="Vírgula 10 5" xfId="1578" xr:uid="{00000000-0005-0000-0000-00005A0F0000}"/>
    <cellStyle name="Vírgula 10 6" xfId="2555" xr:uid="{00000000-0005-0000-0000-00005B0F0000}"/>
    <cellStyle name="Vírgula 10 7" xfId="2776" xr:uid="{00000000-0005-0000-0000-00005C0F0000}"/>
    <cellStyle name="Vírgula 10 8" xfId="3255" xr:uid="{00000000-0005-0000-0000-00005D0F0000}"/>
    <cellStyle name="Vírgula 10 9" xfId="3176" xr:uid="{00000000-0005-0000-0000-00005E0F0000}"/>
    <cellStyle name="Vírgula 11" xfId="502" xr:uid="{00000000-0005-0000-0000-00005F0F0000}"/>
    <cellStyle name="Vírgula 11 2" xfId="678" xr:uid="{00000000-0005-0000-0000-0000600F0000}"/>
    <cellStyle name="Vírgula 11 2 2" xfId="1145" xr:uid="{00000000-0005-0000-0000-0000610F0000}"/>
    <cellStyle name="Vírgula 11 2 3" xfId="1468" xr:uid="{00000000-0005-0000-0000-0000620F0000}"/>
    <cellStyle name="Vírgula 11 2 4" xfId="1770" xr:uid="{00000000-0005-0000-0000-0000630F0000}"/>
    <cellStyle name="Vírgula 11 2 5" xfId="3012" xr:uid="{00000000-0005-0000-0000-0000640F0000}"/>
    <cellStyle name="Vírgula 11 2 6" xfId="4110" xr:uid="{00000000-0005-0000-0000-0000650F0000}"/>
    <cellStyle name="Vírgula 11 3" xfId="996" xr:uid="{00000000-0005-0000-0000-0000660F0000}"/>
    <cellStyle name="Vírgula 11 4" xfId="1310" xr:uid="{00000000-0005-0000-0000-0000670F0000}"/>
    <cellStyle name="Vírgula 11 5" xfId="1617" xr:uid="{00000000-0005-0000-0000-0000680F0000}"/>
    <cellStyle name="Vírgula 11 6" xfId="3306" xr:uid="{00000000-0005-0000-0000-0000690F0000}"/>
    <cellStyle name="Vírgula 11 7" xfId="3942" xr:uid="{00000000-0005-0000-0000-00006A0F0000}"/>
    <cellStyle name="Vírgula 12" xfId="545" xr:uid="{00000000-0005-0000-0000-00006B0F0000}"/>
    <cellStyle name="Vírgula 12 2" xfId="715" xr:uid="{00000000-0005-0000-0000-00006C0F0000}"/>
    <cellStyle name="Vírgula 12 2 2" xfId="1176" xr:uid="{00000000-0005-0000-0000-00006D0F0000}"/>
    <cellStyle name="Vírgula 12 2 3" xfId="1501" xr:uid="{00000000-0005-0000-0000-00006E0F0000}"/>
    <cellStyle name="Vírgula 12 2 4" xfId="1803" xr:uid="{00000000-0005-0000-0000-00006F0F0000}"/>
    <cellStyle name="Vírgula 12 2 5" xfId="3354" xr:uid="{00000000-0005-0000-0000-0000700F0000}"/>
    <cellStyle name="Vírgula 12 2 6" xfId="4147" xr:uid="{00000000-0005-0000-0000-0000710F0000}"/>
    <cellStyle name="Vírgula 12 3" xfId="1028" xr:uid="{00000000-0005-0000-0000-0000720F0000}"/>
    <cellStyle name="Vírgula 12 4" xfId="1345" xr:uid="{00000000-0005-0000-0000-0000730F0000}"/>
    <cellStyle name="Vírgula 12 5" xfId="1647" xr:uid="{00000000-0005-0000-0000-0000740F0000}"/>
    <cellStyle name="Vírgula 12 6" xfId="3130" xr:uid="{00000000-0005-0000-0000-0000750F0000}"/>
    <cellStyle name="Vírgula 12 7" xfId="3981" xr:uid="{00000000-0005-0000-0000-0000760F0000}"/>
    <cellStyle name="Vírgula 13" xfId="739" xr:uid="{00000000-0005-0000-0000-0000770F0000}"/>
    <cellStyle name="Vírgula 13 2" xfId="1200" xr:uid="{00000000-0005-0000-0000-0000780F0000}"/>
    <cellStyle name="Vírgula 13 3" xfId="1525" xr:uid="{00000000-0005-0000-0000-0000790F0000}"/>
    <cellStyle name="Vírgula 13 4" xfId="1827" xr:uid="{00000000-0005-0000-0000-00007A0F0000}"/>
    <cellStyle name="Vírgula 13 5" xfId="3378" xr:uid="{00000000-0005-0000-0000-00007B0F0000}"/>
    <cellStyle name="Vírgula 13 6" xfId="4171" xr:uid="{00000000-0005-0000-0000-00007C0F0000}"/>
    <cellStyle name="Vírgula 14" xfId="1950" xr:uid="{00000000-0005-0000-0000-00007D0F0000}"/>
    <cellStyle name="Vírgula 15" xfId="2343" xr:uid="{00000000-0005-0000-0000-00007E0F0000}"/>
    <cellStyle name="Vírgula 16" xfId="2366" xr:uid="{00000000-0005-0000-0000-00007F0F0000}"/>
    <cellStyle name="Vírgula 17" xfId="2596" xr:uid="{00000000-0005-0000-0000-0000800F0000}"/>
    <cellStyle name="Vírgula 18" xfId="3254" xr:uid="{00000000-0005-0000-0000-0000810F0000}"/>
    <cellStyle name="Vírgula 19" xfId="3587" xr:uid="{00000000-0005-0000-0000-0000820F0000}"/>
    <cellStyle name="Vírgula 2" xfId="9" xr:uid="{00000000-0005-0000-0000-0000830F0000}"/>
    <cellStyle name="Vírgula 2 2" xfId="316" xr:uid="{00000000-0005-0000-0000-0000840F0000}"/>
    <cellStyle name="Vírgula 2 2 10" xfId="1232" xr:uid="{00000000-0005-0000-0000-0000850F0000}"/>
    <cellStyle name="Vírgula 2 2 11" xfId="1547" xr:uid="{00000000-0005-0000-0000-0000860F0000}"/>
    <cellStyle name="Vírgula 2 2 12" xfId="1951" xr:uid="{00000000-0005-0000-0000-0000870F0000}"/>
    <cellStyle name="Vírgula 2 2 13" xfId="2367" xr:uid="{00000000-0005-0000-0000-0000880F0000}"/>
    <cellStyle name="Vírgula 2 2 14" xfId="2597" xr:uid="{00000000-0005-0000-0000-0000890F0000}"/>
    <cellStyle name="Vírgula 2 2 15" xfId="2804" xr:uid="{00000000-0005-0000-0000-00008A0F0000}"/>
    <cellStyle name="Vírgula 2 2 16" xfId="3256" xr:uid="{00000000-0005-0000-0000-00008B0F0000}"/>
    <cellStyle name="Vírgula 2 2 17" xfId="3589" xr:uid="{00000000-0005-0000-0000-00008C0F0000}"/>
    <cellStyle name="Vírgula 2 2 18" xfId="3610" xr:uid="{00000000-0005-0000-0000-00008D0F0000}"/>
    <cellStyle name="Vírgula 2 2 19" xfId="3852" xr:uid="{00000000-0005-0000-0000-00008E0F0000}"/>
    <cellStyle name="Vírgula 2 2 2" xfId="440" xr:uid="{00000000-0005-0000-0000-00008F0F0000}"/>
    <cellStyle name="Vírgula 2 2 2 2" xfId="622" xr:uid="{00000000-0005-0000-0000-0000900F0000}"/>
    <cellStyle name="Vírgula 2 2 2 2 2" xfId="1095" xr:uid="{00000000-0005-0000-0000-0000910F0000}"/>
    <cellStyle name="Vírgula 2 2 2 2 3" xfId="1415" xr:uid="{00000000-0005-0000-0000-0000920F0000}"/>
    <cellStyle name="Vírgula 2 2 2 2 4" xfId="1717" xr:uid="{00000000-0005-0000-0000-0000930F0000}"/>
    <cellStyle name="Vírgula 2 2 2 2 5" xfId="3070" xr:uid="{00000000-0005-0000-0000-0000940F0000}"/>
    <cellStyle name="Vírgula 2 2 2 2 6" xfId="4055" xr:uid="{00000000-0005-0000-0000-0000950F0000}"/>
    <cellStyle name="Vírgula 2 2 2 3" xfId="946" xr:uid="{00000000-0005-0000-0000-0000960F0000}"/>
    <cellStyle name="Vírgula 2 2 2 4" xfId="1256" xr:uid="{00000000-0005-0000-0000-0000970F0000}"/>
    <cellStyle name="Vírgula 2 2 2 5" xfId="1571" xr:uid="{00000000-0005-0000-0000-0000980F0000}"/>
    <cellStyle name="Vírgula 2 2 2 6" xfId="2833" xr:uid="{00000000-0005-0000-0000-0000990F0000}"/>
    <cellStyle name="Vírgula 2 2 2 7" xfId="3272" xr:uid="{00000000-0005-0000-0000-00009A0F0000}"/>
    <cellStyle name="Vírgula 2 2 2 8" xfId="3631" xr:uid="{00000000-0005-0000-0000-00009B0F0000}"/>
    <cellStyle name="Vírgula 2 2 2 9" xfId="3894" xr:uid="{00000000-0005-0000-0000-00009C0F0000}"/>
    <cellStyle name="Vírgula 2 2 20" xfId="3872" xr:uid="{00000000-0005-0000-0000-00009D0F0000}"/>
    <cellStyle name="Vírgula 2 2 21" xfId="385" xr:uid="{00000000-0005-0000-0000-00009E0F0000}"/>
    <cellStyle name="Vírgula 2 2 3" xfId="498" xr:uid="{00000000-0005-0000-0000-00009F0F0000}"/>
    <cellStyle name="Vírgula 2 2 3 2" xfId="674" xr:uid="{00000000-0005-0000-0000-0000A00F0000}"/>
    <cellStyle name="Vírgula 2 2 3 2 2" xfId="1141" xr:uid="{00000000-0005-0000-0000-0000A10F0000}"/>
    <cellStyle name="Vírgula 2 2 3 2 3" xfId="1464" xr:uid="{00000000-0005-0000-0000-0000A20F0000}"/>
    <cellStyle name="Vírgula 2 2 3 2 4" xfId="1766" xr:uid="{00000000-0005-0000-0000-0000A30F0000}"/>
    <cellStyle name="Vírgula 2 2 3 2 5" xfId="3016" xr:uid="{00000000-0005-0000-0000-0000A40F0000}"/>
    <cellStyle name="Vírgula 2 2 3 2 6" xfId="4106" xr:uid="{00000000-0005-0000-0000-0000A50F0000}"/>
    <cellStyle name="Vírgula 2 2 3 3" xfId="992" xr:uid="{00000000-0005-0000-0000-0000A60F0000}"/>
    <cellStyle name="Vírgula 2 2 3 4" xfId="1306" xr:uid="{00000000-0005-0000-0000-0000A70F0000}"/>
    <cellStyle name="Vírgula 2 2 3 5" xfId="1613" xr:uid="{00000000-0005-0000-0000-0000A80F0000}"/>
    <cellStyle name="Vírgula 2 2 3 6" xfId="3163" xr:uid="{00000000-0005-0000-0000-0000A90F0000}"/>
    <cellStyle name="Vírgula 2 2 3 7" xfId="3938" xr:uid="{00000000-0005-0000-0000-0000AA0F0000}"/>
    <cellStyle name="Vírgula 2 2 4" xfId="541" xr:uid="{00000000-0005-0000-0000-0000AB0F0000}"/>
    <cellStyle name="Vírgula 2 2 4 2" xfId="711" xr:uid="{00000000-0005-0000-0000-0000AC0F0000}"/>
    <cellStyle name="Vírgula 2 2 4 2 2" xfId="1172" xr:uid="{00000000-0005-0000-0000-0000AD0F0000}"/>
    <cellStyle name="Vírgula 2 2 4 2 3" xfId="1497" xr:uid="{00000000-0005-0000-0000-0000AE0F0000}"/>
    <cellStyle name="Vírgula 2 2 4 2 4" xfId="1799" xr:uid="{00000000-0005-0000-0000-0000AF0F0000}"/>
    <cellStyle name="Vírgula 2 2 4 2 5" xfId="3350" xr:uid="{00000000-0005-0000-0000-0000B00F0000}"/>
    <cellStyle name="Vírgula 2 2 4 2 6" xfId="4143" xr:uid="{00000000-0005-0000-0000-0000B10F0000}"/>
    <cellStyle name="Vírgula 2 2 4 3" xfId="1024" xr:uid="{00000000-0005-0000-0000-0000B20F0000}"/>
    <cellStyle name="Vírgula 2 2 4 4" xfId="1341" xr:uid="{00000000-0005-0000-0000-0000B30F0000}"/>
    <cellStyle name="Vírgula 2 2 4 5" xfId="1643" xr:uid="{00000000-0005-0000-0000-0000B40F0000}"/>
    <cellStyle name="Vírgula 2 2 4 6" xfId="3135" xr:uid="{00000000-0005-0000-0000-0000B50F0000}"/>
    <cellStyle name="Vírgula 2 2 4 7" xfId="3977" xr:uid="{00000000-0005-0000-0000-0000B60F0000}"/>
    <cellStyle name="Vírgula 2 2 5" xfId="578" xr:uid="{00000000-0005-0000-0000-0000B70F0000}"/>
    <cellStyle name="Vírgula 2 2 5 2" xfId="1052" xr:uid="{00000000-0005-0000-0000-0000B80F0000}"/>
    <cellStyle name="Vírgula 2 2 5 3" xfId="1371" xr:uid="{00000000-0005-0000-0000-0000B90F0000}"/>
    <cellStyle name="Vírgula 2 2 5 4" xfId="1673" xr:uid="{00000000-0005-0000-0000-0000BA0F0000}"/>
    <cellStyle name="Vírgula 2 2 5 5" xfId="3103" xr:uid="{00000000-0005-0000-0000-0000BB0F0000}"/>
    <cellStyle name="Vírgula 2 2 5 6" xfId="4011" xr:uid="{00000000-0005-0000-0000-0000BC0F0000}"/>
    <cellStyle name="Vírgula 2 2 6" xfId="597" xr:uid="{00000000-0005-0000-0000-0000BD0F0000}"/>
    <cellStyle name="Vírgula 2 2 6 2" xfId="1071" xr:uid="{00000000-0005-0000-0000-0000BE0F0000}"/>
    <cellStyle name="Vírgula 2 2 6 3" xfId="1390" xr:uid="{00000000-0005-0000-0000-0000BF0F0000}"/>
    <cellStyle name="Vírgula 2 2 6 4" xfId="1692" xr:uid="{00000000-0005-0000-0000-0000C00F0000}"/>
    <cellStyle name="Vírgula 2 2 6 5" xfId="3321" xr:uid="{00000000-0005-0000-0000-0000C10F0000}"/>
    <cellStyle name="Vírgula 2 2 6 6" xfId="4030" xr:uid="{00000000-0005-0000-0000-0000C20F0000}"/>
    <cellStyle name="Vírgula 2 2 7" xfId="740" xr:uid="{00000000-0005-0000-0000-0000C30F0000}"/>
    <cellStyle name="Vírgula 2 2 7 2" xfId="1201" xr:uid="{00000000-0005-0000-0000-0000C40F0000}"/>
    <cellStyle name="Vírgula 2 2 7 3" xfId="1526" xr:uid="{00000000-0005-0000-0000-0000C50F0000}"/>
    <cellStyle name="Vírgula 2 2 7 4" xfId="1828" xr:uid="{00000000-0005-0000-0000-0000C60F0000}"/>
    <cellStyle name="Vírgula 2 2 7 5" xfId="3379" xr:uid="{00000000-0005-0000-0000-0000C70F0000}"/>
    <cellStyle name="Vírgula 2 2 7 6" xfId="4172" xr:uid="{00000000-0005-0000-0000-0000C80F0000}"/>
    <cellStyle name="Vírgula 2 2 8" xfId="417" xr:uid="{00000000-0005-0000-0000-0000C90F0000}"/>
    <cellStyle name="Vírgula 2 2 9" xfId="921" xr:uid="{00000000-0005-0000-0000-0000CA0F0000}"/>
    <cellStyle name="Vírgula 2 3" xfId="439" xr:uid="{00000000-0005-0000-0000-0000CB0F0000}"/>
    <cellStyle name="Vírgula 2 3 2" xfId="745" xr:uid="{00000000-0005-0000-0000-0000CC0F0000}"/>
    <cellStyle name="Vírgula 20" xfId="3850" xr:uid="{00000000-0005-0000-0000-0000CD0F0000}"/>
    <cellStyle name="Vírgula 3" xfId="13" xr:uid="{00000000-0005-0000-0000-0000CE0F0000}"/>
    <cellStyle name="Vírgula 3 2" xfId="413" xr:uid="{00000000-0005-0000-0000-0000CF0F0000}"/>
    <cellStyle name="Vírgula 4" xfId="49" xr:uid="{00000000-0005-0000-0000-0000D00F0000}"/>
    <cellStyle name="Vírgula 4 2" xfId="741" xr:uid="{00000000-0005-0000-0000-0000D10F0000}"/>
    <cellStyle name="Vírgula 5" xfId="51" xr:uid="{00000000-0005-0000-0000-0000D20F0000}"/>
    <cellStyle name="Vírgula 5 10" xfId="2786" xr:uid="{00000000-0005-0000-0000-0000D30F0000}"/>
    <cellStyle name="Vírgula 5 11" xfId="3235" xr:uid="{00000000-0005-0000-0000-0000D40F0000}"/>
    <cellStyle name="Vírgula 5 12" xfId="3601" xr:uid="{00000000-0005-0000-0000-0000D50F0000}"/>
    <cellStyle name="Vírgula 5 13" xfId="3863" xr:uid="{00000000-0005-0000-0000-0000D60F0000}"/>
    <cellStyle name="Vírgula 5 14" xfId="373" xr:uid="{00000000-0005-0000-0000-0000D70F0000}"/>
    <cellStyle name="Vírgula 5 2" xfId="454" xr:uid="{00000000-0005-0000-0000-0000D80F0000}"/>
    <cellStyle name="Vírgula 5 3" xfId="441" xr:uid="{00000000-0005-0000-0000-0000D90F0000}"/>
    <cellStyle name="Vírgula 5 4" xfId="566" xr:uid="{00000000-0005-0000-0000-0000DA0F0000}"/>
    <cellStyle name="Vírgula 5 4 2" xfId="1043" xr:uid="{00000000-0005-0000-0000-0000DB0F0000}"/>
    <cellStyle name="Vírgula 5 4 3" xfId="1362" xr:uid="{00000000-0005-0000-0000-0000DC0F0000}"/>
    <cellStyle name="Vírgula 5 4 4" xfId="1664" xr:uid="{00000000-0005-0000-0000-0000DD0F0000}"/>
    <cellStyle name="Vírgula 5 4 5" xfId="3111" xr:uid="{00000000-0005-0000-0000-0000DE0F0000}"/>
    <cellStyle name="Vírgula 5 4 6" xfId="4002" xr:uid="{00000000-0005-0000-0000-0000DF0F0000}"/>
    <cellStyle name="Vírgula 5 5" xfId="588" xr:uid="{00000000-0005-0000-0000-0000E00F0000}"/>
    <cellStyle name="Vírgula 5 5 2" xfId="1062" xr:uid="{00000000-0005-0000-0000-0000E10F0000}"/>
    <cellStyle name="Vírgula 5 5 3" xfId="1381" xr:uid="{00000000-0005-0000-0000-0000E20F0000}"/>
    <cellStyle name="Vírgula 5 5 4" xfId="1683" xr:uid="{00000000-0005-0000-0000-0000E30F0000}"/>
    <cellStyle name="Vírgula 5 5 5" xfId="3093" xr:uid="{00000000-0005-0000-0000-0000E40F0000}"/>
    <cellStyle name="Vírgula 5 5 6" xfId="4021" xr:uid="{00000000-0005-0000-0000-0000E50F0000}"/>
    <cellStyle name="Vírgula 5 6" xfId="395" xr:uid="{00000000-0005-0000-0000-0000E60F0000}"/>
    <cellStyle name="Vírgula 5 7" xfId="908" xr:uid="{00000000-0005-0000-0000-0000E70F0000}"/>
    <cellStyle name="Vírgula 5 8" xfId="1223" xr:uid="{00000000-0005-0000-0000-0000E80F0000}"/>
    <cellStyle name="Vírgula 5 9" xfId="1536" xr:uid="{00000000-0005-0000-0000-0000E90F0000}"/>
    <cellStyle name="Vírgula 6" xfId="54" xr:uid="{00000000-0005-0000-0000-0000EA0F0000}"/>
    <cellStyle name="Vírgula 6 2" xfId="444" xr:uid="{00000000-0005-0000-0000-0000EB0F0000}"/>
    <cellStyle name="Vírgula 6 3" xfId="569" xr:uid="{00000000-0005-0000-0000-0000EC0F0000}"/>
    <cellStyle name="Vírgula 6 4" xfId="398" xr:uid="{00000000-0005-0000-0000-0000ED0F0000}"/>
    <cellStyle name="Vírgula 6 5" xfId="376" xr:uid="{00000000-0005-0000-0000-0000EE0F0000}"/>
    <cellStyle name="Vírgula 7" xfId="57" xr:uid="{00000000-0005-0000-0000-0000EF0F0000}"/>
    <cellStyle name="Vírgula 7 10" xfId="1226" xr:uid="{00000000-0005-0000-0000-0000F00F0000}"/>
    <cellStyle name="Vírgula 7 11" xfId="1539" xr:uid="{00000000-0005-0000-0000-0000F10F0000}"/>
    <cellStyle name="Vírgula 7 12" xfId="1953" xr:uid="{00000000-0005-0000-0000-0000F20F0000}"/>
    <cellStyle name="Vírgula 7 13" xfId="2368" xr:uid="{00000000-0005-0000-0000-0000F30F0000}"/>
    <cellStyle name="Vírgula 7 14" xfId="2598" xr:uid="{00000000-0005-0000-0000-0000F40F0000}"/>
    <cellStyle name="Vírgula 7 15" xfId="2789" xr:uid="{00000000-0005-0000-0000-0000F50F0000}"/>
    <cellStyle name="Vírgula 7 16" xfId="3257" xr:uid="{00000000-0005-0000-0000-0000F60F0000}"/>
    <cellStyle name="Vírgula 7 17" xfId="3261" xr:uid="{00000000-0005-0000-0000-0000F70F0000}"/>
    <cellStyle name="Vírgula 7 18" xfId="3590" xr:uid="{00000000-0005-0000-0000-0000F80F0000}"/>
    <cellStyle name="Vírgula 7 19" xfId="3604" xr:uid="{00000000-0005-0000-0000-0000F90F0000}"/>
    <cellStyle name="Vírgula 7 2" xfId="445" xr:uid="{00000000-0005-0000-0000-0000FA0F0000}"/>
    <cellStyle name="Vírgula 7 2 2" xfId="625" xr:uid="{00000000-0005-0000-0000-0000FB0F0000}"/>
    <cellStyle name="Vírgula 7 2 2 2" xfId="1098" xr:uid="{00000000-0005-0000-0000-0000FC0F0000}"/>
    <cellStyle name="Vírgula 7 2 2 3" xfId="1418" xr:uid="{00000000-0005-0000-0000-0000FD0F0000}"/>
    <cellStyle name="Vírgula 7 2 2 4" xfId="1720" xr:uid="{00000000-0005-0000-0000-0000FE0F0000}"/>
    <cellStyle name="Vírgula 7 2 2 5" xfId="3067" xr:uid="{00000000-0005-0000-0000-0000FF0F0000}"/>
    <cellStyle name="Vírgula 7 2 2 6" xfId="4058" xr:uid="{00000000-0005-0000-0000-000000100000}"/>
    <cellStyle name="Vírgula 7 2 3" xfId="949" xr:uid="{00000000-0005-0000-0000-000001100000}"/>
    <cellStyle name="Vírgula 7 2 4" xfId="1259" xr:uid="{00000000-0005-0000-0000-000002100000}"/>
    <cellStyle name="Vírgula 7 2 5" xfId="1574" xr:uid="{00000000-0005-0000-0000-000003100000}"/>
    <cellStyle name="Vírgula 7 2 6" xfId="2836" xr:uid="{00000000-0005-0000-0000-000004100000}"/>
    <cellStyle name="Vírgula 7 2 7" xfId="3275" xr:uid="{00000000-0005-0000-0000-000005100000}"/>
    <cellStyle name="Vírgula 7 2 8" xfId="3634" xr:uid="{00000000-0005-0000-0000-000006100000}"/>
    <cellStyle name="Vírgula 7 2 9" xfId="3897" xr:uid="{00000000-0005-0000-0000-000007100000}"/>
    <cellStyle name="Vírgula 7 20" xfId="3853" xr:uid="{00000000-0005-0000-0000-000008100000}"/>
    <cellStyle name="Vírgula 7 21" xfId="3866" xr:uid="{00000000-0005-0000-0000-000009100000}"/>
    <cellStyle name="Vírgula 7 22" xfId="379" xr:uid="{00000000-0005-0000-0000-00000A100000}"/>
    <cellStyle name="Vírgula 7 3" xfId="501" xr:uid="{00000000-0005-0000-0000-00000B100000}"/>
    <cellStyle name="Vírgula 7 3 2" xfId="677" xr:uid="{00000000-0005-0000-0000-00000C100000}"/>
    <cellStyle name="Vírgula 7 3 2 2" xfId="1144" xr:uid="{00000000-0005-0000-0000-00000D100000}"/>
    <cellStyle name="Vírgula 7 3 2 3" xfId="1467" xr:uid="{00000000-0005-0000-0000-00000E100000}"/>
    <cellStyle name="Vírgula 7 3 2 4" xfId="1769" xr:uid="{00000000-0005-0000-0000-00000F100000}"/>
    <cellStyle name="Vírgula 7 3 2 5" xfId="3013" xr:uid="{00000000-0005-0000-0000-000010100000}"/>
    <cellStyle name="Vírgula 7 3 2 6" xfId="4109" xr:uid="{00000000-0005-0000-0000-000011100000}"/>
    <cellStyle name="Vírgula 7 3 3" xfId="995" xr:uid="{00000000-0005-0000-0000-000012100000}"/>
    <cellStyle name="Vírgula 7 3 4" xfId="1309" xr:uid="{00000000-0005-0000-0000-000013100000}"/>
    <cellStyle name="Vírgula 7 3 5" xfId="1616" xr:uid="{00000000-0005-0000-0000-000014100000}"/>
    <cellStyle name="Vírgula 7 3 6" xfId="3305" xr:uid="{00000000-0005-0000-0000-000015100000}"/>
    <cellStyle name="Vírgula 7 3 7" xfId="3941" xr:uid="{00000000-0005-0000-0000-000016100000}"/>
    <cellStyle name="Vírgula 7 4" xfId="544" xr:uid="{00000000-0005-0000-0000-000017100000}"/>
    <cellStyle name="Vírgula 7 4 2" xfId="714" xr:uid="{00000000-0005-0000-0000-000018100000}"/>
    <cellStyle name="Vírgula 7 4 2 2" xfId="1175" xr:uid="{00000000-0005-0000-0000-000019100000}"/>
    <cellStyle name="Vírgula 7 4 2 3" xfId="1500" xr:uid="{00000000-0005-0000-0000-00001A100000}"/>
    <cellStyle name="Vírgula 7 4 2 4" xfId="1802" xr:uid="{00000000-0005-0000-0000-00001B100000}"/>
    <cellStyle name="Vírgula 7 4 2 5" xfId="3353" xr:uid="{00000000-0005-0000-0000-00001C100000}"/>
    <cellStyle name="Vírgula 7 4 2 6" xfId="4146" xr:uid="{00000000-0005-0000-0000-00001D100000}"/>
    <cellStyle name="Vírgula 7 4 3" xfId="1027" xr:uid="{00000000-0005-0000-0000-00001E100000}"/>
    <cellStyle name="Vírgula 7 4 4" xfId="1344" xr:uid="{00000000-0005-0000-0000-00001F100000}"/>
    <cellStyle name="Vírgula 7 4 5" xfId="1646" xr:uid="{00000000-0005-0000-0000-000020100000}"/>
    <cellStyle name="Vírgula 7 4 6" xfId="3131" xr:uid="{00000000-0005-0000-0000-000021100000}"/>
    <cellStyle name="Vírgula 7 4 7" xfId="3980" xr:uid="{00000000-0005-0000-0000-000022100000}"/>
    <cellStyle name="Vírgula 7 5" xfId="572" xr:uid="{00000000-0005-0000-0000-000023100000}"/>
    <cellStyle name="Vírgula 7 5 2" xfId="1046" xr:uid="{00000000-0005-0000-0000-000024100000}"/>
    <cellStyle name="Vírgula 7 5 3" xfId="1365" xr:uid="{00000000-0005-0000-0000-000025100000}"/>
    <cellStyle name="Vírgula 7 5 4" xfId="1667" xr:uid="{00000000-0005-0000-0000-000026100000}"/>
    <cellStyle name="Vírgula 7 5 5" xfId="3108" xr:uid="{00000000-0005-0000-0000-000027100000}"/>
    <cellStyle name="Vírgula 7 5 6" xfId="4005" xr:uid="{00000000-0005-0000-0000-000028100000}"/>
    <cellStyle name="Vírgula 7 6" xfId="591" xr:uid="{00000000-0005-0000-0000-000029100000}"/>
    <cellStyle name="Vírgula 7 6 2" xfId="1065" xr:uid="{00000000-0005-0000-0000-00002A100000}"/>
    <cellStyle name="Vírgula 7 6 3" xfId="1384" xr:uid="{00000000-0005-0000-0000-00002B100000}"/>
    <cellStyle name="Vírgula 7 6 4" xfId="1686" xr:uid="{00000000-0005-0000-0000-00002C100000}"/>
    <cellStyle name="Vírgula 7 6 5" xfId="3316" xr:uid="{00000000-0005-0000-0000-00002D100000}"/>
    <cellStyle name="Vírgula 7 6 6" xfId="4024" xr:uid="{00000000-0005-0000-0000-00002E100000}"/>
    <cellStyle name="Vírgula 7 7" xfId="742" xr:uid="{00000000-0005-0000-0000-00002F100000}"/>
    <cellStyle name="Vírgula 7 7 2" xfId="1202" xr:uid="{00000000-0005-0000-0000-000030100000}"/>
    <cellStyle name="Vírgula 7 7 3" xfId="1527" xr:uid="{00000000-0005-0000-0000-000031100000}"/>
    <cellStyle name="Vírgula 7 7 4" xfId="1829" xr:uid="{00000000-0005-0000-0000-000032100000}"/>
    <cellStyle name="Vírgula 7 7 5" xfId="3380" xr:uid="{00000000-0005-0000-0000-000033100000}"/>
    <cellStyle name="Vírgula 7 7 6" xfId="4173" xr:uid="{00000000-0005-0000-0000-000034100000}"/>
    <cellStyle name="Vírgula 7 8" xfId="401" xr:uid="{00000000-0005-0000-0000-000035100000}"/>
    <cellStyle name="Vírgula 7 9" xfId="911" xr:uid="{00000000-0005-0000-0000-000036100000}"/>
    <cellStyle name="Vírgula 8" xfId="317" xr:uid="{00000000-0005-0000-0000-000037100000}"/>
    <cellStyle name="Vírgula 8 2" xfId="318" xr:uid="{00000000-0005-0000-0000-000038100000}"/>
    <cellStyle name="Vírgula 9" xfId="446" xr:uid="{00000000-0005-0000-0000-000039100000}"/>
    <cellStyle name="Vírgula 9 10" xfId="3898" xr:uid="{00000000-0005-0000-0000-00003A100000}"/>
    <cellStyle name="Vírgula 9 2" xfId="626" xr:uid="{00000000-0005-0000-0000-00003B100000}"/>
    <cellStyle name="Vírgula 9 2 2" xfId="1099" xr:uid="{00000000-0005-0000-0000-00003C100000}"/>
    <cellStyle name="Vírgula 9 2 3" xfId="1419" xr:uid="{00000000-0005-0000-0000-00003D100000}"/>
    <cellStyle name="Vírgula 9 2 4" xfId="1721" xr:uid="{00000000-0005-0000-0000-00003E100000}"/>
    <cellStyle name="Vírgula 9 2 5" xfId="3066" xr:uid="{00000000-0005-0000-0000-00003F100000}"/>
    <cellStyle name="Vírgula 9 2 6" xfId="4059" xr:uid="{00000000-0005-0000-0000-000040100000}"/>
    <cellStyle name="Vírgula 9 3" xfId="744" xr:uid="{00000000-0005-0000-0000-000041100000}"/>
    <cellStyle name="Vírgula 9 4" xfId="950" xr:uid="{00000000-0005-0000-0000-000042100000}"/>
    <cellStyle name="Vírgula 9 5" xfId="1260" xr:uid="{00000000-0005-0000-0000-000043100000}"/>
    <cellStyle name="Vírgula 9 6" xfId="1575" xr:uid="{00000000-0005-0000-0000-000044100000}"/>
    <cellStyle name="Vírgula 9 7" xfId="2837" xr:uid="{00000000-0005-0000-0000-000045100000}"/>
    <cellStyle name="Vírgula 9 8" xfId="3276" xr:uid="{00000000-0005-0000-0000-000046100000}"/>
    <cellStyle name="Vírgula 9 9" xfId="3635" xr:uid="{00000000-0005-0000-0000-000047100000}"/>
    <cellStyle name="Warning Text" xfId="2245" xr:uid="{00000000-0005-0000-0000-000048100000}"/>
    <cellStyle name="X-ERT" xfId="319" xr:uid="{00000000-0005-0000-0000-000049100000}"/>
    <cellStyle name="X-ERTDisc" xfId="320" xr:uid="{00000000-0005-0000-0000-00004A100000}"/>
    <cellStyle name="X-ERTDisc1" xfId="321" xr:uid="{00000000-0005-0000-0000-00004B100000}"/>
    <cellStyle name="X-ERTDisc2" xfId="322" xr:uid="{00000000-0005-0000-0000-00004C100000}"/>
    <cellStyle name="X-ERTDisc6" xfId="323" xr:uid="{00000000-0005-0000-0000-00004D100000}"/>
  </cellStyles>
  <dxfs count="0"/>
  <tableStyles count="0" defaultTableStyle="TableStyleMedium2" defaultPivotStyle="PivotStyleLight16"/>
  <colors>
    <mruColors>
      <color rgb="FF515151"/>
      <color rgb="FF0A3200"/>
      <color rgb="FF006343"/>
      <color rgb="FF00B432"/>
      <color rgb="FF008A26"/>
      <color rgb="FF006E5D"/>
      <color rgb="FF008080"/>
      <color rgb="FFF5822B"/>
      <color rgb="FF4C8451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Net Debt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CF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CF'!A1"/><Relationship Id="rId11" Type="http://schemas.openxmlformats.org/officeDocument/2006/relationships/hyperlink" Target="#'02. BS'!A1"/><Relationship Id="rId5" Type="http://schemas.openxmlformats.org/officeDocument/2006/relationships/hyperlink" Target="#'09. BS'!A1"/><Relationship Id="rId15" Type="http://schemas.openxmlformats.org/officeDocument/2006/relationships/hyperlink" Target="#'06. Installed Capacity'!A1"/><Relationship Id="rId10" Type="http://schemas.openxmlformats.org/officeDocument/2006/relationships/hyperlink" Target="#'01. Income Statement'!A1"/><Relationship Id="rId4" Type="http://schemas.openxmlformats.org/officeDocument/2006/relationships/hyperlink" Target="#'08. Income Statement'!A1"/><Relationship Id="rId9" Type="http://schemas.openxmlformats.org/officeDocument/2006/relationships/hyperlink" Target="#'07. Shares'!A1"/><Relationship Id="rId14" Type="http://schemas.openxmlformats.org/officeDocument/2006/relationships/hyperlink" Target="#'05. Net Deb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0</xdr:row>
      <xdr:rowOff>158749</xdr:rowOff>
    </xdr:from>
    <xdr:to>
      <xdr:col>24</xdr:col>
      <xdr:colOff>235560</xdr:colOff>
      <xdr:row>48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42FCFC-F9CF-40C0-87C9-76A664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8618" y="158749"/>
          <a:ext cx="14622542" cy="7708901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402165</xdr:colOff>
      <xdr:row>3</xdr:row>
      <xdr:rowOff>52910</xdr:rowOff>
    </xdr:from>
    <xdr:to>
      <xdr:col>23</xdr:col>
      <xdr:colOff>328083</xdr:colOff>
      <xdr:row>48</xdr:row>
      <xdr:rowOff>105827</xdr:rowOff>
    </xdr:to>
    <xdr:pic>
      <xdr:nvPicPr>
        <xdr:cNvPr id="4" name="Imagem 3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FD02D128-F3BD-4F71-8252-ECA8EB860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402165" y="529160"/>
          <a:ext cx="14044085" cy="719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95251</xdr:colOff>
      <xdr:row>0</xdr:row>
      <xdr:rowOff>105835</xdr:rowOff>
    </xdr:from>
    <xdr:to>
      <xdr:col>14</xdr:col>
      <xdr:colOff>60623</xdr:colOff>
      <xdr:row>8</xdr:row>
      <xdr:rowOff>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EC99D5-EF11-4F68-A227-C959BBC0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6451" y="105835"/>
          <a:ext cx="2403772" cy="1189566"/>
        </a:xfrm>
        <a:prstGeom prst="rect">
          <a:avLst/>
        </a:prstGeom>
      </xdr:spPr>
    </xdr:pic>
    <xdr:clientData/>
  </xdr:two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22" name="Rectangle: Rounded Corners 4">
          <a:extLst>
            <a:ext uri="{FF2B5EF4-FFF2-40B4-BE49-F238E27FC236}">
              <a16:creationId xmlns:a16="http://schemas.microsoft.com/office/drawing/2014/main" id="{5C868CAD-6887-4ED3-9E64-49A7CFDE34B4}"/>
            </a:ext>
          </a:extLst>
        </xdr:cNvPr>
        <xdr:cNvSpPr/>
      </xdr:nvSpPr>
      <xdr:spPr>
        <a:xfrm rot="16200000" flipV="1">
          <a:off x="13930618" y="30090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23" name="Rectangle: Rounded Corners 4">
          <a:extLst>
            <a:ext uri="{FF2B5EF4-FFF2-40B4-BE49-F238E27FC236}">
              <a16:creationId xmlns:a16="http://schemas.microsoft.com/office/drawing/2014/main" id="{4130BB17-5FC8-4BC5-8968-1D843F46BFBF}"/>
            </a:ext>
          </a:extLst>
        </xdr:cNvPr>
        <xdr:cNvSpPr/>
      </xdr:nvSpPr>
      <xdr:spPr>
        <a:xfrm rot="5400000" flipV="1">
          <a:off x="10738684" y="30344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9" name="CaixaDeText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EDA30-2CF3-476C-AD4C-E291441A7D87}"/>
            </a:ext>
          </a:extLst>
        </xdr:cNvPr>
        <xdr:cNvSpPr txBox="1"/>
      </xdr:nvSpPr>
      <xdr:spPr>
        <a:xfrm>
          <a:off x="5829552" y="4479796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Income Statement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10" name="CaixaDeText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6389A-18F1-45CD-AF7F-65C27C0DC0F8}"/>
            </a:ext>
          </a:extLst>
        </xdr:cNvPr>
        <xdr:cNvSpPr txBox="1"/>
      </xdr:nvSpPr>
      <xdr:spPr>
        <a:xfrm>
          <a:off x="5829552" y="475516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Balance Sheet</a:t>
          </a:r>
        </a:p>
      </xdr:txBody>
    </xdr:sp>
    <xdr:clientData/>
  </xdr:twoCellAnchor>
  <xdr:twoCellAnchor>
    <xdr:from>
      <xdr:col>9</xdr:col>
      <xdr:colOff>305052</xdr:colOff>
      <xdr:row>31</xdr:row>
      <xdr:rowOff>115257</xdr:rowOff>
    </xdr:from>
    <xdr:to>
      <xdr:col>15</xdr:col>
      <xdr:colOff>49958</xdr:colOff>
      <xdr:row>33</xdr:row>
      <xdr:rowOff>10555</xdr:rowOff>
    </xdr:to>
    <xdr:sp macro="" textlink="">
      <xdr:nvSpPr>
        <xdr:cNvPr id="11" name="CaixaDeText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6491F7-938F-436C-A253-012A5C560953}"/>
            </a:ext>
          </a:extLst>
        </xdr:cNvPr>
        <xdr:cNvSpPr txBox="1"/>
      </xdr:nvSpPr>
      <xdr:spPr>
        <a:xfrm>
          <a:off x="5829552" y="5036507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Cash Flow Statement</a:t>
          </a: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2" name="CaixaDeText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38F693-1AED-4BED-9B73-65CDAC1250E0}"/>
            </a:ext>
          </a:extLst>
        </xdr:cNvPr>
        <xdr:cNvSpPr txBox="1"/>
      </xdr:nvSpPr>
      <xdr:spPr>
        <a:xfrm>
          <a:off x="5829552" y="53170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3" name="CaixaDeText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72B80D-7866-4E80-99E0-8F1B80700C0C}"/>
            </a:ext>
          </a:extLst>
        </xdr:cNvPr>
        <xdr:cNvSpPr txBox="1"/>
      </xdr:nvSpPr>
      <xdr:spPr>
        <a:xfrm>
          <a:off x="5829552" y="5588885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Net Debt</a:t>
          </a: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4" name="CaixaDeText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E533E25-AB56-4236-B3CA-D686BE895526}"/>
            </a:ext>
          </a:extLst>
        </xdr:cNvPr>
        <xdr:cNvSpPr txBox="1"/>
      </xdr:nvSpPr>
      <xdr:spPr>
        <a:xfrm>
          <a:off x="5829550" y="42219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Share Performance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92E3DFF5-8E34-4660-9202-2C96830DED70}"/>
            </a:ext>
          </a:extLst>
        </xdr:cNvPr>
        <xdr:cNvSpPr txBox="1"/>
      </xdr:nvSpPr>
      <xdr:spPr>
        <a:xfrm>
          <a:off x="5833790" y="388079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Parent Company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05BCDCF-B0EE-43ED-8006-5BC029ED16FE}"/>
            </a:ext>
          </a:extLst>
        </xdr:cNvPr>
        <xdr:cNvSpPr txBox="1"/>
      </xdr:nvSpPr>
      <xdr:spPr>
        <a:xfrm>
          <a:off x="13123334" y="175683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Consolidated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7" name="CaixaDeText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344BA9-F7D6-4449-855D-218CB695CF2C}"/>
            </a:ext>
          </a:extLst>
        </xdr:cNvPr>
        <xdr:cNvSpPr txBox="1"/>
      </xdr:nvSpPr>
      <xdr:spPr>
        <a:xfrm>
          <a:off x="5827159" y="20891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Income Statement</a:t>
          </a: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8" name="CaixaDeText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3D76BCC-0938-45D9-BDE0-35410650EA34}"/>
            </a:ext>
          </a:extLst>
        </xdr:cNvPr>
        <xdr:cNvSpPr txBox="1"/>
      </xdr:nvSpPr>
      <xdr:spPr>
        <a:xfrm>
          <a:off x="5827159" y="236448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Balance Sheet</a:t>
          </a:r>
        </a:p>
      </xdr:txBody>
    </xdr:sp>
    <xdr:clientData/>
  </xdr:twoCellAnchor>
  <xdr:twoCellAnchor>
    <xdr:from>
      <xdr:col>9</xdr:col>
      <xdr:colOff>302659</xdr:colOff>
      <xdr:row>16</xdr:row>
      <xdr:rowOff>105822</xdr:rowOff>
    </xdr:from>
    <xdr:to>
      <xdr:col>15</xdr:col>
      <xdr:colOff>47565</xdr:colOff>
      <xdr:row>18</xdr:row>
      <xdr:rowOff>1120</xdr:rowOff>
    </xdr:to>
    <xdr:sp macro="" textlink="">
      <xdr:nvSpPr>
        <xdr:cNvPr id="19" name="CaixaDeTexto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0B84B8-9FFF-4156-886E-0C88E47454C9}"/>
            </a:ext>
          </a:extLst>
        </xdr:cNvPr>
        <xdr:cNvSpPr txBox="1"/>
      </xdr:nvSpPr>
      <xdr:spPr>
        <a:xfrm>
          <a:off x="5827159" y="2645822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Cash Flow Statement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20" name="CaixaDeTexto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3DA7B4-5760-46D9-A2D5-5E7ADF87CB63}"/>
            </a:ext>
          </a:extLst>
        </xdr:cNvPr>
        <xdr:cNvSpPr txBox="1"/>
      </xdr:nvSpPr>
      <xdr:spPr>
        <a:xfrm>
          <a:off x="5827159" y="2926364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21" name="CaixaDeTexto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0313A58-04FD-4775-B3F9-098A2DD60840}"/>
            </a:ext>
          </a:extLst>
        </xdr:cNvPr>
        <xdr:cNvSpPr txBox="1"/>
      </xdr:nvSpPr>
      <xdr:spPr>
        <a:xfrm>
          <a:off x="5827159" y="3198200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Net Debt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7" name="CaixaDeTexto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604F4C6-6BFE-42C4-9C6A-960988269651}"/>
            </a:ext>
          </a:extLst>
        </xdr:cNvPr>
        <xdr:cNvSpPr txBox="1"/>
      </xdr:nvSpPr>
      <xdr:spPr>
        <a:xfrm>
          <a:off x="5831391" y="34480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Installed</a:t>
          </a:r>
          <a:r>
            <a:rPr lang="pt-BR" sz="1800" b="1" baseline="0">
              <a:solidFill>
                <a:srgbClr val="0A3200"/>
              </a:solidFill>
            </a:rPr>
            <a:t> Capacity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9184E-2E69-48B8-ADC8-1E4B67C4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133"/>
          <a:ext cx="2060575" cy="9856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1930400</xdr:colOff>
      <xdr:row>6</xdr:row>
      <xdr:rowOff>160190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68927-6761-47C2-A210-4BD88073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D45D3-69B0-4757-8EEA-17350C7B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7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026F5-9295-433C-A00A-10825F64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160191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FC9FE-1A3D-4C74-AAD7-D9426B5E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865ED-6B26-4F4F-A00F-588CD88A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7115F-3725-4DBC-BF71-332F34B5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42337</xdr:rowOff>
    </xdr:from>
    <xdr:to>
      <xdr:col>1</xdr:col>
      <xdr:colOff>1950508</xdr:colOff>
      <xdr:row>6</xdr:row>
      <xdr:rowOff>187711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13F71-DDEA-A307-FE70-71162BDA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7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E4253-B4CC-4FAC-B006-18052EDB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116417</xdr:rowOff>
    </xdr:from>
    <xdr:to>
      <xdr:col>1</xdr:col>
      <xdr:colOff>1950508</xdr:colOff>
      <xdr:row>6</xdr:row>
      <xdr:rowOff>180300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71BAD-7D1C-432A-9D71-D55253AF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4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2EDAF-42FA-4CAC-9D09-56D5A2FD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105834</xdr:rowOff>
    </xdr:from>
    <xdr:to>
      <xdr:col>1</xdr:col>
      <xdr:colOff>1953683</xdr:colOff>
      <xdr:row>6</xdr:row>
      <xdr:rowOff>183475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1F7B2-458C-43F8-A90E-1A3BA7B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1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5/11.Planilhas%20de%20Fundamentos/Fundamentos1T25.xlsx" TargetMode="External"/><Relationship Id="rId1" Type="http://schemas.openxmlformats.org/officeDocument/2006/relationships/externalLinkPath" Target="/sites/PortalArq/saopaulo/Holding/Defin/RI/08.Resultados/1T25/11.Planilhas%20de%20Fundamentos/Fundamentos1T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Negociação (3)"/>
      <sheetName val="Capa"/>
      <sheetName val="01. DRE"/>
      <sheetName val="02. BP"/>
      <sheetName val="03. FC"/>
      <sheetName val="04. EBITDA"/>
      <sheetName val="05. Dívida Líquida"/>
      <sheetName val="06. CI"/>
      <sheetName val="07. Ações"/>
      <sheetName val="08. DRE"/>
      <sheetName val="09. BP"/>
      <sheetName val="10. FC"/>
      <sheetName val="11. EBITDA"/>
      <sheetName val="Movimentação Empréstimos (2)"/>
      <sheetName val="Movimentação Empréstimos"/>
      <sheetName val="Ebitda (2)"/>
      <sheetName val="ações (2)"/>
      <sheetName val="Despesas por natureza"/>
      <sheetName val="grafico fluxo de caixa"/>
      <sheetName val="12. Dívida Líquida"/>
      <sheetName val="Plan3"/>
      <sheetName val="estrutura de capital"/>
      <sheetName val="Plan1"/>
    </sheetNames>
    <sheetDataSet>
      <sheetData sheetId="0"/>
      <sheetData sheetId="1"/>
      <sheetData sheetId="2"/>
      <sheetData sheetId="3">
        <row r="14">
          <cell r="C14">
            <v>773873</v>
          </cell>
        </row>
        <row r="15">
          <cell r="C15">
            <v>706902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4">
          <cell r="C14">
            <v>331051</v>
          </cell>
        </row>
        <row r="15">
          <cell r="C15">
            <v>299640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44" t="s">
        <v>87</v>
      </c>
      <c r="C4" s="76" t="s">
        <v>72</v>
      </c>
      <c r="D4" s="76" t="s">
        <v>74</v>
      </c>
      <c r="E4" s="76" t="s">
        <v>73</v>
      </c>
      <c r="I4" s="12"/>
    </row>
    <row r="5" spans="2:9" ht="12.75" customHeight="1" thickBot="1">
      <c r="B5" s="445"/>
      <c r="C5" s="77" t="s">
        <v>78</v>
      </c>
      <c r="D5" s="77" t="s">
        <v>79</v>
      </c>
      <c r="E5" s="77" t="s">
        <v>80</v>
      </c>
    </row>
    <row r="6" spans="2:9" ht="20.100000000000001" customHeight="1" thickTop="1">
      <c r="B6" s="87" t="s">
        <v>141</v>
      </c>
      <c r="C6" s="99">
        <v>5.9</v>
      </c>
      <c r="D6" s="100">
        <v>6.4</v>
      </c>
      <c r="E6" s="100">
        <v>4.4000000000000004</v>
      </c>
    </row>
    <row r="7" spans="2:9" ht="20.100000000000001" customHeight="1">
      <c r="B7" s="88" t="s">
        <v>119</v>
      </c>
      <c r="C7" s="101">
        <v>5.56</v>
      </c>
      <c r="D7" s="102">
        <v>5.25</v>
      </c>
      <c r="E7" s="102">
        <v>4.17</v>
      </c>
    </row>
    <row r="8" spans="2:9" s="94" customFormat="1" ht="20.100000000000001" customHeight="1">
      <c r="B8" s="92" t="s">
        <v>120</v>
      </c>
      <c r="C8" s="93">
        <f>C7/C6-1</f>
        <v>-5.7627118644067887E-2</v>
      </c>
      <c r="D8" s="93">
        <f>D7/D6-1</f>
        <v>-0.1796875</v>
      </c>
      <c r="E8" s="93">
        <f>E7/E6-1</f>
        <v>-5.227272727272736E-2</v>
      </c>
    </row>
    <row r="9" spans="2:9" ht="20.100000000000001" hidden="1" customHeight="1">
      <c r="B9" s="88" t="s">
        <v>86</v>
      </c>
      <c r="C9" s="89">
        <v>0.57999999999999996</v>
      </c>
      <c r="D9" s="75">
        <v>0.62</v>
      </c>
      <c r="E9" s="75">
        <v>0.51</v>
      </c>
    </row>
    <row r="10" spans="2:9" s="94" customFormat="1" ht="20.100000000000001" hidden="1" customHeight="1">
      <c r="B10" s="92" t="s">
        <v>89</v>
      </c>
      <c r="C10" s="93">
        <f>C7/C9-1</f>
        <v>8.5862068965517242</v>
      </c>
      <c r="D10" s="93">
        <f>D7/D9-1</f>
        <v>7.4677419354838719</v>
      </c>
      <c r="E10" s="93">
        <f>E7/E9-1</f>
        <v>7.1764705882352935</v>
      </c>
    </row>
    <row r="11" spans="2:9" ht="20.100000000000001" hidden="1" customHeight="1">
      <c r="B11" s="88" t="s">
        <v>90</v>
      </c>
      <c r="C11" s="101" t="e">
        <f>#REF!</f>
        <v>#REF!</v>
      </c>
      <c r="D11" s="102" t="e">
        <f>#REF!</f>
        <v>#REF!</v>
      </c>
      <c r="E11" s="102" t="e">
        <f>#REF!</f>
        <v>#REF!</v>
      </c>
    </row>
    <row r="12" spans="2:9" s="94" customFormat="1" ht="20.100000000000001" hidden="1" customHeight="1">
      <c r="B12" s="92" t="s">
        <v>91</v>
      </c>
      <c r="C12" s="93" t="e">
        <f>C7/C11-1</f>
        <v>#REF!</v>
      </c>
      <c r="D12" s="93" t="e">
        <f>D7/D11-1</f>
        <v>#REF!</v>
      </c>
      <c r="E12" s="93" t="e">
        <f>E7/E11-1</f>
        <v>#REF!</v>
      </c>
    </row>
    <row r="13" spans="2:9" ht="20.100000000000001" customHeight="1">
      <c r="B13" s="88" t="s">
        <v>127</v>
      </c>
      <c r="C13" s="101">
        <v>6</v>
      </c>
      <c r="D13" s="102">
        <v>5.9</v>
      </c>
      <c r="E13" s="101">
        <v>4.7</v>
      </c>
    </row>
    <row r="14" spans="2:9" ht="20.100000000000001" customHeight="1">
      <c r="B14" s="88" t="s">
        <v>121</v>
      </c>
      <c r="C14" s="89">
        <v>4.55</v>
      </c>
      <c r="D14" s="102">
        <v>4.8</v>
      </c>
      <c r="E14" s="89">
        <v>3.7</v>
      </c>
    </row>
    <row r="15" spans="2:9" ht="20.100000000000001" hidden="1" customHeight="1">
      <c r="B15" s="88" t="s">
        <v>84</v>
      </c>
      <c r="C15" s="75" t="s">
        <v>98</v>
      </c>
      <c r="D15" s="75" t="s">
        <v>99</v>
      </c>
      <c r="E15" s="75" t="s">
        <v>100</v>
      </c>
    </row>
    <row r="16" spans="2:9" ht="20.100000000000001" customHeight="1">
      <c r="B16" s="88" t="s">
        <v>122</v>
      </c>
      <c r="C16" s="75" t="s">
        <v>124</v>
      </c>
      <c r="D16" s="75" t="s">
        <v>125</v>
      </c>
      <c r="E16" s="75" t="s">
        <v>126</v>
      </c>
    </row>
    <row r="17" spans="2:5" ht="20.100000000000001" customHeight="1">
      <c r="B17" s="88" t="s">
        <v>101</v>
      </c>
      <c r="C17" s="75" t="s">
        <v>98</v>
      </c>
      <c r="D17" s="75" t="s">
        <v>99</v>
      </c>
      <c r="E17" s="75" t="s">
        <v>100</v>
      </c>
    </row>
    <row r="18" spans="2:5" ht="20.100000000000001" customHeight="1">
      <c r="B18" s="88" t="s">
        <v>123</v>
      </c>
      <c r="C18" s="90">
        <v>17369.475409836065</v>
      </c>
      <c r="D18" s="90">
        <v>4841.9016393442625</v>
      </c>
      <c r="E18" s="91">
        <v>168249.06557377049</v>
      </c>
    </row>
    <row r="19" spans="2:5" ht="20.100000000000001" customHeight="1">
      <c r="B19" s="88" t="s">
        <v>117</v>
      </c>
      <c r="C19" s="90">
        <v>15228.104838709678</v>
      </c>
      <c r="D19" s="90">
        <v>30078.584677419356</v>
      </c>
      <c r="E19" s="91">
        <v>355732.48790322582</v>
      </c>
    </row>
    <row r="20" spans="2:5" ht="20.100000000000001" hidden="1" customHeight="1">
      <c r="B20" s="88" t="s">
        <v>92</v>
      </c>
      <c r="C20" s="90">
        <v>12704</v>
      </c>
      <c r="D20" s="90">
        <v>34920</v>
      </c>
      <c r="E20" s="91">
        <v>369264</v>
      </c>
    </row>
    <row r="21" spans="2:5" ht="20.100000000000001" hidden="1" customHeight="1">
      <c r="B21" s="88" t="s">
        <v>85</v>
      </c>
      <c r="C21" s="90">
        <v>30000</v>
      </c>
      <c r="D21" s="90">
        <v>38588</v>
      </c>
      <c r="E21" s="91">
        <v>451819</v>
      </c>
    </row>
    <row r="22" spans="2:5" ht="19.5" customHeight="1">
      <c r="B22" s="86" t="s">
        <v>83</v>
      </c>
    </row>
    <row r="23" spans="2:5" ht="21" customHeight="1">
      <c r="B23" s="95" t="s">
        <v>102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45"/>
    <col min="2" max="2" width="37.7109375" style="145" customWidth="1"/>
    <col min="3" max="3" width="12.7109375" style="145" customWidth="1"/>
    <col min="4" max="4" width="12.7109375" style="146" customWidth="1"/>
    <col min="5" max="5" width="12.7109375" style="145" customWidth="1"/>
    <col min="6" max="6" width="12.7109375" style="146" customWidth="1"/>
    <col min="7" max="9" width="12.7109375" style="145" customWidth="1"/>
    <col min="10" max="257" width="9.140625" style="145"/>
    <col min="258" max="258" width="37.7109375" style="145" customWidth="1"/>
    <col min="259" max="265" width="12.7109375" style="145" customWidth="1"/>
    <col min="266" max="513" width="9.140625" style="145"/>
    <col min="514" max="514" width="37.7109375" style="145" customWidth="1"/>
    <col min="515" max="521" width="12.7109375" style="145" customWidth="1"/>
    <col min="522" max="769" width="9.140625" style="145"/>
    <col min="770" max="770" width="37.7109375" style="145" customWidth="1"/>
    <col min="771" max="777" width="12.7109375" style="145" customWidth="1"/>
    <col min="778" max="1025" width="9.140625" style="145"/>
    <col min="1026" max="1026" width="37.7109375" style="145" customWidth="1"/>
    <col min="1027" max="1033" width="12.7109375" style="145" customWidth="1"/>
    <col min="1034" max="1281" width="9.140625" style="145"/>
    <col min="1282" max="1282" width="37.7109375" style="145" customWidth="1"/>
    <col min="1283" max="1289" width="12.7109375" style="145" customWidth="1"/>
    <col min="1290" max="1537" width="9.140625" style="145"/>
    <col min="1538" max="1538" width="37.7109375" style="145" customWidth="1"/>
    <col min="1539" max="1545" width="12.7109375" style="145" customWidth="1"/>
    <col min="1546" max="1793" width="9.140625" style="145"/>
    <col min="1794" max="1794" width="37.7109375" style="145" customWidth="1"/>
    <col min="1795" max="1801" width="12.7109375" style="145" customWidth="1"/>
    <col min="1802" max="2049" width="9.140625" style="145"/>
    <col min="2050" max="2050" width="37.7109375" style="145" customWidth="1"/>
    <col min="2051" max="2057" width="12.7109375" style="145" customWidth="1"/>
    <col min="2058" max="2305" width="9.140625" style="145"/>
    <col min="2306" max="2306" width="37.7109375" style="145" customWidth="1"/>
    <col min="2307" max="2313" width="12.7109375" style="145" customWidth="1"/>
    <col min="2314" max="2561" width="9.140625" style="145"/>
    <col min="2562" max="2562" width="37.7109375" style="145" customWidth="1"/>
    <col min="2563" max="2569" width="12.7109375" style="145" customWidth="1"/>
    <col min="2570" max="2817" width="9.140625" style="145"/>
    <col min="2818" max="2818" width="37.7109375" style="145" customWidth="1"/>
    <col min="2819" max="2825" width="12.7109375" style="145" customWidth="1"/>
    <col min="2826" max="3073" width="9.140625" style="145"/>
    <col min="3074" max="3074" width="37.7109375" style="145" customWidth="1"/>
    <col min="3075" max="3081" width="12.7109375" style="145" customWidth="1"/>
    <col min="3082" max="3329" width="9.140625" style="145"/>
    <col min="3330" max="3330" width="37.7109375" style="145" customWidth="1"/>
    <col min="3331" max="3337" width="12.7109375" style="145" customWidth="1"/>
    <col min="3338" max="3585" width="9.140625" style="145"/>
    <col min="3586" max="3586" width="37.7109375" style="145" customWidth="1"/>
    <col min="3587" max="3593" width="12.7109375" style="145" customWidth="1"/>
    <col min="3594" max="3841" width="9.140625" style="145"/>
    <col min="3842" max="3842" width="37.7109375" style="145" customWidth="1"/>
    <col min="3843" max="3849" width="12.7109375" style="145" customWidth="1"/>
    <col min="3850" max="4097" width="9.140625" style="145"/>
    <col min="4098" max="4098" width="37.7109375" style="145" customWidth="1"/>
    <col min="4099" max="4105" width="12.7109375" style="145" customWidth="1"/>
    <col min="4106" max="4353" width="9.140625" style="145"/>
    <col min="4354" max="4354" width="37.7109375" style="145" customWidth="1"/>
    <col min="4355" max="4361" width="12.7109375" style="145" customWidth="1"/>
    <col min="4362" max="4609" width="9.140625" style="145"/>
    <col min="4610" max="4610" width="37.7109375" style="145" customWidth="1"/>
    <col min="4611" max="4617" width="12.7109375" style="145" customWidth="1"/>
    <col min="4618" max="4865" width="9.140625" style="145"/>
    <col min="4866" max="4866" width="37.7109375" style="145" customWidth="1"/>
    <col min="4867" max="4873" width="12.7109375" style="145" customWidth="1"/>
    <col min="4874" max="5121" width="9.140625" style="145"/>
    <col min="5122" max="5122" width="37.7109375" style="145" customWidth="1"/>
    <col min="5123" max="5129" width="12.7109375" style="145" customWidth="1"/>
    <col min="5130" max="5377" width="9.140625" style="145"/>
    <col min="5378" max="5378" width="37.7109375" style="145" customWidth="1"/>
    <col min="5379" max="5385" width="12.7109375" style="145" customWidth="1"/>
    <col min="5386" max="5633" width="9.140625" style="145"/>
    <col min="5634" max="5634" width="37.7109375" style="145" customWidth="1"/>
    <col min="5635" max="5641" width="12.7109375" style="145" customWidth="1"/>
    <col min="5642" max="5889" width="9.140625" style="145"/>
    <col min="5890" max="5890" width="37.7109375" style="145" customWidth="1"/>
    <col min="5891" max="5897" width="12.7109375" style="145" customWidth="1"/>
    <col min="5898" max="6145" width="9.140625" style="145"/>
    <col min="6146" max="6146" width="37.7109375" style="145" customWidth="1"/>
    <col min="6147" max="6153" width="12.7109375" style="145" customWidth="1"/>
    <col min="6154" max="6401" width="9.140625" style="145"/>
    <col min="6402" max="6402" width="37.7109375" style="145" customWidth="1"/>
    <col min="6403" max="6409" width="12.7109375" style="145" customWidth="1"/>
    <col min="6410" max="6657" width="9.140625" style="145"/>
    <col min="6658" max="6658" width="37.7109375" style="145" customWidth="1"/>
    <col min="6659" max="6665" width="12.7109375" style="145" customWidth="1"/>
    <col min="6666" max="6913" width="9.140625" style="145"/>
    <col min="6914" max="6914" width="37.7109375" style="145" customWidth="1"/>
    <col min="6915" max="6921" width="12.7109375" style="145" customWidth="1"/>
    <col min="6922" max="7169" width="9.140625" style="145"/>
    <col min="7170" max="7170" width="37.7109375" style="145" customWidth="1"/>
    <col min="7171" max="7177" width="12.7109375" style="145" customWidth="1"/>
    <col min="7178" max="7425" width="9.140625" style="145"/>
    <col min="7426" max="7426" width="37.7109375" style="145" customWidth="1"/>
    <col min="7427" max="7433" width="12.7109375" style="145" customWidth="1"/>
    <col min="7434" max="7681" width="9.140625" style="145"/>
    <col min="7682" max="7682" width="37.7109375" style="145" customWidth="1"/>
    <col min="7683" max="7689" width="12.7109375" style="145" customWidth="1"/>
    <col min="7690" max="7937" width="9.140625" style="145"/>
    <col min="7938" max="7938" width="37.7109375" style="145" customWidth="1"/>
    <col min="7939" max="7945" width="12.7109375" style="145" customWidth="1"/>
    <col min="7946" max="8193" width="9.140625" style="145"/>
    <col min="8194" max="8194" width="37.7109375" style="145" customWidth="1"/>
    <col min="8195" max="8201" width="12.7109375" style="145" customWidth="1"/>
    <col min="8202" max="8449" width="9.140625" style="145"/>
    <col min="8450" max="8450" width="37.7109375" style="145" customWidth="1"/>
    <col min="8451" max="8457" width="12.7109375" style="145" customWidth="1"/>
    <col min="8458" max="8705" width="9.140625" style="145"/>
    <col min="8706" max="8706" width="37.7109375" style="145" customWidth="1"/>
    <col min="8707" max="8713" width="12.7109375" style="145" customWidth="1"/>
    <col min="8714" max="8961" width="9.140625" style="145"/>
    <col min="8962" max="8962" width="37.7109375" style="145" customWidth="1"/>
    <col min="8963" max="8969" width="12.7109375" style="145" customWidth="1"/>
    <col min="8970" max="9217" width="9.140625" style="145"/>
    <col min="9218" max="9218" width="37.7109375" style="145" customWidth="1"/>
    <col min="9219" max="9225" width="12.7109375" style="145" customWidth="1"/>
    <col min="9226" max="9473" width="9.140625" style="145"/>
    <col min="9474" max="9474" width="37.7109375" style="145" customWidth="1"/>
    <col min="9475" max="9481" width="12.7109375" style="145" customWidth="1"/>
    <col min="9482" max="9729" width="9.140625" style="145"/>
    <col min="9730" max="9730" width="37.7109375" style="145" customWidth="1"/>
    <col min="9731" max="9737" width="12.7109375" style="145" customWidth="1"/>
    <col min="9738" max="9985" width="9.140625" style="145"/>
    <col min="9986" max="9986" width="37.7109375" style="145" customWidth="1"/>
    <col min="9987" max="9993" width="12.7109375" style="145" customWidth="1"/>
    <col min="9994" max="10241" width="9.140625" style="145"/>
    <col min="10242" max="10242" width="37.7109375" style="145" customWidth="1"/>
    <col min="10243" max="10249" width="12.7109375" style="145" customWidth="1"/>
    <col min="10250" max="10497" width="9.140625" style="145"/>
    <col min="10498" max="10498" width="37.7109375" style="145" customWidth="1"/>
    <col min="10499" max="10505" width="12.7109375" style="145" customWidth="1"/>
    <col min="10506" max="10753" width="9.140625" style="145"/>
    <col min="10754" max="10754" width="37.7109375" style="145" customWidth="1"/>
    <col min="10755" max="10761" width="12.7109375" style="145" customWidth="1"/>
    <col min="10762" max="11009" width="9.140625" style="145"/>
    <col min="11010" max="11010" width="37.7109375" style="145" customWidth="1"/>
    <col min="11011" max="11017" width="12.7109375" style="145" customWidth="1"/>
    <col min="11018" max="11265" width="9.140625" style="145"/>
    <col min="11266" max="11266" width="37.7109375" style="145" customWidth="1"/>
    <col min="11267" max="11273" width="12.7109375" style="145" customWidth="1"/>
    <col min="11274" max="11521" width="9.140625" style="145"/>
    <col min="11522" max="11522" width="37.7109375" style="145" customWidth="1"/>
    <col min="11523" max="11529" width="12.7109375" style="145" customWidth="1"/>
    <col min="11530" max="11777" width="9.140625" style="145"/>
    <col min="11778" max="11778" width="37.7109375" style="145" customWidth="1"/>
    <col min="11779" max="11785" width="12.7109375" style="145" customWidth="1"/>
    <col min="11786" max="12033" width="9.140625" style="145"/>
    <col min="12034" max="12034" width="37.7109375" style="145" customWidth="1"/>
    <col min="12035" max="12041" width="12.7109375" style="145" customWidth="1"/>
    <col min="12042" max="12289" width="9.140625" style="145"/>
    <col min="12290" max="12290" width="37.7109375" style="145" customWidth="1"/>
    <col min="12291" max="12297" width="12.7109375" style="145" customWidth="1"/>
    <col min="12298" max="12545" width="9.140625" style="145"/>
    <col min="12546" max="12546" width="37.7109375" style="145" customWidth="1"/>
    <col min="12547" max="12553" width="12.7109375" style="145" customWidth="1"/>
    <col min="12554" max="12801" width="9.140625" style="145"/>
    <col min="12802" max="12802" width="37.7109375" style="145" customWidth="1"/>
    <col min="12803" max="12809" width="12.7109375" style="145" customWidth="1"/>
    <col min="12810" max="13057" width="9.140625" style="145"/>
    <col min="13058" max="13058" width="37.7109375" style="145" customWidth="1"/>
    <col min="13059" max="13065" width="12.7109375" style="145" customWidth="1"/>
    <col min="13066" max="13313" width="9.140625" style="145"/>
    <col min="13314" max="13314" width="37.7109375" style="145" customWidth="1"/>
    <col min="13315" max="13321" width="12.7109375" style="145" customWidth="1"/>
    <col min="13322" max="13569" width="9.140625" style="145"/>
    <col min="13570" max="13570" width="37.7109375" style="145" customWidth="1"/>
    <col min="13571" max="13577" width="12.7109375" style="145" customWidth="1"/>
    <col min="13578" max="13825" width="9.140625" style="145"/>
    <col min="13826" max="13826" width="37.7109375" style="145" customWidth="1"/>
    <col min="13827" max="13833" width="12.7109375" style="145" customWidth="1"/>
    <col min="13834" max="14081" width="9.140625" style="145"/>
    <col min="14082" max="14082" width="37.7109375" style="145" customWidth="1"/>
    <col min="14083" max="14089" width="12.7109375" style="145" customWidth="1"/>
    <col min="14090" max="14337" width="9.140625" style="145"/>
    <col min="14338" max="14338" width="37.7109375" style="145" customWidth="1"/>
    <col min="14339" max="14345" width="12.7109375" style="145" customWidth="1"/>
    <col min="14346" max="14593" width="9.140625" style="145"/>
    <col min="14594" max="14594" width="37.7109375" style="145" customWidth="1"/>
    <col min="14595" max="14601" width="12.7109375" style="145" customWidth="1"/>
    <col min="14602" max="14849" width="9.140625" style="145"/>
    <col min="14850" max="14850" width="37.7109375" style="145" customWidth="1"/>
    <col min="14851" max="14857" width="12.7109375" style="145" customWidth="1"/>
    <col min="14858" max="15105" width="9.140625" style="145"/>
    <col min="15106" max="15106" width="37.7109375" style="145" customWidth="1"/>
    <col min="15107" max="15113" width="12.7109375" style="145" customWidth="1"/>
    <col min="15114" max="15361" width="9.140625" style="145"/>
    <col min="15362" max="15362" width="37.7109375" style="145" customWidth="1"/>
    <col min="15363" max="15369" width="12.7109375" style="145" customWidth="1"/>
    <col min="15370" max="15617" width="9.140625" style="145"/>
    <col min="15618" max="15618" width="37.7109375" style="145" customWidth="1"/>
    <col min="15619" max="15625" width="12.7109375" style="145" customWidth="1"/>
    <col min="15626" max="15873" width="9.140625" style="145"/>
    <col min="15874" max="15874" width="37.7109375" style="145" customWidth="1"/>
    <col min="15875" max="15881" width="12.7109375" style="145" customWidth="1"/>
    <col min="15882" max="16129" width="9.140625" style="145"/>
    <col min="16130" max="16130" width="37.7109375" style="145" customWidth="1"/>
    <col min="16131" max="16137" width="12.7109375" style="145" customWidth="1"/>
    <col min="16138" max="16384" width="9.140625" style="145"/>
  </cols>
  <sheetData>
    <row r="1" spans="2:8" ht="20.100000000000001" customHeight="1"/>
    <row r="2" spans="2:8" ht="20.100000000000001" customHeight="1">
      <c r="B2" s="147" t="s">
        <v>128</v>
      </c>
      <c r="C2" s="148" t="s">
        <v>118</v>
      </c>
      <c r="D2" s="147" t="s">
        <v>129</v>
      </c>
      <c r="E2" s="149" t="s">
        <v>93</v>
      </c>
      <c r="F2" s="147" t="s">
        <v>129</v>
      </c>
      <c r="G2" s="149" t="s">
        <v>5</v>
      </c>
      <c r="H2" s="149" t="s">
        <v>129</v>
      </c>
    </row>
    <row r="3" spans="2:8" ht="20.100000000000001" customHeight="1">
      <c r="B3" s="50" t="s">
        <v>130</v>
      </c>
      <c r="C3" s="173">
        <f>310735+648912</f>
        <v>959647</v>
      </c>
      <c r="D3" s="174">
        <f>C3/C5*100</f>
        <v>54.826006227325962</v>
      </c>
      <c r="E3" s="175">
        <f>286026+562675</f>
        <v>848701</v>
      </c>
      <c r="F3" s="174">
        <f>E3/E5*100</f>
        <v>52.209408263311786</v>
      </c>
      <c r="G3" s="175">
        <f>269276+653560</f>
        <v>922836</v>
      </c>
      <c r="H3" s="174">
        <f>G3/G5*100</f>
        <v>54.433843458667461</v>
      </c>
    </row>
    <row r="4" spans="2:8" ht="20.100000000000001" customHeight="1">
      <c r="B4" s="50" t="s">
        <v>131</v>
      </c>
      <c r="C4" s="173">
        <v>790703</v>
      </c>
      <c r="D4" s="176">
        <f>C4/C5*100</f>
        <v>45.173993772674038</v>
      </c>
      <c r="E4" s="173">
        <v>776870</v>
      </c>
      <c r="F4" s="176">
        <f>E4/E5*100</f>
        <v>47.790591736688214</v>
      </c>
      <c r="G4" s="173">
        <v>772499</v>
      </c>
      <c r="H4" s="176">
        <f>G4/G5*100</f>
        <v>45.566156541332539</v>
      </c>
    </row>
    <row r="5" spans="2:8" ht="20.100000000000001" customHeight="1">
      <c r="B5" s="172" t="s">
        <v>132</v>
      </c>
      <c r="C5" s="177">
        <f>SUM(C3:C4)</f>
        <v>1750350</v>
      </c>
      <c r="D5" s="178">
        <f>C5/C5*100</f>
        <v>100</v>
      </c>
      <c r="E5" s="177">
        <v>1625571</v>
      </c>
      <c r="F5" s="178">
        <f>E5/E5*100</f>
        <v>100</v>
      </c>
      <c r="G5" s="177">
        <f>SUM(G3:G4)</f>
        <v>1695335</v>
      </c>
      <c r="H5" s="178">
        <f>G5/G5*100</f>
        <v>100</v>
      </c>
    </row>
    <row r="6" spans="2:8" ht="20.100000000000001" customHeight="1">
      <c r="B6" s="158"/>
      <c r="C6" s="158"/>
      <c r="D6" s="159"/>
      <c r="E6" s="160"/>
      <c r="F6" s="161"/>
      <c r="G6" s="158"/>
      <c r="H6" s="158"/>
    </row>
    <row r="7" spans="2:8">
      <c r="B7" s="162"/>
      <c r="C7" s="163"/>
      <c r="D7" s="164"/>
      <c r="E7" s="163"/>
      <c r="F7" s="164"/>
    </row>
    <row r="8" spans="2:8" ht="13.5" customHeight="1">
      <c r="B8" s="147" t="s">
        <v>133</v>
      </c>
      <c r="C8" s="148">
        <v>2014</v>
      </c>
      <c r="D8" s="147" t="s">
        <v>129</v>
      </c>
      <c r="E8" s="149">
        <v>2013</v>
      </c>
      <c r="F8" s="147" t="s">
        <v>129</v>
      </c>
      <c r="G8" s="149">
        <v>2012</v>
      </c>
      <c r="H8" s="149" t="s">
        <v>129</v>
      </c>
    </row>
    <row r="9" spans="2:8" ht="13.5" customHeight="1">
      <c r="B9" s="165" t="s">
        <v>134</v>
      </c>
      <c r="C9" s="150">
        <v>650203</v>
      </c>
      <c r="D9" s="151">
        <f>C9/C11*100</f>
        <v>45.124595219951892</v>
      </c>
      <c r="E9" s="152">
        <v>740816</v>
      </c>
      <c r="F9" s="151">
        <f>E9/E11*100</f>
        <v>48.812204896137935</v>
      </c>
      <c r="G9" s="152">
        <v>219151</v>
      </c>
      <c r="H9" s="151">
        <f>G9/G11*100</f>
        <v>22.099631926587001</v>
      </c>
    </row>
    <row r="10" spans="2:8" ht="13.5" customHeight="1">
      <c r="B10" s="153" t="s">
        <v>131</v>
      </c>
      <c r="C10" s="150">
        <f>C4</f>
        <v>790703</v>
      </c>
      <c r="D10" s="154">
        <f>C10/C11*100</f>
        <v>54.875404780048108</v>
      </c>
      <c r="E10" s="150">
        <f>E4</f>
        <v>776870</v>
      </c>
      <c r="F10" s="154">
        <f>E10/E11*100</f>
        <v>51.187795103862065</v>
      </c>
      <c r="G10" s="150">
        <f>G4</f>
        <v>772499</v>
      </c>
      <c r="H10" s="154">
        <f>G10/G11*100</f>
        <v>77.900368073412992</v>
      </c>
    </row>
    <row r="11" spans="2:8" ht="13.5" customHeight="1">
      <c r="B11" s="155" t="s">
        <v>135</v>
      </c>
      <c r="C11" s="156">
        <f>SUM(C9:C10)</f>
        <v>1440906</v>
      </c>
      <c r="D11" s="157">
        <f>C11/C11*100</f>
        <v>100</v>
      </c>
      <c r="E11" s="156">
        <f>SUM(E9:E10)</f>
        <v>1517686</v>
      </c>
      <c r="F11" s="157">
        <f>E11/E11*100</f>
        <v>100</v>
      </c>
      <c r="G11" s="156">
        <f>SUM(G9:G10)</f>
        <v>991650</v>
      </c>
      <c r="H11" s="157">
        <f>G11/G11*100</f>
        <v>100</v>
      </c>
    </row>
    <row r="12" spans="2:8">
      <c r="B12" s="158"/>
      <c r="C12" s="158"/>
      <c r="D12" s="159"/>
      <c r="E12" s="160"/>
      <c r="F12" s="161"/>
      <c r="G12" s="158"/>
      <c r="H12" s="158"/>
    </row>
    <row r="16" spans="2:8">
      <c r="B16" s="147" t="s">
        <v>136</v>
      </c>
      <c r="C16" s="148">
        <v>2014</v>
      </c>
      <c r="D16" s="147" t="s">
        <v>129</v>
      </c>
      <c r="E16" s="149">
        <v>2013</v>
      </c>
      <c r="F16" s="147" t="s">
        <v>129</v>
      </c>
      <c r="G16" s="149">
        <v>2012</v>
      </c>
      <c r="H16" s="149" t="s">
        <v>129</v>
      </c>
    </row>
    <row r="17" spans="2:8">
      <c r="B17" s="165" t="s">
        <v>137</v>
      </c>
      <c r="C17" s="166">
        <v>286026</v>
      </c>
      <c r="D17" s="167">
        <f t="shared" ref="D17:D23" si="0">C17/$C$23*100</f>
        <v>33.701621654740599</v>
      </c>
      <c r="E17" s="168">
        <v>248007</v>
      </c>
      <c r="F17" s="167">
        <f t="shared" ref="F17:F22" si="1">E17/$E$23*100</f>
        <v>27.308854425891589</v>
      </c>
      <c r="G17" s="168">
        <v>118190</v>
      </c>
      <c r="H17" s="167">
        <f t="shared" ref="H17:H22" si="2">G17/$G$23*100</f>
        <v>50.821074900778719</v>
      </c>
    </row>
    <row r="18" spans="2:8">
      <c r="B18" s="169" t="s">
        <v>138</v>
      </c>
      <c r="C18" s="150">
        <v>182505</v>
      </c>
      <c r="D18" s="151">
        <f t="shared" si="0"/>
        <v>21.504039703028511</v>
      </c>
      <c r="E18" s="152">
        <v>149482</v>
      </c>
      <c r="F18" s="151">
        <f t="shared" si="1"/>
        <v>16.45994740991636</v>
      </c>
      <c r="G18" s="152">
        <v>107624</v>
      </c>
      <c r="H18" s="151">
        <f t="shared" si="2"/>
        <v>46.277750783665361</v>
      </c>
    </row>
    <row r="19" spans="2:8">
      <c r="B19" s="169" t="s">
        <v>30</v>
      </c>
      <c r="C19" s="150">
        <f>C17-C18</f>
        <v>103521</v>
      </c>
      <c r="D19" s="151">
        <f t="shared" si="0"/>
        <v>12.197581951712086</v>
      </c>
      <c r="E19" s="152">
        <f>E17-E18</f>
        <v>98525</v>
      </c>
      <c r="F19" s="151">
        <f t="shared" si="1"/>
        <v>10.848907015975229</v>
      </c>
      <c r="G19" s="152">
        <f>G17-G18</f>
        <v>10566</v>
      </c>
      <c r="H19" s="151">
        <f t="shared" si="2"/>
        <v>4.5433241171133592</v>
      </c>
    </row>
    <row r="20" spans="2:8">
      <c r="B20" s="165" t="s">
        <v>139</v>
      </c>
      <c r="C20" s="166">
        <v>562675</v>
      </c>
      <c r="D20" s="167">
        <f t="shared" si="0"/>
        <v>66.298378345259408</v>
      </c>
      <c r="E20" s="168">
        <v>660149</v>
      </c>
      <c r="F20" s="167">
        <f t="shared" si="1"/>
        <v>72.691145574108418</v>
      </c>
      <c r="G20" s="168">
        <v>114371</v>
      </c>
      <c r="H20" s="167">
        <f t="shared" si="2"/>
        <v>49.178925099221281</v>
      </c>
    </row>
    <row r="21" spans="2:8">
      <c r="B21" s="169" t="s">
        <v>138</v>
      </c>
      <c r="C21" s="150">
        <v>467698</v>
      </c>
      <c r="D21" s="151">
        <f t="shared" si="0"/>
        <v>55.107511361480668</v>
      </c>
      <c r="E21" s="152">
        <v>591334</v>
      </c>
      <c r="F21" s="151">
        <f t="shared" si="1"/>
        <v>65.113702932095364</v>
      </c>
      <c r="G21" s="152">
        <v>111527</v>
      </c>
      <c r="H21" s="151">
        <f t="shared" si="2"/>
        <v>47.956020140952269</v>
      </c>
    </row>
    <row r="22" spans="2:8">
      <c r="B22" s="169" t="s">
        <v>30</v>
      </c>
      <c r="C22" s="150">
        <f>C20-C21</f>
        <v>94977</v>
      </c>
      <c r="D22" s="151">
        <f t="shared" si="0"/>
        <v>11.19086698377874</v>
      </c>
      <c r="E22" s="152">
        <f>E20-E21</f>
        <v>68815</v>
      </c>
      <c r="F22" s="151">
        <f t="shared" si="1"/>
        <v>7.5774426420130467</v>
      </c>
      <c r="G22" s="152">
        <f>G20-G21</f>
        <v>2844</v>
      </c>
      <c r="H22" s="151">
        <f t="shared" si="2"/>
        <v>1.2229049582690132</v>
      </c>
    </row>
    <row r="23" spans="2:8">
      <c r="B23" s="155" t="s">
        <v>140</v>
      </c>
      <c r="C23" s="170">
        <f>C20+C17</f>
        <v>848701</v>
      </c>
      <c r="D23" s="171">
        <f t="shared" si="0"/>
        <v>100</v>
      </c>
      <c r="E23" s="170">
        <f>E20+E17</f>
        <v>908156</v>
      </c>
      <c r="F23" s="171">
        <f>E23/E23*100</f>
        <v>100</v>
      </c>
      <c r="G23" s="170">
        <f>G20+G17</f>
        <v>232561</v>
      </c>
      <c r="H23" s="171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S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181" customWidth="1"/>
    <col min="2" max="2" width="66.7109375" style="181" customWidth="1"/>
    <col min="3" max="3" width="12.28515625" style="181" bestFit="1" customWidth="1"/>
    <col min="4" max="4" width="11.5703125" style="181" customWidth="1"/>
    <col min="5" max="7" width="12.28515625" style="181" bestFit="1" customWidth="1"/>
    <col min="8" max="9" width="11.5703125" style="181" customWidth="1"/>
    <col min="10" max="13" width="12.28515625" style="181" bestFit="1" customWidth="1"/>
    <col min="14" max="14" width="11.5703125" style="181" customWidth="1"/>
    <col min="15" max="18" width="12.28515625" style="181" bestFit="1" customWidth="1"/>
    <col min="19" max="19" width="11.85546875" style="181" bestFit="1" customWidth="1"/>
    <col min="20" max="22" width="12.28515625" style="181" bestFit="1" customWidth="1"/>
    <col min="23" max="24" width="11.85546875" style="181" bestFit="1" customWidth="1"/>
    <col min="25" max="25" width="12.28515625" style="181" bestFit="1" customWidth="1"/>
    <col min="26" max="27" width="11.85546875" style="181" bestFit="1" customWidth="1"/>
    <col min="28" max="28" width="10.7109375" style="181" customWidth="1"/>
    <col min="29" max="29" width="11.85546875" style="181" bestFit="1" customWidth="1"/>
    <col min="30" max="30" width="12.28515625" style="181" bestFit="1" customWidth="1"/>
    <col min="31" max="31" width="11.7109375" style="181" customWidth="1"/>
    <col min="32" max="34" width="10.7109375" style="181" customWidth="1"/>
    <col min="35" max="35" width="12.28515625" style="181" bestFit="1" customWidth="1"/>
    <col min="36" max="36" width="10.85546875" style="181" customWidth="1"/>
    <col min="37" max="37" width="11.85546875" style="181" customWidth="1"/>
    <col min="38" max="39" width="11.85546875" style="183" bestFit="1" customWidth="1"/>
    <col min="40" max="40" width="12.28515625" style="181" bestFit="1" customWidth="1"/>
    <col min="41" max="41" width="11.7109375" style="183" customWidth="1"/>
    <col min="42" max="42" width="11.85546875" style="183" bestFit="1" customWidth="1"/>
    <col min="43" max="44" width="10.5703125" style="183" bestFit="1" customWidth="1"/>
    <col min="45" max="45" width="11.85546875" style="181" bestFit="1" customWidth="1"/>
    <col min="46" max="16384" width="9.140625" style="184"/>
  </cols>
  <sheetData>
    <row r="1" spans="1:45" ht="9" customHeight="1">
      <c r="AL1" s="182"/>
    </row>
    <row r="2" spans="1:45">
      <c r="AL2" s="182"/>
    </row>
    <row r="3" spans="1:45">
      <c r="AL3" s="182"/>
      <c r="AM3" s="185"/>
      <c r="AQ3" s="185"/>
    </row>
    <row r="4" spans="1:4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6"/>
      <c r="AM4" s="187"/>
      <c r="AN4" s="183"/>
      <c r="AQ4" s="187"/>
      <c r="AS4" s="183"/>
    </row>
    <row r="5" spans="1:45" ht="15" customHeight="1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6"/>
      <c r="AM5" s="187"/>
      <c r="AN5" s="183"/>
      <c r="AQ5" s="187"/>
      <c r="AS5" s="183"/>
    </row>
    <row r="6" spans="1:45" ht="23.2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2"/>
      <c r="AM6" s="185"/>
      <c r="AN6" s="188"/>
      <c r="AQ6" s="185"/>
      <c r="AS6" s="188"/>
    </row>
    <row r="7" spans="1:45" ht="15.75" customHeight="1">
      <c r="B7" s="450" t="s">
        <v>374</v>
      </c>
      <c r="C7" s="443"/>
      <c r="D7" s="440"/>
      <c r="E7" s="438"/>
      <c r="F7" s="438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451"/>
      <c r="AM7" s="451"/>
      <c r="AN7" s="189"/>
      <c r="AO7" s="190"/>
      <c r="AP7" s="451"/>
      <c r="AQ7" s="451"/>
      <c r="AR7" s="451"/>
      <c r="AS7" s="189"/>
    </row>
    <row r="8" spans="1:45" ht="15.75" customHeight="1">
      <c r="B8" s="450"/>
      <c r="C8" s="443"/>
      <c r="D8" s="440"/>
      <c r="E8" s="438"/>
      <c r="F8" s="438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451"/>
      <c r="AM8" s="451"/>
      <c r="AN8" s="189"/>
      <c r="AO8" s="190"/>
      <c r="AP8" s="451"/>
      <c r="AQ8" s="451"/>
      <c r="AR8" s="451"/>
      <c r="AS8" s="189"/>
    </row>
    <row r="9" spans="1:45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N9" s="188"/>
      <c r="AS9" s="188"/>
    </row>
    <row r="10" spans="1:45" ht="15.75" customHeight="1">
      <c r="A10" s="191"/>
      <c r="B10" s="452" t="s">
        <v>163</v>
      </c>
      <c r="C10" s="449" t="s">
        <v>447</v>
      </c>
      <c r="D10" s="447" t="s">
        <v>444</v>
      </c>
      <c r="E10" s="448" t="s">
        <v>437</v>
      </c>
      <c r="F10" s="449" t="s">
        <v>436</v>
      </c>
      <c r="G10" s="449" t="s">
        <v>432</v>
      </c>
      <c r="H10" s="449" t="s">
        <v>429</v>
      </c>
      <c r="I10" s="447" t="s">
        <v>420</v>
      </c>
      <c r="J10" s="448" t="s">
        <v>409</v>
      </c>
      <c r="K10" s="449" t="s">
        <v>410</v>
      </c>
      <c r="L10" s="449" t="s">
        <v>404</v>
      </c>
      <c r="M10" s="449" t="s">
        <v>401</v>
      </c>
      <c r="N10" s="447" t="s">
        <v>394</v>
      </c>
      <c r="O10" s="448" t="s">
        <v>390</v>
      </c>
      <c r="P10" s="449" t="s">
        <v>391</v>
      </c>
      <c r="Q10" s="449" t="s">
        <v>385</v>
      </c>
      <c r="R10" s="449" t="s">
        <v>365</v>
      </c>
      <c r="S10" s="447" t="s">
        <v>363</v>
      </c>
      <c r="T10" s="448" t="s">
        <v>358</v>
      </c>
      <c r="U10" s="449" t="s">
        <v>357</v>
      </c>
      <c r="V10" s="449" t="s">
        <v>351</v>
      </c>
      <c r="W10" s="449" t="s">
        <v>347</v>
      </c>
      <c r="X10" s="447" t="s">
        <v>344</v>
      </c>
      <c r="Y10" s="448" t="s">
        <v>342</v>
      </c>
      <c r="Z10" s="449" t="s">
        <v>341</v>
      </c>
      <c r="AA10" s="449" t="s">
        <v>337</v>
      </c>
      <c r="AB10" s="449" t="s">
        <v>331</v>
      </c>
      <c r="AC10" s="449" t="s">
        <v>329</v>
      </c>
      <c r="AD10" s="448" t="s">
        <v>327</v>
      </c>
      <c r="AE10" s="449" t="s">
        <v>328</v>
      </c>
      <c r="AF10" s="449" t="s">
        <v>325</v>
      </c>
      <c r="AG10" s="449" t="s">
        <v>315</v>
      </c>
      <c r="AH10" s="449" t="s">
        <v>311</v>
      </c>
      <c r="AI10" s="448" t="s">
        <v>308</v>
      </c>
      <c r="AJ10" s="449" t="s">
        <v>307</v>
      </c>
      <c r="AK10" s="449" t="s">
        <v>164</v>
      </c>
      <c r="AL10" s="449" t="s">
        <v>166</v>
      </c>
      <c r="AM10" s="449" t="s">
        <v>167</v>
      </c>
      <c r="AN10" s="448" t="s">
        <v>161</v>
      </c>
      <c r="AO10" s="449" t="s">
        <v>168</v>
      </c>
      <c r="AP10" s="449" t="s">
        <v>169</v>
      </c>
      <c r="AQ10" s="449" t="s">
        <v>171</v>
      </c>
      <c r="AR10" s="449" t="s">
        <v>172</v>
      </c>
      <c r="AS10" s="448" t="s">
        <v>148</v>
      </c>
    </row>
    <row r="11" spans="1:45" ht="15.75" customHeight="1">
      <c r="A11" s="191"/>
      <c r="B11" s="452"/>
      <c r="C11" s="449"/>
      <c r="D11" s="447"/>
      <c r="E11" s="448"/>
      <c r="F11" s="449"/>
      <c r="G11" s="449"/>
      <c r="H11" s="449"/>
      <c r="I11" s="447"/>
      <c r="J11" s="448"/>
      <c r="K11" s="449"/>
      <c r="L11" s="449"/>
      <c r="M11" s="449"/>
      <c r="N11" s="447"/>
      <c r="O11" s="448"/>
      <c r="P11" s="449"/>
      <c r="Q11" s="449"/>
      <c r="R11" s="449"/>
      <c r="S11" s="447"/>
      <c r="T11" s="448"/>
      <c r="U11" s="449"/>
      <c r="V11" s="449"/>
      <c r="W11" s="449"/>
      <c r="X11" s="447"/>
      <c r="Y11" s="448"/>
      <c r="Z11" s="449"/>
      <c r="AA11" s="449"/>
      <c r="AB11" s="449"/>
      <c r="AC11" s="449"/>
      <c r="AD11" s="448"/>
      <c r="AE11" s="449"/>
      <c r="AF11" s="449"/>
      <c r="AG11" s="449"/>
      <c r="AH11" s="449"/>
      <c r="AI11" s="448"/>
      <c r="AJ11" s="449"/>
      <c r="AK11" s="449"/>
      <c r="AL11" s="449"/>
      <c r="AM11" s="449"/>
      <c r="AN11" s="448"/>
      <c r="AO11" s="449"/>
      <c r="AP11" s="449"/>
      <c r="AQ11" s="449"/>
      <c r="AR11" s="449"/>
      <c r="AS11" s="448"/>
    </row>
    <row r="12" spans="1:45" ht="15.75" customHeight="1">
      <c r="B12" s="192" t="s">
        <v>182</v>
      </c>
      <c r="C12" s="193">
        <v>1273920</v>
      </c>
      <c r="D12" s="194">
        <v>1368901</v>
      </c>
      <c r="E12" s="195">
        <v>5431599</v>
      </c>
      <c r="F12" s="193">
        <v>1635089</v>
      </c>
      <c r="G12" s="193">
        <v>1377009</v>
      </c>
      <c r="H12" s="193">
        <v>1254212</v>
      </c>
      <c r="I12" s="194">
        <v>1165289</v>
      </c>
      <c r="J12" s="195">
        <v>4897288</v>
      </c>
      <c r="K12" s="193">
        <v>643614</v>
      </c>
      <c r="L12" s="193">
        <v>1366291</v>
      </c>
      <c r="M12" s="193">
        <v>1319629.4898528249</v>
      </c>
      <c r="N12" s="194">
        <v>1567754</v>
      </c>
      <c r="O12" s="195">
        <v>7270406</v>
      </c>
      <c r="P12" s="193">
        <v>1435972</v>
      </c>
      <c r="Q12" s="193">
        <v>1942825</v>
      </c>
      <c r="R12" s="193">
        <v>2001140</v>
      </c>
      <c r="S12" s="194">
        <v>1890469</v>
      </c>
      <c r="T12" s="195">
        <v>6289369</v>
      </c>
      <c r="U12" s="193">
        <v>2019356</v>
      </c>
      <c r="V12" s="193">
        <v>1791907</v>
      </c>
      <c r="W12" s="193">
        <v>1161490</v>
      </c>
      <c r="X12" s="194">
        <v>1316616</v>
      </c>
      <c r="Y12" s="195">
        <v>3868223</v>
      </c>
      <c r="Z12" s="193">
        <v>1153105</v>
      </c>
      <c r="AA12" s="193">
        <v>1176875</v>
      </c>
      <c r="AB12" s="193">
        <v>736563</v>
      </c>
      <c r="AC12" s="193">
        <v>801680</v>
      </c>
      <c r="AD12" s="195">
        <v>3048730</v>
      </c>
      <c r="AE12" s="193">
        <v>796340</v>
      </c>
      <c r="AF12" s="193">
        <v>731786</v>
      </c>
      <c r="AG12" s="193">
        <v>749008</v>
      </c>
      <c r="AH12" s="193">
        <v>771597</v>
      </c>
      <c r="AI12" s="195">
        <v>3469133</v>
      </c>
      <c r="AJ12" s="193">
        <v>922818</v>
      </c>
      <c r="AK12" s="193">
        <v>791052</v>
      </c>
      <c r="AL12" s="193">
        <v>880298</v>
      </c>
      <c r="AM12" s="193">
        <v>874965</v>
      </c>
      <c r="AN12" s="195">
        <v>3019592</v>
      </c>
      <c r="AO12" s="193">
        <v>755805</v>
      </c>
      <c r="AP12" s="193">
        <v>799459</v>
      </c>
      <c r="AQ12" s="193">
        <v>741609</v>
      </c>
      <c r="AR12" s="193">
        <v>722721</v>
      </c>
      <c r="AS12" s="195">
        <v>889706</v>
      </c>
    </row>
    <row r="13" spans="1:45" ht="15.75" customHeight="1">
      <c r="B13" s="192" t="s">
        <v>183</v>
      </c>
      <c r="C13" s="193">
        <v>-892411</v>
      </c>
      <c r="D13" s="194">
        <v>-936863</v>
      </c>
      <c r="E13" s="195">
        <v>-3958998</v>
      </c>
      <c r="F13" s="193">
        <v>-1144862</v>
      </c>
      <c r="G13" s="193">
        <v>-1016616</v>
      </c>
      <c r="H13" s="193">
        <v>-962982</v>
      </c>
      <c r="I13" s="194">
        <v>-834538</v>
      </c>
      <c r="J13" s="195">
        <v>-3199994</v>
      </c>
      <c r="K13" s="193">
        <v>-474244</v>
      </c>
      <c r="L13" s="193">
        <v>-943045</v>
      </c>
      <c r="M13" s="193">
        <v>-827401.48985282495</v>
      </c>
      <c r="N13" s="194">
        <v>-955304</v>
      </c>
      <c r="O13" s="195">
        <v>-4015101</v>
      </c>
      <c r="P13" s="193">
        <v>-930279</v>
      </c>
      <c r="Q13" s="193">
        <v>-1115842</v>
      </c>
      <c r="R13" s="193">
        <v>-1021013</v>
      </c>
      <c r="S13" s="194">
        <v>-947967</v>
      </c>
      <c r="T13" s="195">
        <v>-3486604</v>
      </c>
      <c r="U13" s="193">
        <v>-1082146</v>
      </c>
      <c r="V13" s="193">
        <v>-1044700</v>
      </c>
      <c r="W13" s="193">
        <v>-680728</v>
      </c>
      <c r="X13" s="194">
        <v>-679030</v>
      </c>
      <c r="Y13" s="195">
        <v>-2533636</v>
      </c>
      <c r="Z13" s="193">
        <v>-650249</v>
      </c>
      <c r="AA13" s="193">
        <v>-765138</v>
      </c>
      <c r="AB13" s="193">
        <v>-526406</v>
      </c>
      <c r="AC13" s="193">
        <v>-591843</v>
      </c>
      <c r="AD13" s="195">
        <v>-2231876</v>
      </c>
      <c r="AE13" s="193">
        <v>-608342</v>
      </c>
      <c r="AF13" s="193">
        <v>-530950</v>
      </c>
      <c r="AG13" s="193">
        <v>-545138</v>
      </c>
      <c r="AH13" s="193">
        <v>-547446</v>
      </c>
      <c r="AI13" s="195">
        <v>-2209155</v>
      </c>
      <c r="AJ13" s="193">
        <v>-625337</v>
      </c>
      <c r="AK13" s="193">
        <v>-473489</v>
      </c>
      <c r="AL13" s="193">
        <v>-553694</v>
      </c>
      <c r="AM13" s="193">
        <v>-556635</v>
      </c>
      <c r="AN13" s="195">
        <v>-2114627</v>
      </c>
      <c r="AO13" s="193">
        <v>-518742</v>
      </c>
      <c r="AP13" s="193">
        <v>-571788</v>
      </c>
      <c r="AQ13" s="193">
        <v>-510191</v>
      </c>
      <c r="AR13" s="193">
        <v>-513906</v>
      </c>
      <c r="AS13" s="195">
        <v>-502216</v>
      </c>
    </row>
    <row r="14" spans="1:45" ht="15.75" customHeight="1" thickBot="1">
      <c r="A14" s="196"/>
      <c r="B14" s="197" t="s">
        <v>184</v>
      </c>
      <c r="C14" s="198">
        <f>SUM(C12:C13)</f>
        <v>381509</v>
      </c>
      <c r="D14" s="199">
        <f t="shared" ref="D14" si="0">SUM(D12:D13)</f>
        <v>432038</v>
      </c>
      <c r="E14" s="200">
        <f t="shared" ref="E14" si="1">SUM(E12:E13)</f>
        <v>1472601</v>
      </c>
      <c r="F14" s="198">
        <f>SUM(F12:F13)</f>
        <v>490227</v>
      </c>
      <c r="G14" s="198">
        <f>SUM(G12:G13)</f>
        <v>360393</v>
      </c>
      <c r="H14" s="198">
        <f>SUM(H12:H13)</f>
        <v>291230</v>
      </c>
      <c r="I14" s="199">
        <f t="shared" ref="I14" si="2">SUM(I12:I13)</f>
        <v>330751</v>
      </c>
      <c r="J14" s="200">
        <f t="shared" ref="J14" si="3">SUM(J12:J13)</f>
        <v>1697294</v>
      </c>
      <c r="K14" s="198">
        <f>SUM(K12:K13)</f>
        <v>169370</v>
      </c>
      <c r="L14" s="198">
        <f>SUM(L12:L13)</f>
        <v>423246</v>
      </c>
      <c r="M14" s="198">
        <f>SUM(M12:M13)</f>
        <v>492228</v>
      </c>
      <c r="N14" s="199">
        <f t="shared" ref="N14" si="4">SUM(N12:N13)</f>
        <v>612450</v>
      </c>
      <c r="O14" s="200">
        <f t="shared" ref="O14" si="5">SUM(O12:O13)</f>
        <v>3255305</v>
      </c>
      <c r="P14" s="198">
        <f>SUM(P12:P13)</f>
        <v>505693</v>
      </c>
      <c r="Q14" s="198">
        <f>SUM(Q12:Q13)</f>
        <v>826983</v>
      </c>
      <c r="R14" s="198">
        <f>SUM(R12:R13)</f>
        <v>980127</v>
      </c>
      <c r="S14" s="199">
        <f t="shared" ref="S14" si="6">SUM(S12:S13)</f>
        <v>942502</v>
      </c>
      <c r="T14" s="200">
        <v>2802765</v>
      </c>
      <c r="U14" s="198">
        <v>937210</v>
      </c>
      <c r="V14" s="198">
        <f>SUM(V12:V13)</f>
        <v>747207</v>
      </c>
      <c r="W14" s="198">
        <f>SUM(W12:W13)</f>
        <v>480762</v>
      </c>
      <c r="X14" s="199">
        <f t="shared" ref="X14" si="7">SUM(X12:X13)</f>
        <v>637586</v>
      </c>
      <c r="Y14" s="200">
        <f t="shared" ref="Y14:AK14" si="8">SUM(Y12:Y13)</f>
        <v>1334587</v>
      </c>
      <c r="Z14" s="198">
        <f>SUM(Z12:Z13)</f>
        <v>502856</v>
      </c>
      <c r="AA14" s="198">
        <f>SUM(AA12:AA13)</f>
        <v>411737</v>
      </c>
      <c r="AB14" s="198">
        <f t="shared" si="8"/>
        <v>210157</v>
      </c>
      <c r="AC14" s="198">
        <f t="shared" si="8"/>
        <v>209837</v>
      </c>
      <c r="AD14" s="200">
        <f t="shared" si="8"/>
        <v>816854</v>
      </c>
      <c r="AE14" s="198">
        <f t="shared" si="8"/>
        <v>187998</v>
      </c>
      <c r="AF14" s="198">
        <f t="shared" si="8"/>
        <v>200836</v>
      </c>
      <c r="AG14" s="198">
        <f t="shared" si="8"/>
        <v>203870</v>
      </c>
      <c r="AH14" s="198">
        <f t="shared" si="8"/>
        <v>224151</v>
      </c>
      <c r="AI14" s="200">
        <f t="shared" si="8"/>
        <v>1259978</v>
      </c>
      <c r="AJ14" s="198">
        <f t="shared" si="8"/>
        <v>297481</v>
      </c>
      <c r="AK14" s="198">
        <f t="shared" si="8"/>
        <v>317563</v>
      </c>
      <c r="AL14" s="198">
        <f>SUM(AL12:AL13)</f>
        <v>326604</v>
      </c>
      <c r="AM14" s="198">
        <v>318330</v>
      </c>
      <c r="AN14" s="200">
        <v>904965</v>
      </c>
      <c r="AO14" s="198">
        <v>237063</v>
      </c>
      <c r="AP14" s="198">
        <v>227671</v>
      </c>
      <c r="AQ14" s="198">
        <v>231418</v>
      </c>
      <c r="AR14" s="198">
        <v>208815</v>
      </c>
      <c r="AS14" s="200">
        <v>387490</v>
      </c>
    </row>
    <row r="15" spans="1:45" ht="15.75" customHeight="1" thickTop="1">
      <c r="B15" s="201" t="s">
        <v>185</v>
      </c>
      <c r="C15" s="193">
        <v>-58167</v>
      </c>
      <c r="D15" s="194">
        <v>-68108</v>
      </c>
      <c r="E15" s="195">
        <v>-270857</v>
      </c>
      <c r="F15" s="193">
        <v>-76164</v>
      </c>
      <c r="G15" s="193">
        <v>-65801</v>
      </c>
      <c r="H15" s="193">
        <v>-67521</v>
      </c>
      <c r="I15" s="194">
        <v>-61369</v>
      </c>
      <c r="J15" s="195">
        <v>-227927</v>
      </c>
      <c r="K15" s="193">
        <v>-36776</v>
      </c>
      <c r="L15" s="193">
        <v>-64508</v>
      </c>
      <c r="M15" s="193">
        <v>-65426</v>
      </c>
      <c r="N15" s="194">
        <v>-61217</v>
      </c>
      <c r="O15" s="195">
        <v>-272527</v>
      </c>
      <c r="P15" s="193">
        <v>-69425</v>
      </c>
      <c r="Q15" s="193">
        <v>-69438</v>
      </c>
      <c r="R15" s="193">
        <v>-65953</v>
      </c>
      <c r="S15" s="194">
        <v>-67711</v>
      </c>
      <c r="T15" s="195">
        <v>-197736</v>
      </c>
      <c r="U15" s="193">
        <v>-61657</v>
      </c>
      <c r="V15" s="193">
        <v>-56739</v>
      </c>
      <c r="W15" s="193">
        <v>-40617</v>
      </c>
      <c r="X15" s="194">
        <v>-38723</v>
      </c>
      <c r="Y15" s="195">
        <v>-175387</v>
      </c>
      <c r="Z15" s="193">
        <v>-32121</v>
      </c>
      <c r="AA15" s="193">
        <v>-50850</v>
      </c>
      <c r="AB15" s="193">
        <v>-44117</v>
      </c>
      <c r="AC15" s="193">
        <v>-48299</v>
      </c>
      <c r="AD15" s="195">
        <v>-153097</v>
      </c>
      <c r="AE15" s="193">
        <v>-40995</v>
      </c>
      <c r="AF15" s="193">
        <v>-33330</v>
      </c>
      <c r="AG15" s="193">
        <v>-40885</v>
      </c>
      <c r="AH15" s="193">
        <v>-37886</v>
      </c>
      <c r="AI15" s="195">
        <v>-151203</v>
      </c>
      <c r="AJ15" s="193">
        <v>-45608</v>
      </c>
      <c r="AK15" s="193">
        <v>-30582</v>
      </c>
      <c r="AL15" s="193">
        <v>-36135</v>
      </c>
      <c r="AM15" s="193">
        <v>-38879</v>
      </c>
      <c r="AN15" s="195">
        <v>-175040</v>
      </c>
      <c r="AO15" s="193">
        <v>-40598</v>
      </c>
      <c r="AP15" s="193">
        <v>-47840</v>
      </c>
      <c r="AQ15" s="193">
        <v>-42883</v>
      </c>
      <c r="AR15" s="193">
        <v>-43731</v>
      </c>
      <c r="AS15" s="195">
        <v>-58995</v>
      </c>
    </row>
    <row r="16" spans="1:45" ht="15.75" customHeight="1">
      <c r="B16" s="201" t="s">
        <v>186</v>
      </c>
      <c r="C16" s="193">
        <v>-95142</v>
      </c>
      <c r="D16" s="194">
        <v>-91964</v>
      </c>
      <c r="E16" s="195">
        <v>-556901</v>
      </c>
      <c r="F16" s="193">
        <v>-171700</v>
      </c>
      <c r="G16" s="193">
        <v>-129272</v>
      </c>
      <c r="H16" s="193">
        <v>-136541</v>
      </c>
      <c r="I16" s="194">
        <v>-119388</v>
      </c>
      <c r="J16" s="195">
        <v>-445956</v>
      </c>
      <c r="K16" s="193">
        <v>-105982</v>
      </c>
      <c r="L16" s="193">
        <v>-128186</v>
      </c>
      <c r="M16" s="193">
        <v>-106970</v>
      </c>
      <c r="N16" s="194">
        <v>-104818</v>
      </c>
      <c r="O16" s="195">
        <v>-507986</v>
      </c>
      <c r="P16" s="193">
        <v>-155347</v>
      </c>
      <c r="Q16" s="193">
        <v>-160701</v>
      </c>
      <c r="R16" s="193">
        <v>-104325</v>
      </c>
      <c r="S16" s="194">
        <v>-87614</v>
      </c>
      <c r="T16" s="195">
        <v>-409025</v>
      </c>
      <c r="U16" s="193">
        <v>-154381</v>
      </c>
      <c r="V16" s="193">
        <v>-100584</v>
      </c>
      <c r="W16" s="193">
        <v>-79496</v>
      </c>
      <c r="X16" s="194">
        <v>-74564</v>
      </c>
      <c r="Y16" s="195">
        <v>-381393</v>
      </c>
      <c r="Z16" s="193">
        <v>-108358</v>
      </c>
      <c r="AA16" s="193">
        <v>-83878</v>
      </c>
      <c r="AB16" s="193">
        <v>-74894</v>
      </c>
      <c r="AC16" s="193">
        <v>-114263</v>
      </c>
      <c r="AD16" s="195">
        <v>-280737</v>
      </c>
      <c r="AE16" s="193">
        <v>-80072</v>
      </c>
      <c r="AF16" s="193">
        <v>-62840</v>
      </c>
      <c r="AG16" s="193">
        <v>-74482</v>
      </c>
      <c r="AH16" s="193">
        <v>-63335</v>
      </c>
      <c r="AI16" s="195">
        <v>-247578</v>
      </c>
      <c r="AJ16" s="193">
        <v>-79249</v>
      </c>
      <c r="AK16" s="193">
        <v>-73106</v>
      </c>
      <c r="AL16" s="193">
        <v>-49483</v>
      </c>
      <c r="AM16" s="193">
        <v>-45740</v>
      </c>
      <c r="AN16" s="195">
        <v>-198119</v>
      </c>
      <c r="AO16" s="193">
        <v>-56180</v>
      </c>
      <c r="AP16" s="193">
        <v>-45491</v>
      </c>
      <c r="AQ16" s="193">
        <v>-47752</v>
      </c>
      <c r="AR16" s="193">
        <v>-48697</v>
      </c>
      <c r="AS16" s="195">
        <v>-99173</v>
      </c>
    </row>
    <row r="17" spans="1:45" ht="15.75" customHeight="1">
      <c r="B17" s="201" t="s">
        <v>187</v>
      </c>
      <c r="C17" s="193">
        <v>87546</v>
      </c>
      <c r="D17" s="194">
        <v>-13954</v>
      </c>
      <c r="E17" s="195">
        <v>9729</v>
      </c>
      <c r="F17" s="193">
        <v>113675</v>
      </c>
      <c r="G17" s="193">
        <v>-32689</v>
      </c>
      <c r="H17" s="193">
        <v>-45529</v>
      </c>
      <c r="I17" s="194">
        <v>-25730</v>
      </c>
      <c r="J17" s="195">
        <v>-57278</v>
      </c>
      <c r="K17" s="193">
        <v>-11701</v>
      </c>
      <c r="L17" s="193">
        <v>-17976</v>
      </c>
      <c r="M17" s="193">
        <v>-14238</v>
      </c>
      <c r="N17" s="194">
        <v>-13363</v>
      </c>
      <c r="O17" s="195">
        <v>-111306</v>
      </c>
      <c r="P17" s="193">
        <v>-58500</v>
      </c>
      <c r="Q17" s="193">
        <v>-23721</v>
      </c>
      <c r="R17" s="193">
        <v>-14510</v>
      </c>
      <c r="S17" s="194">
        <v>-14573</v>
      </c>
      <c r="T17" s="195">
        <v>303047</v>
      </c>
      <c r="U17" s="193">
        <v>-79949</v>
      </c>
      <c r="V17" s="193">
        <v>375667</v>
      </c>
      <c r="W17" s="193">
        <v>16117</v>
      </c>
      <c r="X17" s="194">
        <v>-8788</v>
      </c>
      <c r="Y17" s="195">
        <v>-26945</v>
      </c>
      <c r="Z17" s="193">
        <v>-4137</v>
      </c>
      <c r="AA17" s="193">
        <v>-13160</v>
      </c>
      <c r="AB17" s="193">
        <v>-4514</v>
      </c>
      <c r="AC17" s="193">
        <v>-5134</v>
      </c>
      <c r="AD17" s="195">
        <v>21018</v>
      </c>
      <c r="AE17" s="193">
        <v>22403</v>
      </c>
      <c r="AF17" s="193">
        <v>12807</v>
      </c>
      <c r="AG17" s="193">
        <v>-4834</v>
      </c>
      <c r="AH17" s="193">
        <v>-9367</v>
      </c>
      <c r="AI17" s="195">
        <v>-80431</v>
      </c>
      <c r="AJ17" s="193">
        <v>-37691</v>
      </c>
      <c r="AK17" s="193">
        <v>-29847</v>
      </c>
      <c r="AL17" s="193">
        <v>-977</v>
      </c>
      <c r="AM17" s="193">
        <v>-11013</v>
      </c>
      <c r="AN17" s="195">
        <v>-75744</v>
      </c>
      <c r="AO17" s="193">
        <v>-13283</v>
      </c>
      <c r="AP17" s="193">
        <v>-4951</v>
      </c>
      <c r="AQ17" s="193">
        <v>-9625</v>
      </c>
      <c r="AR17" s="193">
        <v>-48194</v>
      </c>
      <c r="AS17" s="195">
        <v>-101535</v>
      </c>
    </row>
    <row r="18" spans="1:45" ht="15.75" customHeight="1">
      <c r="B18" s="202" t="s">
        <v>191</v>
      </c>
      <c r="C18" s="372">
        <v>-3970</v>
      </c>
      <c r="D18" s="204">
        <v>-2331</v>
      </c>
      <c r="E18" s="205">
        <v>-29553</v>
      </c>
      <c r="F18" s="372">
        <v>-13743</v>
      </c>
      <c r="G18" s="372">
        <v>-2812</v>
      </c>
      <c r="H18" s="372">
        <v>-6005</v>
      </c>
      <c r="I18" s="204">
        <v>-6993</v>
      </c>
      <c r="J18" s="205">
        <v>13501</v>
      </c>
      <c r="K18" s="203">
        <v>5256</v>
      </c>
      <c r="L18" s="203">
        <v>2261</v>
      </c>
      <c r="M18" s="203">
        <v>5725</v>
      </c>
      <c r="N18" s="204">
        <v>259</v>
      </c>
      <c r="O18" s="205">
        <v>16772</v>
      </c>
      <c r="P18" s="203">
        <v>1115</v>
      </c>
      <c r="Q18" s="203">
        <v>13852</v>
      </c>
      <c r="R18" s="203">
        <v>4049</v>
      </c>
      <c r="S18" s="204">
        <v>-2245</v>
      </c>
      <c r="T18" s="205">
        <v>-2534</v>
      </c>
      <c r="U18" s="203">
        <v>-90</v>
      </c>
      <c r="V18" s="203">
        <v>-1222</v>
      </c>
      <c r="W18" s="203">
        <v>-616</v>
      </c>
      <c r="X18" s="204">
        <v>-606</v>
      </c>
      <c r="Y18" s="205">
        <v>-2342</v>
      </c>
      <c r="Z18" s="193">
        <v>-1086</v>
      </c>
      <c r="AA18" s="193">
        <v>-386</v>
      </c>
      <c r="AB18" s="193">
        <v>-290</v>
      </c>
      <c r="AC18" s="193">
        <v>-580</v>
      </c>
      <c r="AD18" s="205">
        <v>-6507</v>
      </c>
      <c r="AE18" s="193">
        <v>-7052</v>
      </c>
      <c r="AF18" s="193">
        <v>93</v>
      </c>
      <c r="AG18" s="193">
        <v>176</v>
      </c>
      <c r="AH18" s="193">
        <v>277</v>
      </c>
      <c r="AI18" s="205">
        <v>941</v>
      </c>
      <c r="AJ18" s="193">
        <v>434</v>
      </c>
      <c r="AK18" s="193">
        <v>-685</v>
      </c>
      <c r="AL18" s="193">
        <v>-194</v>
      </c>
      <c r="AM18" s="193">
        <v>483</v>
      </c>
      <c r="AN18" s="195">
        <v>1668</v>
      </c>
      <c r="AO18" s="193">
        <v>25400</v>
      </c>
      <c r="AP18" s="193">
        <v>21097</v>
      </c>
      <c r="AQ18" s="193">
        <v>-34576</v>
      </c>
      <c r="AR18" s="193">
        <v>-9933</v>
      </c>
      <c r="AS18" s="195">
        <v>-75431</v>
      </c>
    </row>
    <row r="19" spans="1:45" ht="15.75" customHeight="1">
      <c r="B19" s="201" t="s">
        <v>189</v>
      </c>
      <c r="C19" s="203">
        <v>0</v>
      </c>
      <c r="D19" s="204">
        <v>0</v>
      </c>
      <c r="E19" s="205">
        <v>0</v>
      </c>
      <c r="F19" s="203">
        <v>0</v>
      </c>
      <c r="G19" s="203">
        <v>0</v>
      </c>
      <c r="H19" s="203">
        <v>0</v>
      </c>
      <c r="I19" s="204">
        <v>0</v>
      </c>
      <c r="J19" s="205">
        <v>0</v>
      </c>
      <c r="K19" s="203">
        <v>0</v>
      </c>
      <c r="L19" s="203">
        <v>0</v>
      </c>
      <c r="M19" s="203">
        <v>0</v>
      </c>
      <c r="N19" s="204">
        <v>0</v>
      </c>
      <c r="O19" s="205">
        <v>0</v>
      </c>
      <c r="P19" s="203">
        <v>0</v>
      </c>
      <c r="Q19" s="203">
        <v>0</v>
      </c>
      <c r="R19" s="203">
        <v>0</v>
      </c>
      <c r="S19" s="204">
        <v>0</v>
      </c>
      <c r="T19" s="205">
        <v>0</v>
      </c>
      <c r="U19" s="203">
        <v>0</v>
      </c>
      <c r="V19" s="203">
        <v>0</v>
      </c>
      <c r="W19" s="203">
        <v>0</v>
      </c>
      <c r="X19" s="204">
        <v>0</v>
      </c>
      <c r="Y19" s="205">
        <v>0</v>
      </c>
      <c r="Z19" s="193">
        <v>0</v>
      </c>
      <c r="AA19" s="193">
        <v>0</v>
      </c>
      <c r="AB19" s="193">
        <f t="shared" ref="AB19:AC21" si="9">AC19+AD19</f>
        <v>0</v>
      </c>
      <c r="AC19" s="193">
        <f t="shared" si="9"/>
        <v>0</v>
      </c>
      <c r="AD19" s="205">
        <v>0</v>
      </c>
      <c r="AE19" s="193">
        <v>0</v>
      </c>
      <c r="AF19" s="193">
        <v>0</v>
      </c>
      <c r="AG19" s="193">
        <v>0</v>
      </c>
      <c r="AH19" s="193">
        <v>0</v>
      </c>
      <c r="AI19" s="205">
        <v>0</v>
      </c>
      <c r="AJ19" s="193">
        <v>0</v>
      </c>
      <c r="AK19" s="193">
        <v>0</v>
      </c>
      <c r="AL19" s="193">
        <v>0</v>
      </c>
      <c r="AM19" s="193">
        <v>0</v>
      </c>
      <c r="AN19" s="195">
        <v>-27033</v>
      </c>
      <c r="AO19" s="193">
        <v>-27033</v>
      </c>
      <c r="AP19" s="193">
        <v>0</v>
      </c>
      <c r="AQ19" s="193">
        <v>0</v>
      </c>
      <c r="AR19" s="193">
        <v>0</v>
      </c>
      <c r="AS19" s="195">
        <v>0</v>
      </c>
    </row>
    <row r="20" spans="1:45" ht="15.75" customHeight="1">
      <c r="B20" s="201" t="s">
        <v>190</v>
      </c>
      <c r="C20" s="203">
        <v>0</v>
      </c>
      <c r="D20" s="204">
        <v>0</v>
      </c>
      <c r="E20" s="209">
        <v>0</v>
      </c>
      <c r="F20" s="203">
        <v>0</v>
      </c>
      <c r="G20" s="203">
        <v>0</v>
      </c>
      <c r="H20" s="203">
        <v>0</v>
      </c>
      <c r="I20" s="204">
        <v>0</v>
      </c>
      <c r="J20" s="209">
        <v>0</v>
      </c>
      <c r="K20" s="203">
        <v>0</v>
      </c>
      <c r="L20" s="203">
        <v>0</v>
      </c>
      <c r="M20" s="203">
        <v>0</v>
      </c>
      <c r="N20" s="204">
        <v>0</v>
      </c>
      <c r="O20" s="209">
        <v>0</v>
      </c>
      <c r="P20" s="203">
        <v>0</v>
      </c>
      <c r="Q20" s="203">
        <v>0</v>
      </c>
      <c r="R20" s="203">
        <v>0</v>
      </c>
      <c r="S20" s="204">
        <v>0</v>
      </c>
      <c r="T20" s="205">
        <v>447971</v>
      </c>
      <c r="U20" s="203">
        <v>447971</v>
      </c>
      <c r="V20" s="203">
        <v>0</v>
      </c>
      <c r="W20" s="203">
        <v>0</v>
      </c>
      <c r="X20" s="204">
        <v>0</v>
      </c>
      <c r="Y20" s="205">
        <v>0</v>
      </c>
      <c r="Z20" s="193">
        <v>0</v>
      </c>
      <c r="AA20" s="193">
        <v>0</v>
      </c>
      <c r="AB20" s="193">
        <f t="shared" si="9"/>
        <v>0</v>
      </c>
      <c r="AC20" s="193">
        <f t="shared" si="9"/>
        <v>0</v>
      </c>
      <c r="AD20" s="205">
        <v>0</v>
      </c>
      <c r="AE20" s="193">
        <v>0</v>
      </c>
      <c r="AF20" s="193">
        <v>0</v>
      </c>
      <c r="AG20" s="193">
        <v>0</v>
      </c>
      <c r="AH20" s="193">
        <v>0</v>
      </c>
      <c r="AI20" s="205">
        <v>48935</v>
      </c>
      <c r="AJ20" s="193">
        <v>0</v>
      </c>
      <c r="AK20" s="193">
        <v>0</v>
      </c>
      <c r="AL20" s="193">
        <v>0</v>
      </c>
      <c r="AM20" s="193">
        <v>48935</v>
      </c>
      <c r="AN20" s="195">
        <v>0</v>
      </c>
      <c r="AO20" s="193">
        <v>0</v>
      </c>
      <c r="AP20" s="193">
        <v>0</v>
      </c>
      <c r="AQ20" s="193">
        <v>0</v>
      </c>
      <c r="AR20" s="193">
        <v>0</v>
      </c>
      <c r="AS20" s="195">
        <v>0</v>
      </c>
    </row>
    <row r="21" spans="1:45" ht="15.75" customHeight="1">
      <c r="B21" s="201" t="s">
        <v>188</v>
      </c>
      <c r="C21" s="193">
        <v>0</v>
      </c>
      <c r="D21" s="194">
        <v>0</v>
      </c>
      <c r="E21" s="195">
        <v>0</v>
      </c>
      <c r="F21" s="193">
        <v>0</v>
      </c>
      <c r="G21" s="193">
        <v>0</v>
      </c>
      <c r="H21" s="193">
        <v>0</v>
      </c>
      <c r="I21" s="194">
        <v>0</v>
      </c>
      <c r="J21" s="195">
        <v>0</v>
      </c>
      <c r="K21" s="193">
        <v>0</v>
      </c>
      <c r="L21" s="193">
        <v>0</v>
      </c>
      <c r="M21" s="193">
        <v>0</v>
      </c>
      <c r="N21" s="194">
        <v>0</v>
      </c>
      <c r="O21" s="195">
        <v>0</v>
      </c>
      <c r="P21" s="193">
        <v>0</v>
      </c>
      <c r="Q21" s="193">
        <v>0</v>
      </c>
      <c r="R21" s="193">
        <v>0</v>
      </c>
      <c r="S21" s="194">
        <v>0</v>
      </c>
      <c r="T21" s="195">
        <v>0</v>
      </c>
      <c r="U21" s="193">
        <v>0</v>
      </c>
      <c r="V21" s="193">
        <v>0</v>
      </c>
      <c r="W21" s="193">
        <v>0</v>
      </c>
      <c r="X21" s="194">
        <v>0</v>
      </c>
      <c r="Y21" s="195">
        <v>0</v>
      </c>
      <c r="Z21" s="193">
        <v>0</v>
      </c>
      <c r="AA21" s="193">
        <v>0</v>
      </c>
      <c r="AB21" s="193">
        <f t="shared" si="9"/>
        <v>0</v>
      </c>
      <c r="AC21" s="193">
        <f t="shared" si="9"/>
        <v>0</v>
      </c>
      <c r="AD21" s="195">
        <v>0</v>
      </c>
      <c r="AE21" s="193">
        <v>0</v>
      </c>
      <c r="AF21" s="193">
        <v>0</v>
      </c>
      <c r="AG21" s="193">
        <v>0</v>
      </c>
      <c r="AH21" s="193">
        <v>0</v>
      </c>
      <c r="AI21" s="195">
        <v>0</v>
      </c>
      <c r="AJ21" s="193">
        <v>0</v>
      </c>
      <c r="AK21" s="193">
        <v>0</v>
      </c>
      <c r="AL21" s="193">
        <v>0</v>
      </c>
      <c r="AM21" s="193">
        <v>0</v>
      </c>
      <c r="AN21" s="195">
        <v>0</v>
      </c>
      <c r="AO21" s="193">
        <v>0</v>
      </c>
      <c r="AP21" s="193">
        <v>0</v>
      </c>
      <c r="AQ21" s="193">
        <v>0</v>
      </c>
      <c r="AR21" s="193">
        <v>0</v>
      </c>
      <c r="AS21" s="195">
        <v>516010</v>
      </c>
    </row>
    <row r="22" spans="1:45" ht="15.75" customHeight="1" thickBot="1">
      <c r="A22" s="196"/>
      <c r="B22" s="197" t="s">
        <v>192</v>
      </c>
      <c r="C22" s="198">
        <f t="shared" ref="C22" si="10">SUM(C14:C21)</f>
        <v>311776</v>
      </c>
      <c r="D22" s="199">
        <f t="shared" ref="D22" si="11">SUM(D14:D21)</f>
        <v>255681</v>
      </c>
      <c r="E22" s="200">
        <f t="shared" ref="E22:F22" si="12">SUM(E14:E21)</f>
        <v>625019</v>
      </c>
      <c r="F22" s="198">
        <f t="shared" si="12"/>
        <v>342295</v>
      </c>
      <c r="G22" s="198">
        <f t="shared" ref="G22" si="13">SUM(G14:G21)</f>
        <v>129819</v>
      </c>
      <c r="H22" s="198">
        <f t="shared" ref="H22" si="14">SUM(H14:H21)</f>
        <v>35634</v>
      </c>
      <c r="I22" s="199">
        <f t="shared" ref="I22" si="15">SUM(I14:I21)</f>
        <v>117271</v>
      </c>
      <c r="J22" s="200">
        <f t="shared" ref="J22:K22" si="16">SUM(J14:J21)</f>
        <v>979634</v>
      </c>
      <c r="K22" s="198">
        <f t="shared" si="16"/>
        <v>20167</v>
      </c>
      <c r="L22" s="198">
        <f t="shared" ref="L22" si="17">SUM(L14:L21)</f>
        <v>214837</v>
      </c>
      <c r="M22" s="198">
        <f>SUM(M14:M21)</f>
        <v>311319</v>
      </c>
      <c r="N22" s="199">
        <f t="shared" ref="N22" si="18">SUM(N14:N21)</f>
        <v>433311</v>
      </c>
      <c r="O22" s="200">
        <f>SUM(O14:O21)</f>
        <v>2380258</v>
      </c>
      <c r="P22" s="198">
        <f>SUM(P14:P21)</f>
        <v>223536</v>
      </c>
      <c r="Q22" s="198">
        <f>SUM(Q14:Q21)</f>
        <v>586975</v>
      </c>
      <c r="R22" s="198">
        <f>SUM(R14:R21)</f>
        <v>799388</v>
      </c>
      <c r="S22" s="199">
        <f t="shared" ref="S22" si="19">SUM(S14:S21)</f>
        <v>770359</v>
      </c>
      <c r="T22" s="200">
        <f t="shared" ref="T22:U22" si="20">SUM(T14:T21)</f>
        <v>2944488</v>
      </c>
      <c r="U22" s="198">
        <f t="shared" si="20"/>
        <v>1089104</v>
      </c>
      <c r="V22" s="198">
        <f>SUM(V14:V21)</f>
        <v>964329</v>
      </c>
      <c r="W22" s="198">
        <f>SUM(W14:W21)</f>
        <v>376150</v>
      </c>
      <c r="X22" s="199">
        <f t="shared" ref="X22" si="21">SUM(X14:X21)</f>
        <v>514905</v>
      </c>
      <c r="Y22" s="200">
        <f t="shared" ref="Y22:AJ22" si="22">SUM(Y14:Y21)</f>
        <v>748520</v>
      </c>
      <c r="Z22" s="198">
        <f>SUM(Z14:Z21)</f>
        <v>357154</v>
      </c>
      <c r="AA22" s="198">
        <f>SUM(AA14:AA21)</f>
        <v>263463</v>
      </c>
      <c r="AB22" s="198">
        <f t="shared" si="22"/>
        <v>86342</v>
      </c>
      <c r="AC22" s="198">
        <f t="shared" si="22"/>
        <v>41561</v>
      </c>
      <c r="AD22" s="200">
        <f t="shared" si="22"/>
        <v>397531</v>
      </c>
      <c r="AE22" s="198">
        <f t="shared" si="22"/>
        <v>82282</v>
      </c>
      <c r="AF22" s="198">
        <f t="shared" si="22"/>
        <v>117566</v>
      </c>
      <c r="AG22" s="198">
        <f t="shared" si="22"/>
        <v>83845</v>
      </c>
      <c r="AH22" s="198">
        <f t="shared" si="22"/>
        <v>113840</v>
      </c>
      <c r="AI22" s="200">
        <f t="shared" si="22"/>
        <v>830642</v>
      </c>
      <c r="AJ22" s="198">
        <f t="shared" si="22"/>
        <v>135367</v>
      </c>
      <c r="AK22" s="198">
        <f>SUM(AK14:AK21)</f>
        <v>183343</v>
      </c>
      <c r="AL22" s="198">
        <f>SUM(AL14:AL21)</f>
        <v>239815</v>
      </c>
      <c r="AM22" s="198">
        <v>272116</v>
      </c>
      <c r="AN22" s="200">
        <v>430697</v>
      </c>
      <c r="AO22" s="198">
        <v>125368</v>
      </c>
      <c r="AP22" s="198">
        <v>150486</v>
      </c>
      <c r="AQ22" s="198">
        <v>96582</v>
      </c>
      <c r="AR22" s="198">
        <v>58260</v>
      </c>
      <c r="AS22" s="200">
        <v>568366</v>
      </c>
    </row>
    <row r="23" spans="1:45" ht="15.75" customHeight="1" thickTop="1">
      <c r="B23" s="206" t="s">
        <v>193</v>
      </c>
      <c r="C23" s="193">
        <f>C24+C25</f>
        <v>2340</v>
      </c>
      <c r="D23" s="193">
        <f>D24+D25</f>
        <v>-32616</v>
      </c>
      <c r="E23" s="195">
        <f>E24+E25</f>
        <v>159025</v>
      </c>
      <c r="F23" s="193">
        <f>F24+F25</f>
        <v>57318</v>
      </c>
      <c r="G23" s="193">
        <f>G24+G25</f>
        <v>25994</v>
      </c>
      <c r="H23" s="193">
        <f>H24+H25</f>
        <v>69673</v>
      </c>
      <c r="I23" s="193">
        <f t="shared" ref="I23" si="23">I24+I25</f>
        <v>6041</v>
      </c>
      <c r="J23" s="195">
        <f t="shared" ref="J23" si="24">J24+J25</f>
        <v>185827</v>
      </c>
      <c r="K23" s="193">
        <f>K24+K25</f>
        <v>79726</v>
      </c>
      <c r="L23" s="193">
        <f>L24+L25</f>
        <v>34079</v>
      </c>
      <c r="M23" s="193">
        <f>M24+M25</f>
        <v>47553.999999999993</v>
      </c>
      <c r="N23" s="193">
        <f>N24+N25</f>
        <v>24468</v>
      </c>
      <c r="O23" s="195">
        <f t="shared" ref="O23" si="25">O24+O25</f>
        <v>-328268</v>
      </c>
      <c r="P23" s="193">
        <f>P24+P25</f>
        <v>26103</v>
      </c>
      <c r="Q23" s="193">
        <f>Q24+Q25</f>
        <v>-316159</v>
      </c>
      <c r="R23" s="193">
        <f>R24+R25</f>
        <v>29896</v>
      </c>
      <c r="S23" s="194">
        <v>-68109</v>
      </c>
      <c r="T23" s="195">
        <v>90835</v>
      </c>
      <c r="U23" s="193">
        <v>-46038</v>
      </c>
      <c r="V23" s="193">
        <v>145825</v>
      </c>
      <c r="W23" s="193">
        <f t="shared" ref="W23" si="26">W24+W25</f>
        <v>76147</v>
      </c>
      <c r="X23" s="194">
        <f>X24+X25</f>
        <v>-85099.000000000015</v>
      </c>
      <c r="Y23" s="195">
        <f>Y24+Y25</f>
        <v>-147363</v>
      </c>
      <c r="Z23" s="193">
        <f>Z24+Z25</f>
        <v>37614</v>
      </c>
      <c r="AA23" s="193">
        <f>AA24+AA25</f>
        <v>-56703</v>
      </c>
      <c r="AB23" s="193">
        <f>AB24+AB25</f>
        <v>-27531</v>
      </c>
      <c r="AC23" s="193">
        <v>-100743</v>
      </c>
      <c r="AD23" s="195">
        <f t="shared" ref="AD23:AF23" si="27">SUM(AD24:AD25)</f>
        <v>-140921</v>
      </c>
      <c r="AE23" s="193">
        <f t="shared" si="27"/>
        <v>-16207</v>
      </c>
      <c r="AF23" s="193">
        <f t="shared" si="27"/>
        <v>-91984</v>
      </c>
      <c r="AG23" s="193">
        <f t="shared" ref="AG23:AK23" si="28">SUM(AG24:AG25)</f>
        <v>-27020</v>
      </c>
      <c r="AH23" s="193">
        <f t="shared" si="28"/>
        <v>-5712</v>
      </c>
      <c r="AI23" s="195">
        <f t="shared" si="28"/>
        <v>-153905</v>
      </c>
      <c r="AJ23" s="193">
        <f t="shared" si="28"/>
        <v>-3646</v>
      </c>
      <c r="AK23" s="193">
        <f t="shared" si="28"/>
        <v>-17829</v>
      </c>
      <c r="AL23" s="193">
        <v>-104943</v>
      </c>
      <c r="AM23" s="193">
        <v>-27487</v>
      </c>
      <c r="AN23" s="195">
        <v>-93836</v>
      </c>
      <c r="AO23" s="193">
        <v>-50234</v>
      </c>
      <c r="AP23" s="193">
        <v>1081</v>
      </c>
      <c r="AQ23" s="193">
        <v>-33003</v>
      </c>
      <c r="AR23" s="193">
        <v>-11680</v>
      </c>
      <c r="AS23" s="195">
        <v>-99759</v>
      </c>
    </row>
    <row r="24" spans="1:45" ht="15.75" customHeight="1">
      <c r="B24" s="201" t="s">
        <v>194</v>
      </c>
      <c r="C24" s="193">
        <v>130950</v>
      </c>
      <c r="D24" s="194">
        <v>29727</v>
      </c>
      <c r="E24" s="195">
        <v>616500</v>
      </c>
      <c r="F24" s="193">
        <v>200358</v>
      </c>
      <c r="G24" s="193">
        <v>138897</v>
      </c>
      <c r="H24" s="193">
        <v>213223</v>
      </c>
      <c r="I24" s="194">
        <v>64021</v>
      </c>
      <c r="J24" s="195">
        <v>356608</v>
      </c>
      <c r="K24" s="193">
        <v>69167</v>
      </c>
      <c r="L24" s="193">
        <v>129737</v>
      </c>
      <c r="M24" s="193">
        <v>77415.103139999992</v>
      </c>
      <c r="N24" s="194">
        <v>80289</v>
      </c>
      <c r="O24" s="195">
        <v>-21412</v>
      </c>
      <c r="P24" s="193">
        <v>38954</v>
      </c>
      <c r="Q24" s="193">
        <v>-240264</v>
      </c>
      <c r="R24" s="193">
        <v>169922</v>
      </c>
      <c r="S24" s="194">
        <v>9975</v>
      </c>
      <c r="T24" s="195">
        <v>497639</v>
      </c>
      <c r="U24" s="193">
        <v>86914</v>
      </c>
      <c r="V24" s="193">
        <v>261955</v>
      </c>
      <c r="W24" s="193">
        <v>83206.941680000004</v>
      </c>
      <c r="X24" s="194">
        <v>65563.058319999996</v>
      </c>
      <c r="Y24" s="195">
        <v>140132</v>
      </c>
      <c r="Z24" s="193">
        <v>-40251</v>
      </c>
      <c r="AA24" s="193">
        <v>24924</v>
      </c>
      <c r="AB24" s="193">
        <v>57920</v>
      </c>
      <c r="AC24" s="193">
        <v>97539</v>
      </c>
      <c r="AD24" s="195">
        <v>140157</v>
      </c>
      <c r="AE24" s="193">
        <v>-33295</v>
      </c>
      <c r="AF24" s="193">
        <v>52210</v>
      </c>
      <c r="AG24" s="193">
        <v>83281</v>
      </c>
      <c r="AH24" s="193">
        <v>43839</v>
      </c>
      <c r="AI24" s="195">
        <v>149363</v>
      </c>
      <c r="AJ24" s="193">
        <v>-31528</v>
      </c>
      <c r="AK24" s="193">
        <v>84996</v>
      </c>
      <c r="AL24" s="193">
        <v>73410</v>
      </c>
      <c r="AM24" s="193">
        <v>22485</v>
      </c>
      <c r="AN24" s="195">
        <v>75515</v>
      </c>
      <c r="AO24" s="193">
        <v>-31681</v>
      </c>
      <c r="AP24" s="193">
        <v>70222</v>
      </c>
      <c r="AQ24" s="193">
        <v>13972</v>
      </c>
      <c r="AR24" s="193">
        <v>23002</v>
      </c>
      <c r="AS24" s="195">
        <v>33506</v>
      </c>
    </row>
    <row r="25" spans="1:45" ht="15.75" customHeight="1">
      <c r="B25" s="201" t="s">
        <v>195</v>
      </c>
      <c r="C25" s="193">
        <v>-128610</v>
      </c>
      <c r="D25" s="194">
        <v>-62343</v>
      </c>
      <c r="E25" s="195">
        <v>-457475</v>
      </c>
      <c r="F25" s="193">
        <v>-143040</v>
      </c>
      <c r="G25" s="193">
        <v>-112903</v>
      </c>
      <c r="H25" s="193">
        <v>-143550</v>
      </c>
      <c r="I25" s="194">
        <v>-57980</v>
      </c>
      <c r="J25" s="195">
        <v>-170781</v>
      </c>
      <c r="K25" s="193">
        <v>10559</v>
      </c>
      <c r="L25" s="193">
        <v>-95658</v>
      </c>
      <c r="M25" s="193">
        <v>-29861.103139999999</v>
      </c>
      <c r="N25" s="194">
        <v>-55821</v>
      </c>
      <c r="O25" s="195">
        <v>-306856</v>
      </c>
      <c r="P25" s="193">
        <v>-12851</v>
      </c>
      <c r="Q25" s="193">
        <v>-75895</v>
      </c>
      <c r="R25" s="193">
        <v>-140026</v>
      </c>
      <c r="S25" s="194">
        <v>-78084</v>
      </c>
      <c r="T25" s="195">
        <v>-406804</v>
      </c>
      <c r="U25" s="193">
        <v>-132952</v>
      </c>
      <c r="V25" s="193">
        <v>-116130</v>
      </c>
      <c r="W25" s="193">
        <v>-7059.9416799999999</v>
      </c>
      <c r="X25" s="194">
        <v>-150662.05832000001</v>
      </c>
      <c r="Y25" s="195">
        <v>-287495</v>
      </c>
      <c r="Z25" s="193">
        <v>77865</v>
      </c>
      <c r="AA25" s="193">
        <v>-81627</v>
      </c>
      <c r="AB25" s="193">
        <v>-85451</v>
      </c>
      <c r="AC25" s="193">
        <v>-198282</v>
      </c>
      <c r="AD25" s="195">
        <v>-281078</v>
      </c>
      <c r="AE25" s="193">
        <v>17088</v>
      </c>
      <c r="AF25" s="193">
        <v>-144194</v>
      </c>
      <c r="AG25" s="193">
        <v>-110301</v>
      </c>
      <c r="AH25" s="193">
        <v>-49551</v>
      </c>
      <c r="AI25" s="195">
        <v>-303268</v>
      </c>
      <c r="AJ25" s="193">
        <v>27882</v>
      </c>
      <c r="AK25" s="193">
        <v>-102825</v>
      </c>
      <c r="AL25" s="193">
        <v>-178353</v>
      </c>
      <c r="AM25" s="193">
        <v>-49972</v>
      </c>
      <c r="AN25" s="195">
        <v>-169351</v>
      </c>
      <c r="AO25" s="193">
        <v>-18553</v>
      </c>
      <c r="AP25" s="193">
        <v>-69141</v>
      </c>
      <c r="AQ25" s="193">
        <v>-46975</v>
      </c>
      <c r="AR25" s="193">
        <v>-34682</v>
      </c>
      <c r="AS25" s="195">
        <v>-133265</v>
      </c>
    </row>
    <row r="26" spans="1:45" s="208" customFormat="1" ht="15.75" customHeight="1" thickBot="1">
      <c r="A26" s="196"/>
      <c r="B26" s="207" t="s">
        <v>196</v>
      </c>
      <c r="C26" s="198">
        <f t="shared" ref="C26" si="29">SUM(C22:C23)</f>
        <v>314116</v>
      </c>
      <c r="D26" s="199">
        <f t="shared" ref="D26" si="30">SUM(D22:D23)</f>
        <v>223065</v>
      </c>
      <c r="E26" s="200">
        <f t="shared" ref="E26" si="31">SUM(E22:E23)</f>
        <v>784044</v>
      </c>
      <c r="F26" s="198">
        <f>SUM(F22:F23)</f>
        <v>399613</v>
      </c>
      <c r="G26" s="198">
        <f t="shared" ref="G26" si="32">SUM(G22:G23)</f>
        <v>155813</v>
      </c>
      <c r="H26" s="198">
        <f t="shared" ref="H26" si="33">SUM(H22:H23)</f>
        <v>105307</v>
      </c>
      <c r="I26" s="199">
        <f t="shared" ref="I26" si="34">SUM(I22:I23)</f>
        <v>123312</v>
      </c>
      <c r="J26" s="200">
        <f t="shared" ref="J26" si="35">SUM(J22:J23)</f>
        <v>1165461</v>
      </c>
      <c r="K26" s="198">
        <f>SUM(K22:K23)</f>
        <v>99893</v>
      </c>
      <c r="L26" s="198">
        <f>SUM(L22:L23)</f>
        <v>248916</v>
      </c>
      <c r="M26" s="198">
        <f>SUM(M22:M23)</f>
        <v>358873</v>
      </c>
      <c r="N26" s="199">
        <f t="shared" ref="N26" si="36">SUM(N22:N23)</f>
        <v>457779</v>
      </c>
      <c r="O26" s="200">
        <f t="shared" ref="O26" si="37">SUM(O22:O23)</f>
        <v>2051990</v>
      </c>
      <c r="P26" s="198">
        <f>SUM(P22:P23)</f>
        <v>249639</v>
      </c>
      <c r="Q26" s="198">
        <f>SUM(Q22:Q23)</f>
        <v>270816</v>
      </c>
      <c r="R26" s="198">
        <f>SUM(R22:R23)</f>
        <v>829284</v>
      </c>
      <c r="S26" s="199">
        <f t="shared" ref="S26" si="38">SUM(S22:S23)</f>
        <v>702250</v>
      </c>
      <c r="T26" s="200">
        <v>3035323</v>
      </c>
      <c r="U26" s="198">
        <v>1043066</v>
      </c>
      <c r="V26" s="198">
        <f t="shared" ref="V26:W26" si="39">SUM(V22:V23)</f>
        <v>1110154</v>
      </c>
      <c r="W26" s="198">
        <f t="shared" si="39"/>
        <v>452297</v>
      </c>
      <c r="X26" s="199">
        <f t="shared" ref="X26" si="40">SUM(X22:X23)</f>
        <v>429806</v>
      </c>
      <c r="Y26" s="200">
        <f t="shared" ref="Y26:AK26" si="41">SUM(Y22:Y23)</f>
        <v>601157</v>
      </c>
      <c r="Z26" s="198">
        <f>SUM(Z22:Z23)</f>
        <v>394768</v>
      </c>
      <c r="AA26" s="198">
        <f>SUM(AA22:AA23)</f>
        <v>206760</v>
      </c>
      <c r="AB26" s="198">
        <f>SUM(AB22:AB23)</f>
        <v>58811</v>
      </c>
      <c r="AC26" s="198">
        <f t="shared" si="41"/>
        <v>-59182</v>
      </c>
      <c r="AD26" s="200">
        <f t="shared" si="41"/>
        <v>256610</v>
      </c>
      <c r="AE26" s="198">
        <f t="shared" si="41"/>
        <v>66075</v>
      </c>
      <c r="AF26" s="198">
        <f t="shared" si="41"/>
        <v>25582</v>
      </c>
      <c r="AG26" s="198">
        <f t="shared" si="41"/>
        <v>56825</v>
      </c>
      <c r="AH26" s="198">
        <f t="shared" si="41"/>
        <v>108128</v>
      </c>
      <c r="AI26" s="200">
        <f t="shared" si="41"/>
        <v>676737</v>
      </c>
      <c r="AJ26" s="198">
        <f t="shared" si="41"/>
        <v>131721</v>
      </c>
      <c r="AK26" s="198">
        <f t="shared" si="41"/>
        <v>165514</v>
      </c>
      <c r="AL26" s="198">
        <v>134872</v>
      </c>
      <c r="AM26" s="198">
        <v>244629</v>
      </c>
      <c r="AN26" s="200">
        <v>336861</v>
      </c>
      <c r="AO26" s="198">
        <v>75134</v>
      </c>
      <c r="AP26" s="198">
        <v>151567</v>
      </c>
      <c r="AQ26" s="198">
        <v>63579</v>
      </c>
      <c r="AR26" s="198">
        <v>46580</v>
      </c>
      <c r="AS26" s="200">
        <v>468607</v>
      </c>
    </row>
    <row r="27" spans="1:45" ht="15.75" customHeight="1" thickTop="1">
      <c r="B27" s="206" t="s">
        <v>197</v>
      </c>
      <c r="C27" s="489">
        <v>-82614</v>
      </c>
      <c r="D27" s="428">
        <v>-72713</v>
      </c>
      <c r="E27" s="209">
        <v>-226926</v>
      </c>
      <c r="F27" s="441">
        <v>-106877</v>
      </c>
      <c r="G27" s="436">
        <v>-36865</v>
      </c>
      <c r="H27" s="436">
        <v>-15772</v>
      </c>
      <c r="I27" s="428">
        <v>-67413</v>
      </c>
      <c r="J27" s="209">
        <v>-374188</v>
      </c>
      <c r="K27" s="203">
        <v>61290</v>
      </c>
      <c r="L27" s="203">
        <v>-58123</v>
      </c>
      <c r="M27" s="203">
        <v>-172537</v>
      </c>
      <c r="N27" s="428">
        <v>-204818</v>
      </c>
      <c r="O27" s="209">
        <v>-717687</v>
      </c>
      <c r="P27" s="203">
        <v>-101309</v>
      </c>
      <c r="Q27" s="203">
        <v>-73026</v>
      </c>
      <c r="R27" s="203">
        <v>-290134</v>
      </c>
      <c r="S27" s="204">
        <v>-253220</v>
      </c>
      <c r="T27" s="209">
        <v>-1031490</v>
      </c>
      <c r="U27" s="203">
        <v>-355070</v>
      </c>
      <c r="V27" s="203">
        <v>-322099</v>
      </c>
      <c r="W27" s="203">
        <v>-205326</v>
      </c>
      <c r="X27" s="204">
        <v>-148995</v>
      </c>
      <c r="Y27" s="209">
        <v>-230942</v>
      </c>
      <c r="Z27" s="193">
        <v>-105635</v>
      </c>
      <c r="AA27" s="193">
        <v>-50484</v>
      </c>
      <c r="AB27" s="193">
        <v>-39638</v>
      </c>
      <c r="AC27" s="193">
        <v>-35185</v>
      </c>
      <c r="AD27" s="209">
        <v>-84252</v>
      </c>
      <c r="AE27" s="193">
        <v>71996</v>
      </c>
      <c r="AF27" s="193">
        <v>-47899</v>
      </c>
      <c r="AG27" s="193">
        <v>-56409</v>
      </c>
      <c r="AH27" s="193">
        <v>-51939</v>
      </c>
      <c r="AI27" s="209">
        <v>-129297</v>
      </c>
      <c r="AJ27" s="193">
        <v>34131</v>
      </c>
      <c r="AK27" s="193">
        <v>-19195</v>
      </c>
      <c r="AL27" s="193">
        <v>-64122</v>
      </c>
      <c r="AM27" s="193">
        <v>-80111</v>
      </c>
      <c r="AN27" s="195">
        <v>-30597</v>
      </c>
      <c r="AO27" s="193">
        <v>33183</v>
      </c>
      <c r="AP27" s="193">
        <v>-13221</v>
      </c>
      <c r="AQ27" s="193">
        <v>-36824</v>
      </c>
      <c r="AR27" s="193">
        <v>-13735</v>
      </c>
      <c r="AS27" s="195">
        <v>-187771</v>
      </c>
    </row>
    <row r="28" spans="1:45" ht="15.75" customHeight="1">
      <c r="A28" s="196"/>
      <c r="B28" s="210" t="s">
        <v>198</v>
      </c>
      <c r="C28" s="211">
        <f>SUM(C26:C27)</f>
        <v>231502</v>
      </c>
      <c r="D28" s="212">
        <f t="shared" ref="D28" si="42">SUM(D26:D27)</f>
        <v>150352</v>
      </c>
      <c r="E28" s="213">
        <f t="shared" ref="E28" si="43">SUM(E26:E27)</f>
        <v>557118</v>
      </c>
      <c r="F28" s="211">
        <f>SUM(F26:F27)</f>
        <v>292736</v>
      </c>
      <c r="G28" s="211">
        <f t="shared" ref="G28" si="44">SUM(G26:G27)</f>
        <v>118948</v>
      </c>
      <c r="H28" s="211">
        <f t="shared" ref="H28" si="45">SUM(H26:H27)</f>
        <v>89535</v>
      </c>
      <c r="I28" s="212">
        <f t="shared" ref="I28" si="46">SUM(I26:I27)</f>
        <v>55899</v>
      </c>
      <c r="J28" s="213">
        <f t="shared" ref="J28" si="47">SUM(J26:J27)</f>
        <v>791273</v>
      </c>
      <c r="K28" s="211">
        <f>SUM(K26:K27)</f>
        <v>161183</v>
      </c>
      <c r="L28" s="211">
        <f>SUM(L26:L27)</f>
        <v>190793</v>
      </c>
      <c r="M28" s="211">
        <f>SUM(M26:M27)</f>
        <v>186336</v>
      </c>
      <c r="N28" s="212">
        <f t="shared" ref="N28" si="48">SUM(N26:N27)</f>
        <v>252961</v>
      </c>
      <c r="O28" s="213">
        <f t="shared" ref="O28" si="49">SUM(O26:O27)</f>
        <v>1334303</v>
      </c>
      <c r="P28" s="211">
        <f>SUM(P26:P27)</f>
        <v>148330</v>
      </c>
      <c r="Q28" s="211">
        <f>SUM(Q26:Q27)</f>
        <v>197790</v>
      </c>
      <c r="R28" s="211">
        <f>SUM(R26:R27)</f>
        <v>539150</v>
      </c>
      <c r="S28" s="212">
        <f t="shared" ref="S28" si="50">SUM(S26:S27)</f>
        <v>449030</v>
      </c>
      <c r="T28" s="213">
        <v>2003833</v>
      </c>
      <c r="U28" s="211">
        <v>687996</v>
      </c>
      <c r="V28" s="211">
        <f>SUM(V26:V27)</f>
        <v>788055</v>
      </c>
      <c r="W28" s="211">
        <f>SUM(W26:W27)</f>
        <v>246971</v>
      </c>
      <c r="X28" s="212">
        <f t="shared" ref="X28" si="51">SUM(X26:X27)</f>
        <v>280811</v>
      </c>
      <c r="Y28" s="213">
        <f t="shared" ref="Y28:AK28" si="52">SUM(Y26:Y27)</f>
        <v>370215</v>
      </c>
      <c r="Z28" s="211">
        <f t="shared" si="52"/>
        <v>289133</v>
      </c>
      <c r="AA28" s="211">
        <f t="shared" si="52"/>
        <v>156276</v>
      </c>
      <c r="AB28" s="211">
        <f t="shared" si="52"/>
        <v>19173</v>
      </c>
      <c r="AC28" s="211">
        <f t="shared" si="52"/>
        <v>-94367</v>
      </c>
      <c r="AD28" s="213">
        <f t="shared" si="52"/>
        <v>172358</v>
      </c>
      <c r="AE28" s="211">
        <f t="shared" si="52"/>
        <v>138071</v>
      </c>
      <c r="AF28" s="211">
        <f t="shared" si="52"/>
        <v>-22317</v>
      </c>
      <c r="AG28" s="211">
        <f t="shared" si="52"/>
        <v>416</v>
      </c>
      <c r="AH28" s="211">
        <f t="shared" si="52"/>
        <v>56189</v>
      </c>
      <c r="AI28" s="213">
        <f t="shared" si="52"/>
        <v>547440</v>
      </c>
      <c r="AJ28" s="211">
        <f t="shared" si="52"/>
        <v>165852</v>
      </c>
      <c r="AK28" s="211">
        <f t="shared" si="52"/>
        <v>146319</v>
      </c>
      <c r="AL28" s="211">
        <v>70750</v>
      </c>
      <c r="AM28" s="211">
        <v>164518</v>
      </c>
      <c r="AN28" s="213">
        <v>306264</v>
      </c>
      <c r="AO28" s="211">
        <v>108317</v>
      </c>
      <c r="AP28" s="211">
        <v>138346</v>
      </c>
      <c r="AQ28" s="211">
        <v>26755</v>
      </c>
      <c r="AR28" s="211">
        <v>32845</v>
      </c>
      <c r="AS28" s="213">
        <v>280836</v>
      </c>
    </row>
    <row r="29" spans="1:45">
      <c r="AL29" s="185"/>
    </row>
    <row r="30" spans="1:45">
      <c r="AL30" s="214"/>
      <c r="AM30" s="214"/>
      <c r="AQ30" s="214"/>
    </row>
    <row r="31" spans="1:45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4"/>
      <c r="AM31" s="185"/>
      <c r="AN31" s="215"/>
      <c r="AO31" s="216"/>
      <c r="AP31" s="216"/>
      <c r="AQ31" s="185"/>
      <c r="AR31" s="216"/>
      <c r="AS31" s="215"/>
    </row>
    <row r="32" spans="1:45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6"/>
      <c r="AM32" s="185"/>
      <c r="AN32" s="215"/>
      <c r="AO32" s="216"/>
      <c r="AP32" s="216"/>
      <c r="AQ32" s="185"/>
      <c r="AR32" s="216"/>
      <c r="AS32" s="215"/>
    </row>
    <row r="33" spans="2:45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N33" s="215"/>
      <c r="AS33" s="215"/>
    </row>
    <row r="34" spans="2:45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7"/>
      <c r="AM34" s="217"/>
      <c r="AN34" s="215"/>
      <c r="AO34" s="217"/>
      <c r="AP34" s="217"/>
      <c r="AQ34" s="217"/>
      <c r="AR34" s="217"/>
      <c r="AS34" s="215"/>
    </row>
  </sheetData>
  <mergeCells count="50">
    <mergeCell ref="H10:H11"/>
    <mergeCell ref="C10:C11"/>
    <mergeCell ref="S10:S11"/>
    <mergeCell ref="T10:T11"/>
    <mergeCell ref="K10:K11"/>
    <mergeCell ref="L10:L11"/>
    <mergeCell ref="J10:J11"/>
    <mergeCell ref="N10:N11"/>
    <mergeCell ref="O10:O11"/>
    <mergeCell ref="I10:I11"/>
    <mergeCell ref="P10:P11"/>
    <mergeCell ref="Q10:Q11"/>
    <mergeCell ref="AL7:AL8"/>
    <mergeCell ref="V10:V11"/>
    <mergeCell ref="W10:W11"/>
    <mergeCell ref="X10:X11"/>
    <mergeCell ref="Z10:Z11"/>
    <mergeCell ref="Y10:Y11"/>
    <mergeCell ref="B7:B8"/>
    <mergeCell ref="AR7:AR8"/>
    <mergeCell ref="AQ7:AQ8"/>
    <mergeCell ref="AQ10:AQ11"/>
    <mergeCell ref="AP7:AP8"/>
    <mergeCell ref="AP10:AP11"/>
    <mergeCell ref="AN10:AN11"/>
    <mergeCell ref="AM7:AM8"/>
    <mergeCell ref="AM10:AM11"/>
    <mergeCell ref="AD10:AD11"/>
    <mergeCell ref="AE10:AE11"/>
    <mergeCell ref="AO10:AO11"/>
    <mergeCell ref="B10:B11"/>
    <mergeCell ref="R10:R11"/>
    <mergeCell ref="AR10:AR11"/>
    <mergeCell ref="G10:G11"/>
    <mergeCell ref="D10:D11"/>
    <mergeCell ref="AS10:AS11"/>
    <mergeCell ref="AL10:AL11"/>
    <mergeCell ref="AA10:AA11"/>
    <mergeCell ref="AB10:AB11"/>
    <mergeCell ref="AK10:AK11"/>
    <mergeCell ref="AI10:AI11"/>
    <mergeCell ref="AJ10:AJ11"/>
    <mergeCell ref="AG10:AG11"/>
    <mergeCell ref="AF10:AF11"/>
    <mergeCell ref="AC10:AC11"/>
    <mergeCell ref="AH10:AH11"/>
    <mergeCell ref="E10:E11"/>
    <mergeCell ref="F10:F11"/>
    <mergeCell ref="U10:U11"/>
    <mergeCell ref="M10:M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 AS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K67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50.140625" style="181" bestFit="1" customWidth="1"/>
    <col min="3" max="13" width="12.7109375" style="181" bestFit="1" customWidth="1"/>
    <col min="14" max="20" width="12.28515625" style="181" bestFit="1" customWidth="1"/>
    <col min="21" max="21" width="12.7109375" style="181" bestFit="1" customWidth="1"/>
    <col min="22" max="24" width="12.28515625" style="181" bestFit="1" customWidth="1"/>
    <col min="25" max="25" width="12.7109375" style="181" bestFit="1" customWidth="1"/>
    <col min="26" max="28" width="11.5703125" style="181" bestFit="1" customWidth="1"/>
    <col min="29" max="29" width="12.7109375" style="181" bestFit="1" customWidth="1"/>
    <col min="30" max="31" width="11.5703125" style="181" bestFit="1" customWidth="1"/>
    <col min="32" max="32" width="11.5703125" style="183" bestFit="1" customWidth="1"/>
    <col min="33" max="33" width="12.140625" style="183" customWidth="1"/>
    <col min="34" max="34" width="11.5703125" style="183" bestFit="1" customWidth="1"/>
    <col min="35" max="36" width="12.28515625" style="183" bestFit="1" customWidth="1"/>
    <col min="37" max="37" width="12.7109375" style="183" bestFit="1" customWidth="1"/>
    <col min="38" max="16384" width="9.140625" style="184"/>
  </cols>
  <sheetData>
    <row r="1" spans="1:37" ht="9" customHeight="1"/>
    <row r="2" spans="1:37" ht="15.75" customHeight="1"/>
    <row r="3" spans="1:37" ht="15.75" customHeight="1"/>
    <row r="4" spans="1:37" ht="15.75" customHeight="1"/>
    <row r="5" spans="1:37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</row>
    <row r="6" spans="1:37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</row>
    <row r="7" spans="1:37" ht="20.25">
      <c r="B7" s="450" t="s">
        <v>373</v>
      </c>
      <c r="C7" s="443"/>
      <c r="D7" s="440"/>
      <c r="E7" s="43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232"/>
      <c r="AG7" s="232"/>
      <c r="AH7" s="232"/>
      <c r="AI7" s="232"/>
      <c r="AJ7" s="232"/>
      <c r="AK7" s="232"/>
    </row>
    <row r="8" spans="1:37" ht="20.25">
      <c r="B8" s="450"/>
      <c r="C8" s="443"/>
      <c r="D8" s="440"/>
      <c r="E8" s="43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232"/>
      <c r="AG8" s="232"/>
      <c r="AH8" s="232"/>
      <c r="AI8" s="232"/>
      <c r="AJ8" s="232"/>
      <c r="AK8" s="232"/>
    </row>
    <row r="9" spans="1:37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</row>
    <row r="10" spans="1:37" ht="15.75" customHeight="1">
      <c r="A10" s="191"/>
      <c r="B10" s="455" t="s">
        <v>375</v>
      </c>
      <c r="C10" s="453" t="s">
        <v>449</v>
      </c>
      <c r="D10" s="453" t="s">
        <v>445</v>
      </c>
      <c r="E10" s="454" t="s">
        <v>438</v>
      </c>
      <c r="F10" s="453" t="s">
        <v>434</v>
      </c>
      <c r="G10" s="453" t="s">
        <v>431</v>
      </c>
      <c r="H10" s="453" t="s">
        <v>421</v>
      </c>
      <c r="I10" s="454" t="s">
        <v>411</v>
      </c>
      <c r="J10" s="453" t="s">
        <v>405</v>
      </c>
      <c r="K10" s="453" t="s">
        <v>402</v>
      </c>
      <c r="L10" s="453" t="s">
        <v>396</v>
      </c>
      <c r="M10" s="454" t="s">
        <v>392</v>
      </c>
      <c r="N10" s="453" t="s">
        <v>395</v>
      </c>
      <c r="O10" s="453" t="s">
        <v>368</v>
      </c>
      <c r="P10" s="453" t="s">
        <v>364</v>
      </c>
      <c r="Q10" s="456" t="s">
        <v>359</v>
      </c>
      <c r="R10" s="453" t="s">
        <v>352</v>
      </c>
      <c r="S10" s="453" t="s">
        <v>348</v>
      </c>
      <c r="T10" s="453" t="s">
        <v>345</v>
      </c>
      <c r="U10" s="456">
        <v>44196</v>
      </c>
      <c r="V10" s="457">
        <v>44104</v>
      </c>
      <c r="W10" s="453" t="s">
        <v>333</v>
      </c>
      <c r="X10" s="453" t="s">
        <v>334</v>
      </c>
      <c r="Y10" s="456">
        <v>43830</v>
      </c>
      <c r="Z10" s="457">
        <v>43738</v>
      </c>
      <c r="AA10" s="457">
        <v>43646</v>
      </c>
      <c r="AB10" s="457">
        <v>43555</v>
      </c>
      <c r="AC10" s="456">
        <v>43465</v>
      </c>
      <c r="AD10" s="457">
        <v>43373</v>
      </c>
      <c r="AE10" s="457">
        <v>43281</v>
      </c>
      <c r="AF10" s="457">
        <v>43190</v>
      </c>
      <c r="AG10" s="456">
        <v>43100</v>
      </c>
      <c r="AH10" s="457">
        <v>43008</v>
      </c>
      <c r="AI10" s="457">
        <v>42916</v>
      </c>
      <c r="AJ10" s="457">
        <v>42825</v>
      </c>
      <c r="AK10" s="456">
        <v>42735</v>
      </c>
    </row>
    <row r="11" spans="1:37" ht="15" customHeight="1">
      <c r="A11" s="191"/>
      <c r="B11" s="455"/>
      <c r="C11" s="453"/>
      <c r="D11" s="453"/>
      <c r="E11" s="454"/>
      <c r="F11" s="453"/>
      <c r="G11" s="453"/>
      <c r="H11" s="453"/>
      <c r="I11" s="454"/>
      <c r="J11" s="453"/>
      <c r="K11" s="453"/>
      <c r="L11" s="453"/>
      <c r="M11" s="454"/>
      <c r="N11" s="453"/>
      <c r="O11" s="453"/>
      <c r="P11" s="453"/>
      <c r="Q11" s="456"/>
      <c r="R11" s="453"/>
      <c r="S11" s="453"/>
      <c r="T11" s="453"/>
      <c r="U11" s="456"/>
      <c r="V11" s="457"/>
      <c r="W11" s="453"/>
      <c r="X11" s="453"/>
      <c r="Y11" s="456"/>
      <c r="Z11" s="457"/>
      <c r="AA11" s="457"/>
      <c r="AB11" s="457"/>
      <c r="AC11" s="456"/>
      <c r="AD11" s="457"/>
      <c r="AE11" s="457"/>
      <c r="AF11" s="457"/>
      <c r="AG11" s="456"/>
      <c r="AH11" s="457"/>
      <c r="AI11" s="457"/>
      <c r="AJ11" s="457"/>
      <c r="AK11" s="456"/>
    </row>
    <row r="12" spans="1:37" ht="15">
      <c r="A12" s="196"/>
      <c r="B12" s="218" t="s">
        <v>199</v>
      </c>
      <c r="C12" s="211">
        <f t="shared" ref="C12" si="0">C13+C21</f>
        <v>7539380</v>
      </c>
      <c r="D12" s="211">
        <f t="shared" ref="D12" si="1">D13+D21</f>
        <v>7280912</v>
      </c>
      <c r="E12" s="213">
        <f t="shared" ref="E12" si="2">E13+E21</f>
        <v>7111789</v>
      </c>
      <c r="F12" s="211">
        <f t="shared" ref="F12" si="3">F13+F21</f>
        <v>7582968</v>
      </c>
      <c r="G12" s="211">
        <f t="shared" ref="G12:L12" si="4">G13+G21</f>
        <v>7158097</v>
      </c>
      <c r="H12" s="211">
        <f t="shared" si="4"/>
        <v>7104944</v>
      </c>
      <c r="I12" s="213">
        <f t="shared" si="4"/>
        <v>6396491</v>
      </c>
      <c r="J12" s="211">
        <f t="shared" si="4"/>
        <v>6198664</v>
      </c>
      <c r="K12" s="211">
        <f t="shared" si="4"/>
        <v>5872802</v>
      </c>
      <c r="L12" s="211">
        <f t="shared" si="4"/>
        <v>6038082</v>
      </c>
      <c r="M12" s="213">
        <f t="shared" ref="M12" si="5">M13+M21</f>
        <v>5995253</v>
      </c>
      <c r="N12" s="211">
        <f>N13+N21</f>
        <v>6454798</v>
      </c>
      <c r="O12" s="211">
        <f>O13+O21</f>
        <v>6875187</v>
      </c>
      <c r="P12" s="211">
        <f>P13+P21</f>
        <v>6456704</v>
      </c>
      <c r="Q12" s="213">
        <v>6248208</v>
      </c>
      <c r="R12" s="211">
        <f>R13+R21</f>
        <v>6075096.5211200006</v>
      </c>
      <c r="S12" s="211">
        <f>S13+S21</f>
        <v>4907627.0918099992</v>
      </c>
      <c r="T12" s="211">
        <f>T13+T21</f>
        <v>4841766.7061899994</v>
      </c>
      <c r="U12" s="213">
        <f>U13+U21</f>
        <v>4508297</v>
      </c>
      <c r="V12" s="211">
        <f t="shared" ref="V12" si="6">V13+V21</f>
        <v>4335046</v>
      </c>
      <c r="W12" s="211">
        <f t="shared" ref="W12" si="7">W13+W21</f>
        <v>4108310</v>
      </c>
      <c r="X12" s="211">
        <f t="shared" ref="X12" si="8">X13+X21</f>
        <v>3931388</v>
      </c>
      <c r="Y12" s="213">
        <f t="shared" ref="Y12" si="9">Y13+Y21</f>
        <v>3718821</v>
      </c>
      <c r="Z12" s="211">
        <f t="shared" ref="Z12" si="10">Z13+Z21</f>
        <v>3636257</v>
      </c>
      <c r="AA12" s="211">
        <f t="shared" ref="AA12:AE12" si="11">AA13+AA21</f>
        <v>3727807</v>
      </c>
      <c r="AB12" s="211">
        <f t="shared" si="11"/>
        <v>3926438</v>
      </c>
      <c r="AC12" s="213">
        <f t="shared" si="11"/>
        <v>4042630</v>
      </c>
      <c r="AD12" s="211">
        <f t="shared" si="11"/>
        <v>3978312</v>
      </c>
      <c r="AE12" s="211">
        <f t="shared" si="11"/>
        <v>4094219</v>
      </c>
      <c r="AF12" s="211">
        <v>4273966</v>
      </c>
      <c r="AG12" s="213">
        <v>3466377</v>
      </c>
      <c r="AH12" s="211">
        <v>3561461</v>
      </c>
      <c r="AI12" s="211">
        <v>3614558</v>
      </c>
      <c r="AJ12" s="211">
        <v>3480230</v>
      </c>
      <c r="AK12" s="213">
        <v>3494699</v>
      </c>
    </row>
    <row r="13" spans="1:37" ht="15.75" thickBot="1">
      <c r="A13" s="196"/>
      <c r="B13" s="219" t="s">
        <v>200</v>
      </c>
      <c r="C13" s="198">
        <f t="shared" ref="C13" si="12">SUM(C14:C20)</f>
        <v>3075524</v>
      </c>
      <c r="D13" s="198">
        <f t="shared" ref="D13" si="13">SUM(D14:D20)</f>
        <v>2862549</v>
      </c>
      <c r="E13" s="200">
        <f t="shared" ref="E13" si="14">SUM(E14:E20)</f>
        <v>2932966</v>
      </c>
      <c r="F13" s="198">
        <f t="shared" ref="F13" si="15">SUM(F14:F20)</f>
        <v>3633307</v>
      </c>
      <c r="G13" s="198">
        <f t="shared" ref="G13:L13" si="16">SUM(G14:G20)</f>
        <v>3374105</v>
      </c>
      <c r="H13" s="198">
        <f t="shared" si="16"/>
        <v>3542973</v>
      </c>
      <c r="I13" s="200">
        <f t="shared" si="16"/>
        <v>3043657</v>
      </c>
      <c r="J13" s="198">
        <f t="shared" si="16"/>
        <v>2650188</v>
      </c>
      <c r="K13" s="198">
        <f t="shared" si="16"/>
        <v>2383709</v>
      </c>
      <c r="L13" s="198">
        <f t="shared" si="16"/>
        <v>2601945</v>
      </c>
      <c r="M13" s="200">
        <f t="shared" ref="M13" si="17">SUM(M14:M20)</f>
        <v>2603075</v>
      </c>
      <c r="N13" s="198">
        <f>SUM(N14:N20)</f>
        <v>3083689</v>
      </c>
      <c r="O13" s="198">
        <f>SUM(O14:O20)</f>
        <v>3551202</v>
      </c>
      <c r="P13" s="198">
        <f>SUM(P14:P20)</f>
        <v>3227355</v>
      </c>
      <c r="Q13" s="200">
        <v>2842827</v>
      </c>
      <c r="R13" s="198">
        <f>SUM(R14:R20)</f>
        <v>2795562.5211200002</v>
      </c>
      <c r="S13" s="198">
        <f>SUM(S14:S20)</f>
        <v>2249447.0918099997</v>
      </c>
      <c r="T13" s="198">
        <f>SUM(T14:T20)</f>
        <v>2181280.7061899998</v>
      </c>
      <c r="U13" s="200">
        <f>SUM(U14:U20)</f>
        <v>1880619</v>
      </c>
      <c r="V13" s="198">
        <f t="shared" ref="V13" si="18">SUM(V14:V20)</f>
        <v>1698992</v>
      </c>
      <c r="W13" s="198">
        <f t="shared" ref="W13" si="19">SUM(W14:W20)</f>
        <v>1516114</v>
      </c>
      <c r="X13" s="198">
        <f t="shared" ref="X13" si="20">SUM(X14:X20)</f>
        <v>1334064</v>
      </c>
      <c r="Y13" s="200">
        <f t="shared" ref="Y13" si="21">SUM(Y14:Y20)</f>
        <v>1207780</v>
      </c>
      <c r="Z13" s="198">
        <f t="shared" ref="Z13" si="22">SUM(Z14:Z20)</f>
        <v>1256603</v>
      </c>
      <c r="AA13" s="198">
        <f t="shared" ref="AA13:AE13" si="23">SUM(AA14:AA20)</f>
        <v>1311461</v>
      </c>
      <c r="AB13" s="198">
        <f t="shared" si="23"/>
        <v>1511411</v>
      </c>
      <c r="AC13" s="200">
        <f t="shared" si="23"/>
        <v>1600103</v>
      </c>
      <c r="AD13" s="198">
        <f t="shared" si="23"/>
        <v>1747846</v>
      </c>
      <c r="AE13" s="198">
        <f t="shared" si="23"/>
        <v>1850045</v>
      </c>
      <c r="AF13" s="198">
        <v>1957546</v>
      </c>
      <c r="AG13" s="200">
        <v>1109867</v>
      </c>
      <c r="AH13" s="198">
        <v>1191551</v>
      </c>
      <c r="AI13" s="198">
        <v>1242422</v>
      </c>
      <c r="AJ13" s="198">
        <v>1090117</v>
      </c>
      <c r="AK13" s="200">
        <v>1108029</v>
      </c>
    </row>
    <row r="14" spans="1:37" ht="15" thickTop="1">
      <c r="B14" s="220" t="s">
        <v>201</v>
      </c>
      <c r="C14" s="193">
        <v>1135632</v>
      </c>
      <c r="D14" s="193">
        <v>773873</v>
      </c>
      <c r="E14" s="195">
        <v>845342</v>
      </c>
      <c r="F14" s="193">
        <v>1122845</v>
      </c>
      <c r="G14" s="193">
        <v>1538805</v>
      </c>
      <c r="H14" s="193">
        <v>1876229</v>
      </c>
      <c r="I14" s="195">
        <v>1343204</v>
      </c>
      <c r="J14" s="193">
        <v>869809</v>
      </c>
      <c r="K14" s="193">
        <v>795016</v>
      </c>
      <c r="L14" s="193">
        <v>1101464</v>
      </c>
      <c r="M14" s="195">
        <v>402122</v>
      </c>
      <c r="N14" s="193">
        <v>415016</v>
      </c>
      <c r="O14" s="193">
        <v>547658</v>
      </c>
      <c r="P14" s="193">
        <v>330672</v>
      </c>
      <c r="Q14" s="195">
        <v>331177</v>
      </c>
      <c r="R14" s="193">
        <v>824377</v>
      </c>
      <c r="S14" s="193">
        <v>760350</v>
      </c>
      <c r="T14" s="193">
        <v>845587</v>
      </c>
      <c r="U14" s="195">
        <v>924852</v>
      </c>
      <c r="V14" s="193">
        <v>867250</v>
      </c>
      <c r="W14" s="193">
        <v>743093</v>
      </c>
      <c r="X14" s="193">
        <v>436372</v>
      </c>
      <c r="Y14" s="195">
        <v>301525</v>
      </c>
      <c r="Z14" s="193">
        <v>170739</v>
      </c>
      <c r="AA14" s="193">
        <v>263848</v>
      </c>
      <c r="AB14" s="193">
        <v>268402</v>
      </c>
      <c r="AC14" s="195">
        <v>201542</v>
      </c>
      <c r="AD14" s="193">
        <v>303933</v>
      </c>
      <c r="AE14" s="193">
        <v>140834</v>
      </c>
      <c r="AF14" s="193">
        <v>230275</v>
      </c>
      <c r="AG14" s="195">
        <v>78559</v>
      </c>
      <c r="AH14" s="193">
        <v>67473</v>
      </c>
      <c r="AI14" s="193">
        <v>299058</v>
      </c>
      <c r="AJ14" s="193">
        <v>170091</v>
      </c>
      <c r="AK14" s="195">
        <v>383346</v>
      </c>
    </row>
    <row r="15" spans="1:37">
      <c r="B15" s="221" t="s">
        <v>202</v>
      </c>
      <c r="C15" s="193">
        <v>611902</v>
      </c>
      <c r="D15" s="193">
        <v>706902</v>
      </c>
      <c r="E15" s="195">
        <v>739440</v>
      </c>
      <c r="F15" s="193">
        <v>1180586</v>
      </c>
      <c r="G15" s="193">
        <v>479690</v>
      </c>
      <c r="H15" s="193">
        <v>376492</v>
      </c>
      <c r="I15" s="195">
        <v>794837</v>
      </c>
      <c r="J15" s="193">
        <v>725858</v>
      </c>
      <c r="K15" s="193">
        <v>537079</v>
      </c>
      <c r="L15" s="193">
        <v>307141</v>
      </c>
      <c r="M15" s="195">
        <v>1011847</v>
      </c>
      <c r="N15" s="193">
        <v>1207964</v>
      </c>
      <c r="O15" s="193">
        <v>1530491</v>
      </c>
      <c r="P15" s="193">
        <v>1534768</v>
      </c>
      <c r="Q15" s="195">
        <v>1291272</v>
      </c>
      <c r="R15" s="193">
        <v>610296</v>
      </c>
      <c r="S15" s="193">
        <v>324660</v>
      </c>
      <c r="T15" s="193">
        <v>201944</v>
      </c>
      <c r="U15" s="195">
        <v>188908</v>
      </c>
      <c r="V15" s="193">
        <v>44293</v>
      </c>
      <c r="W15" s="193">
        <v>14787</v>
      </c>
      <c r="X15" s="193">
        <v>42387</v>
      </c>
      <c r="Y15" s="195">
        <v>213158</v>
      </c>
      <c r="Z15" s="193">
        <v>358006</v>
      </c>
      <c r="AA15" s="193">
        <v>311218</v>
      </c>
      <c r="AB15" s="193">
        <v>550483</v>
      </c>
      <c r="AC15" s="195">
        <v>659939</v>
      </c>
      <c r="AD15" s="193">
        <v>603852</v>
      </c>
      <c r="AE15" s="193">
        <v>772439</v>
      </c>
      <c r="AF15" s="193">
        <v>844641</v>
      </c>
      <c r="AG15" s="195">
        <v>323243</v>
      </c>
      <c r="AH15" s="193">
        <v>361551</v>
      </c>
      <c r="AI15" s="193">
        <v>179786</v>
      </c>
      <c r="AJ15" s="193">
        <v>181695</v>
      </c>
      <c r="AK15" s="195">
        <v>96612</v>
      </c>
    </row>
    <row r="16" spans="1:37">
      <c r="B16" s="221" t="s">
        <v>203</v>
      </c>
      <c r="C16" s="193">
        <v>560126</v>
      </c>
      <c r="D16" s="193">
        <v>582033</v>
      </c>
      <c r="E16" s="195">
        <v>590028</v>
      </c>
      <c r="F16" s="193">
        <v>573835</v>
      </c>
      <c r="G16" s="193">
        <v>521021</v>
      </c>
      <c r="H16" s="193">
        <v>513685</v>
      </c>
      <c r="I16" s="195">
        <v>341044</v>
      </c>
      <c r="J16" s="193">
        <v>472894</v>
      </c>
      <c r="K16" s="193">
        <v>475070</v>
      </c>
      <c r="L16" s="193">
        <v>583246</v>
      </c>
      <c r="M16" s="195">
        <v>541716</v>
      </c>
      <c r="N16" s="193">
        <v>656955</v>
      </c>
      <c r="O16" s="193">
        <v>798636</v>
      </c>
      <c r="P16" s="193">
        <v>747857</v>
      </c>
      <c r="Q16" s="195">
        <v>676256</v>
      </c>
      <c r="R16" s="193">
        <v>788121</v>
      </c>
      <c r="S16" s="193">
        <v>583085.14399999997</v>
      </c>
      <c r="T16" s="193">
        <v>642524</v>
      </c>
      <c r="U16" s="195">
        <v>534092</v>
      </c>
      <c r="V16" s="193">
        <v>517355</v>
      </c>
      <c r="W16" s="193">
        <v>404799</v>
      </c>
      <c r="X16" s="193">
        <v>480667</v>
      </c>
      <c r="Y16" s="195">
        <v>381822</v>
      </c>
      <c r="Z16" s="193">
        <v>420596</v>
      </c>
      <c r="AA16" s="193">
        <v>450043</v>
      </c>
      <c r="AB16" s="193">
        <v>415932</v>
      </c>
      <c r="AC16" s="195">
        <v>449321</v>
      </c>
      <c r="AD16" s="193">
        <v>547296</v>
      </c>
      <c r="AE16" s="193">
        <v>642138</v>
      </c>
      <c r="AF16" s="193">
        <v>613590</v>
      </c>
      <c r="AG16" s="195">
        <v>459758</v>
      </c>
      <c r="AH16" s="193">
        <v>514708</v>
      </c>
      <c r="AI16" s="193">
        <v>446954</v>
      </c>
      <c r="AJ16" s="193">
        <v>471594</v>
      </c>
      <c r="AK16" s="195">
        <v>353207</v>
      </c>
    </row>
    <row r="17" spans="1:37">
      <c r="B17" s="220" t="s">
        <v>204</v>
      </c>
      <c r="C17" s="193">
        <v>214864</v>
      </c>
      <c r="D17" s="193">
        <v>252878</v>
      </c>
      <c r="E17" s="195">
        <v>296058</v>
      </c>
      <c r="F17" s="193">
        <v>255561</v>
      </c>
      <c r="G17" s="193">
        <v>267220</v>
      </c>
      <c r="H17" s="193">
        <v>310249</v>
      </c>
      <c r="I17" s="195">
        <v>249869</v>
      </c>
      <c r="J17" s="193">
        <v>192610</v>
      </c>
      <c r="K17" s="193">
        <v>149461</v>
      </c>
      <c r="L17" s="193">
        <v>186207</v>
      </c>
      <c r="M17" s="195">
        <v>197299</v>
      </c>
      <c r="N17" s="193">
        <v>267941</v>
      </c>
      <c r="O17" s="193">
        <v>126361</v>
      </c>
      <c r="P17" s="193">
        <v>121897</v>
      </c>
      <c r="Q17" s="195">
        <v>68187</v>
      </c>
      <c r="R17" s="193">
        <v>127924</v>
      </c>
      <c r="S17" s="193">
        <v>117932</v>
      </c>
      <c r="T17" s="193">
        <v>15731</v>
      </c>
      <c r="U17" s="195">
        <v>29165</v>
      </c>
      <c r="V17" s="193">
        <v>23447</v>
      </c>
      <c r="W17" s="193">
        <v>33260</v>
      </c>
      <c r="X17" s="193">
        <v>36001</v>
      </c>
      <c r="Y17" s="195">
        <v>48858</v>
      </c>
      <c r="Z17" s="193">
        <v>52373</v>
      </c>
      <c r="AA17" s="193">
        <v>64522</v>
      </c>
      <c r="AB17" s="193">
        <v>64171</v>
      </c>
      <c r="AC17" s="195">
        <v>65201</v>
      </c>
      <c r="AD17" s="193">
        <v>65160</v>
      </c>
      <c r="AE17" s="193">
        <v>52278</v>
      </c>
      <c r="AF17" s="193">
        <v>52578</v>
      </c>
      <c r="AG17" s="195">
        <v>48701</v>
      </c>
      <c r="AH17" s="193">
        <v>30186</v>
      </c>
      <c r="AI17" s="193">
        <v>31067</v>
      </c>
      <c r="AJ17" s="193">
        <v>30879</v>
      </c>
      <c r="AK17" s="195">
        <v>48483</v>
      </c>
    </row>
    <row r="18" spans="1:37">
      <c r="B18" s="221" t="s">
        <v>205</v>
      </c>
      <c r="C18" s="193">
        <v>439783</v>
      </c>
      <c r="D18" s="193">
        <v>433135</v>
      </c>
      <c r="E18" s="195">
        <v>410075</v>
      </c>
      <c r="F18" s="193">
        <v>396637</v>
      </c>
      <c r="G18" s="193">
        <v>450811</v>
      </c>
      <c r="H18" s="193">
        <v>373325</v>
      </c>
      <c r="I18" s="195">
        <v>281966</v>
      </c>
      <c r="J18" s="193">
        <v>339797</v>
      </c>
      <c r="K18" s="193">
        <v>363532</v>
      </c>
      <c r="L18" s="193">
        <v>370772</v>
      </c>
      <c r="M18" s="195">
        <v>426704</v>
      </c>
      <c r="N18" s="193">
        <v>508244</v>
      </c>
      <c r="O18" s="193">
        <v>499658</v>
      </c>
      <c r="P18" s="193">
        <v>426139</v>
      </c>
      <c r="Q18" s="195">
        <v>442130</v>
      </c>
      <c r="R18" s="193">
        <v>393899</v>
      </c>
      <c r="S18" s="193">
        <v>409248</v>
      </c>
      <c r="T18" s="193">
        <v>420351</v>
      </c>
      <c r="U18" s="195">
        <v>189238</v>
      </c>
      <c r="V18" s="193">
        <v>225584</v>
      </c>
      <c r="W18" s="193">
        <v>286036</v>
      </c>
      <c r="X18" s="193">
        <v>262137</v>
      </c>
      <c r="Y18" s="195">
        <v>209591</v>
      </c>
      <c r="Z18" s="193">
        <v>210194</v>
      </c>
      <c r="AA18" s="193">
        <v>191017</v>
      </c>
      <c r="AB18" s="193">
        <v>177323</v>
      </c>
      <c r="AC18" s="195">
        <v>198621</v>
      </c>
      <c r="AD18" s="193">
        <v>198597</v>
      </c>
      <c r="AE18" s="193">
        <v>215968</v>
      </c>
      <c r="AF18" s="193">
        <v>185580</v>
      </c>
      <c r="AG18" s="195">
        <v>180668</v>
      </c>
      <c r="AH18" s="193">
        <v>196311</v>
      </c>
      <c r="AI18" s="193">
        <v>255283</v>
      </c>
      <c r="AJ18" s="193">
        <v>201106</v>
      </c>
      <c r="AK18" s="195">
        <v>204060</v>
      </c>
    </row>
    <row r="19" spans="1:37">
      <c r="B19" s="221" t="s">
        <v>206</v>
      </c>
      <c r="C19" s="193">
        <v>52718</v>
      </c>
      <c r="D19" s="193">
        <v>85062</v>
      </c>
      <c r="E19" s="195">
        <v>29927</v>
      </c>
      <c r="F19" s="193">
        <v>46504</v>
      </c>
      <c r="G19" s="181">
        <v>59653</v>
      </c>
      <c r="H19" s="193">
        <v>47465</v>
      </c>
      <c r="I19" s="195">
        <v>3957</v>
      </c>
      <c r="J19" s="181">
        <v>13845</v>
      </c>
      <c r="K19" s="181">
        <v>25163</v>
      </c>
      <c r="L19" s="193">
        <v>35473</v>
      </c>
      <c r="M19" s="195">
        <v>2340</v>
      </c>
      <c r="N19" s="193">
        <v>10886</v>
      </c>
      <c r="O19" s="193">
        <v>21271</v>
      </c>
      <c r="P19" s="193">
        <v>27139</v>
      </c>
      <c r="Q19" s="195">
        <v>3113</v>
      </c>
      <c r="R19" s="193">
        <v>11142</v>
      </c>
      <c r="S19" s="193">
        <v>16705</v>
      </c>
      <c r="T19" s="193">
        <v>23171</v>
      </c>
      <c r="U19" s="195">
        <v>1876</v>
      </c>
      <c r="V19" s="193">
        <v>7984</v>
      </c>
      <c r="W19" s="193">
        <v>12997</v>
      </c>
      <c r="X19" s="193">
        <v>18326</v>
      </c>
      <c r="Y19" s="195">
        <v>2479</v>
      </c>
      <c r="Z19" s="193">
        <v>8087</v>
      </c>
      <c r="AA19" s="193">
        <v>11397</v>
      </c>
      <c r="AB19" s="193">
        <v>14794</v>
      </c>
      <c r="AC19" s="195">
        <v>2018</v>
      </c>
      <c r="AD19" s="193">
        <v>5646</v>
      </c>
      <c r="AE19" s="193">
        <v>10649</v>
      </c>
      <c r="AF19" s="193">
        <v>13492</v>
      </c>
      <c r="AG19" s="195">
        <v>1663</v>
      </c>
      <c r="AH19" s="193">
        <v>6252</v>
      </c>
      <c r="AI19" s="193">
        <v>11130</v>
      </c>
      <c r="AJ19" s="193">
        <v>13661</v>
      </c>
      <c r="AK19" s="195">
        <v>5170</v>
      </c>
    </row>
    <row r="20" spans="1:37">
      <c r="B20" s="221" t="s">
        <v>207</v>
      </c>
      <c r="C20" s="193">
        <v>60499</v>
      </c>
      <c r="D20" s="193">
        <v>28666</v>
      </c>
      <c r="E20" s="195">
        <v>22096</v>
      </c>
      <c r="F20" s="193">
        <v>57339</v>
      </c>
      <c r="G20" s="193">
        <v>56905</v>
      </c>
      <c r="H20" s="193">
        <v>45528</v>
      </c>
      <c r="I20" s="195">
        <v>28780</v>
      </c>
      <c r="J20" s="193">
        <v>35375</v>
      </c>
      <c r="K20" s="193">
        <v>38388</v>
      </c>
      <c r="L20" s="193">
        <v>17642</v>
      </c>
      <c r="M20" s="195">
        <v>21047</v>
      </c>
      <c r="N20" s="193">
        <v>16683</v>
      </c>
      <c r="O20" s="193">
        <v>27127</v>
      </c>
      <c r="P20" s="193">
        <v>38883</v>
      </c>
      <c r="Q20" s="195">
        <v>30692</v>
      </c>
      <c r="R20" s="193">
        <v>39803.521119999998</v>
      </c>
      <c r="S20" s="193">
        <v>37466.947809999998</v>
      </c>
      <c r="T20" s="193">
        <v>31972.706190000001</v>
      </c>
      <c r="U20" s="195">
        <v>12488</v>
      </c>
      <c r="V20" s="193">
        <v>13079</v>
      </c>
      <c r="W20" s="193">
        <v>21142</v>
      </c>
      <c r="X20" s="193">
        <v>58174</v>
      </c>
      <c r="Y20" s="195">
        <v>50347</v>
      </c>
      <c r="Z20" s="193">
        <v>36608</v>
      </c>
      <c r="AA20" s="193">
        <v>19416</v>
      </c>
      <c r="AB20" s="193">
        <v>20306</v>
      </c>
      <c r="AC20" s="195">
        <v>23461</v>
      </c>
      <c r="AD20" s="193">
        <v>23362</v>
      </c>
      <c r="AE20" s="193">
        <v>15739</v>
      </c>
      <c r="AF20" s="193">
        <v>17390</v>
      </c>
      <c r="AG20" s="195">
        <v>17275</v>
      </c>
      <c r="AH20" s="193">
        <v>15070</v>
      </c>
      <c r="AI20" s="193">
        <v>19144</v>
      </c>
      <c r="AJ20" s="193">
        <v>21091</v>
      </c>
      <c r="AK20" s="195">
        <v>17151</v>
      </c>
    </row>
    <row r="21" spans="1:37" ht="15">
      <c r="A21" s="196"/>
      <c r="B21" s="222" t="s">
        <v>208</v>
      </c>
      <c r="C21" s="223">
        <f t="shared" ref="C21" si="24">C22+C32+C33+C34</f>
        <v>4463856</v>
      </c>
      <c r="D21" s="223">
        <f t="shared" ref="D21" si="25">D22+D32+D33+D34</f>
        <v>4418363</v>
      </c>
      <c r="E21" s="224">
        <f t="shared" ref="E21" si="26">E22+E32+E33+E34</f>
        <v>4178823</v>
      </c>
      <c r="F21" s="223">
        <f t="shared" ref="F21" si="27">F22+F32+F33+F34</f>
        <v>3949661</v>
      </c>
      <c r="G21" s="223">
        <f t="shared" ref="G21" si="28">G22+G32+G33+G34</f>
        <v>3783992</v>
      </c>
      <c r="H21" s="223">
        <f t="shared" ref="H21" si="29">H22+H32+H33+H34</f>
        <v>3561971</v>
      </c>
      <c r="I21" s="224">
        <f t="shared" ref="I21" si="30">I22+I32+I33+I34</f>
        <v>3352834</v>
      </c>
      <c r="J21" s="223">
        <f t="shared" ref="J21" si="31">J22+J32+J33+J34</f>
        <v>3548476</v>
      </c>
      <c r="K21" s="223">
        <f t="shared" ref="K21" si="32">K22+K32+K33+K34</f>
        <v>3489093</v>
      </c>
      <c r="L21" s="223">
        <f t="shared" ref="L21" si="33">L22+L32+L33+L34</f>
        <v>3436137</v>
      </c>
      <c r="M21" s="224">
        <f>M22+M32+M33+M34</f>
        <v>3392178</v>
      </c>
      <c r="N21" s="223">
        <f t="shared" ref="N21" si="34">N22+N32+N33+N34</f>
        <v>3371109</v>
      </c>
      <c r="O21" s="223">
        <f t="shared" ref="O21" si="35">O22+O32+O33+O34</f>
        <v>3323985</v>
      </c>
      <c r="P21" s="223">
        <f t="shared" ref="P21" si="36">P22+P32+P33+P34</f>
        <v>3229349</v>
      </c>
      <c r="Q21" s="224">
        <v>3405381</v>
      </c>
      <c r="R21" s="223">
        <f t="shared" ref="R21:S21" si="37">R22+R32+R33+R34</f>
        <v>3279534</v>
      </c>
      <c r="S21" s="223">
        <f t="shared" si="37"/>
        <v>2658180</v>
      </c>
      <c r="T21" s="223">
        <f t="shared" ref="T21" si="38">T22+T32+T33+T34</f>
        <v>2660486</v>
      </c>
      <c r="U21" s="224">
        <f t="shared" ref="U21" si="39">U22+U32+U33+U34</f>
        <v>2627678</v>
      </c>
      <c r="V21" s="223">
        <f>V22+V32+V33+V34</f>
        <v>2636054</v>
      </c>
      <c r="W21" s="223">
        <f>W22+W32+W33+W34</f>
        <v>2592196</v>
      </c>
      <c r="X21" s="223">
        <f>X22+X32+X33+X34</f>
        <v>2597324</v>
      </c>
      <c r="Y21" s="224">
        <f>Y22+Y32+Y33+Y34</f>
        <v>2511041</v>
      </c>
      <c r="Z21" s="223">
        <f t="shared" ref="Z21" si="40">Z22+Z32+Z33+Z34</f>
        <v>2379654</v>
      </c>
      <c r="AA21" s="223">
        <f t="shared" ref="AA21:AE21" si="41">AA22+AA32+AA33+AA34</f>
        <v>2416346</v>
      </c>
      <c r="AB21" s="223">
        <f t="shared" si="41"/>
        <v>2415027</v>
      </c>
      <c r="AC21" s="224">
        <f t="shared" si="41"/>
        <v>2442527</v>
      </c>
      <c r="AD21" s="223">
        <f t="shared" si="41"/>
        <v>2230466</v>
      </c>
      <c r="AE21" s="223">
        <f t="shared" si="41"/>
        <v>2244174</v>
      </c>
      <c r="AF21" s="223">
        <v>2316420</v>
      </c>
      <c r="AG21" s="224">
        <v>2356510</v>
      </c>
      <c r="AH21" s="223">
        <v>2369910</v>
      </c>
      <c r="AI21" s="223">
        <v>2372136</v>
      </c>
      <c r="AJ21" s="223">
        <v>2390113</v>
      </c>
      <c r="AK21" s="224">
        <v>2386670</v>
      </c>
    </row>
    <row r="22" spans="1:37" ht="15.75" thickBot="1">
      <c r="A22" s="196"/>
      <c r="B22" s="225" t="s">
        <v>209</v>
      </c>
      <c r="C22" s="198">
        <f t="shared" ref="C22" si="42">SUM(C23:C31)</f>
        <v>607903</v>
      </c>
      <c r="D22" s="198">
        <f t="shared" ref="D22" si="43">SUM(D23:D31)</f>
        <v>623338</v>
      </c>
      <c r="E22" s="200">
        <f t="shared" ref="E22" si="44">SUM(E23:E31)</f>
        <v>586568</v>
      </c>
      <c r="F22" s="198">
        <f t="shared" ref="F22" si="45">SUM(F23:F31)</f>
        <v>671183</v>
      </c>
      <c r="G22" s="198">
        <f t="shared" ref="G22" si="46">SUM(G23:G31)</f>
        <v>672900</v>
      </c>
      <c r="H22" s="198">
        <f t="shared" ref="H22" si="47">SUM(H23:H31)</f>
        <v>651248</v>
      </c>
      <c r="I22" s="200">
        <f t="shared" ref="I22" si="48">SUM(I23:I31)</f>
        <v>642465</v>
      </c>
      <c r="J22" s="198">
        <f t="shared" ref="J22" si="49">SUM(J23:J31)</f>
        <v>672481</v>
      </c>
      <c r="K22" s="198">
        <f t="shared" ref="K22" si="50">SUM(K23:K31)</f>
        <v>657767</v>
      </c>
      <c r="L22" s="198">
        <f t="shared" ref="L22" si="51">SUM(L23:L31)</f>
        <v>648841</v>
      </c>
      <c r="M22" s="200">
        <f>SUM(M23:M31)</f>
        <v>621253</v>
      </c>
      <c r="N22" s="198">
        <f t="shared" ref="N22" si="52">SUM(N23:N31)</f>
        <v>642016</v>
      </c>
      <c r="O22" s="198">
        <f t="shared" ref="O22" si="53">SUM(O23:O31)</f>
        <v>758091</v>
      </c>
      <c r="P22" s="198">
        <f t="shared" ref="P22" si="54">SUM(P23:P31)</f>
        <v>735015</v>
      </c>
      <c r="Q22" s="200">
        <v>832583</v>
      </c>
      <c r="R22" s="198">
        <f t="shared" ref="R22:S22" si="55">SUM(R23:R31)</f>
        <v>801780</v>
      </c>
      <c r="S22" s="198">
        <f t="shared" si="55"/>
        <v>271334</v>
      </c>
      <c r="T22" s="198">
        <f t="shared" ref="T22" si="56">SUM(T23:T31)</f>
        <v>291668</v>
      </c>
      <c r="U22" s="200">
        <f t="shared" ref="U22" si="57">SUM(U23:U31)</f>
        <v>313429</v>
      </c>
      <c r="V22" s="198">
        <f>SUM(V23:V31)</f>
        <v>315297</v>
      </c>
      <c r="W22" s="198">
        <f>SUM(W23:W31)</f>
        <v>316489</v>
      </c>
      <c r="X22" s="198">
        <f>SUM(X23:X31)</f>
        <v>305727</v>
      </c>
      <c r="Y22" s="200">
        <f>SUM(Y23:Y31)</f>
        <v>306504</v>
      </c>
      <c r="Z22" s="198">
        <f t="shared" ref="Z22" si="58">SUM(Z23:Z31)</f>
        <v>210950</v>
      </c>
      <c r="AA22" s="198">
        <f t="shared" ref="AA22:AE22" si="59">SUM(AA23:AA31)</f>
        <v>208593</v>
      </c>
      <c r="AB22" s="198">
        <f t="shared" si="59"/>
        <v>219568</v>
      </c>
      <c r="AC22" s="200">
        <f t="shared" si="59"/>
        <v>223849</v>
      </c>
      <c r="AD22" s="198">
        <f t="shared" si="59"/>
        <v>125411</v>
      </c>
      <c r="AE22" s="198">
        <f t="shared" si="59"/>
        <v>141511</v>
      </c>
      <c r="AF22" s="198">
        <v>150948</v>
      </c>
      <c r="AG22" s="200"/>
      <c r="AH22" s="198">
        <v>177416</v>
      </c>
      <c r="AI22" s="198">
        <v>175003</v>
      </c>
      <c r="AJ22" s="198">
        <v>178707</v>
      </c>
      <c r="AK22" s="200">
        <v>151602</v>
      </c>
    </row>
    <row r="23" spans="1:37" ht="15" thickTop="1">
      <c r="B23" s="221" t="s">
        <v>202</v>
      </c>
      <c r="C23" s="193">
        <v>4078</v>
      </c>
      <c r="D23" s="193">
        <v>0</v>
      </c>
      <c r="E23" s="195">
        <v>0</v>
      </c>
      <c r="F23" s="193">
        <v>8458</v>
      </c>
      <c r="G23" s="193">
        <v>8470</v>
      </c>
      <c r="H23" s="193">
        <v>8390</v>
      </c>
      <c r="I23" s="195">
        <v>7872</v>
      </c>
      <c r="J23" s="193">
        <v>0</v>
      </c>
      <c r="K23" s="193">
        <v>0</v>
      </c>
      <c r="L23" s="193">
        <v>0</v>
      </c>
      <c r="M23" s="195">
        <v>0</v>
      </c>
      <c r="N23" s="193">
        <v>0</v>
      </c>
      <c r="O23" s="193">
        <v>0</v>
      </c>
      <c r="P23" s="193">
        <v>0</v>
      </c>
      <c r="Q23" s="195">
        <v>0</v>
      </c>
      <c r="R23" s="193">
        <v>0</v>
      </c>
      <c r="S23" s="193">
        <v>0</v>
      </c>
      <c r="T23" s="193">
        <v>0</v>
      </c>
      <c r="U23" s="195">
        <v>0</v>
      </c>
      <c r="V23" s="193">
        <v>0</v>
      </c>
      <c r="W23" s="193">
        <v>0</v>
      </c>
      <c r="X23" s="193">
        <v>0</v>
      </c>
      <c r="Y23" s="195">
        <v>0</v>
      </c>
      <c r="Z23" s="193">
        <v>0</v>
      </c>
      <c r="AA23" s="193">
        <v>0</v>
      </c>
      <c r="AB23" s="193">
        <v>0</v>
      </c>
      <c r="AC23" s="195">
        <v>0</v>
      </c>
      <c r="AD23" s="193">
        <v>0</v>
      </c>
      <c r="AE23" s="193">
        <v>0</v>
      </c>
      <c r="AF23" s="193">
        <v>0</v>
      </c>
      <c r="AG23" s="195">
        <v>0</v>
      </c>
      <c r="AH23" s="193" t="s">
        <v>157</v>
      </c>
      <c r="AI23" s="193">
        <v>0</v>
      </c>
      <c r="AJ23" s="193">
        <v>0</v>
      </c>
      <c r="AK23" s="195">
        <v>0</v>
      </c>
    </row>
    <row r="24" spans="1:37">
      <c r="B24" s="221" t="s">
        <v>203</v>
      </c>
      <c r="C24" s="193">
        <v>0</v>
      </c>
      <c r="D24" s="193">
        <v>0</v>
      </c>
      <c r="E24" s="195">
        <v>0</v>
      </c>
      <c r="F24" s="193">
        <v>0</v>
      </c>
      <c r="G24" s="193">
        <v>0</v>
      </c>
      <c r="H24" s="193">
        <v>0</v>
      </c>
      <c r="I24" s="195">
        <v>0</v>
      </c>
      <c r="J24" s="193">
        <v>0</v>
      </c>
      <c r="K24" s="193">
        <v>0</v>
      </c>
      <c r="L24" s="193">
        <v>0</v>
      </c>
      <c r="M24" s="195">
        <v>808</v>
      </c>
      <c r="N24" s="193">
        <v>0</v>
      </c>
      <c r="O24" s="193">
        <v>0</v>
      </c>
      <c r="P24" s="193">
        <v>0</v>
      </c>
      <c r="Q24" s="195">
        <v>0</v>
      </c>
      <c r="R24" s="193">
        <v>0</v>
      </c>
      <c r="S24" s="193">
        <v>0</v>
      </c>
      <c r="T24" s="193">
        <v>0</v>
      </c>
      <c r="U24" s="195">
        <v>0</v>
      </c>
      <c r="V24" s="193">
        <v>0</v>
      </c>
      <c r="W24" s="193">
        <v>0</v>
      </c>
      <c r="X24" s="193">
        <v>0</v>
      </c>
      <c r="Y24" s="195">
        <v>0</v>
      </c>
      <c r="Z24" s="193">
        <v>0</v>
      </c>
      <c r="AA24" s="193">
        <v>0</v>
      </c>
      <c r="AB24" s="193">
        <v>0</v>
      </c>
      <c r="AC24" s="195">
        <v>0</v>
      </c>
      <c r="AD24" s="193">
        <v>0</v>
      </c>
      <c r="AE24" s="193">
        <v>0</v>
      </c>
      <c r="AF24" s="193">
        <v>0</v>
      </c>
      <c r="AG24" s="195">
        <v>0</v>
      </c>
      <c r="AH24" s="193" t="s">
        <v>157</v>
      </c>
      <c r="AI24" s="193">
        <v>0</v>
      </c>
      <c r="AJ24" s="193">
        <v>22611</v>
      </c>
      <c r="AK24" s="195">
        <v>22611</v>
      </c>
    </row>
    <row r="25" spans="1:37">
      <c r="B25" s="220" t="s">
        <v>204</v>
      </c>
      <c r="C25" s="193">
        <v>481746</v>
      </c>
      <c r="D25" s="193">
        <v>499633</v>
      </c>
      <c r="E25" s="195">
        <v>476989</v>
      </c>
      <c r="F25" s="193">
        <v>555943</v>
      </c>
      <c r="G25" s="193">
        <v>556196</v>
      </c>
      <c r="H25" s="193">
        <v>532062</v>
      </c>
      <c r="I25" s="195">
        <v>532782</v>
      </c>
      <c r="J25" s="193">
        <v>564646</v>
      </c>
      <c r="K25" s="193">
        <v>544261</v>
      </c>
      <c r="L25" s="193">
        <v>533211</v>
      </c>
      <c r="M25" s="195">
        <v>522120</v>
      </c>
      <c r="N25" s="193">
        <v>510628</v>
      </c>
      <c r="O25" s="193">
        <v>615188</v>
      </c>
      <c r="P25" s="193">
        <v>604216</v>
      </c>
      <c r="Q25" s="195">
        <v>693891</v>
      </c>
      <c r="R25" s="193">
        <v>671488</v>
      </c>
      <c r="S25" s="193">
        <v>15042</v>
      </c>
      <c r="T25" s="193">
        <v>15040</v>
      </c>
      <c r="U25" s="195">
        <v>15073</v>
      </c>
      <c r="V25" s="193">
        <v>12205</v>
      </c>
      <c r="W25" s="193">
        <v>12115</v>
      </c>
      <c r="X25" s="193">
        <v>11325</v>
      </c>
      <c r="Y25" s="195">
        <v>11318</v>
      </c>
      <c r="Z25" s="193">
        <v>14730</v>
      </c>
      <c r="AA25" s="193">
        <v>10432</v>
      </c>
      <c r="AB25" s="193">
        <v>12552</v>
      </c>
      <c r="AC25" s="195">
        <v>15848</v>
      </c>
      <c r="AD25" s="193">
        <v>10905</v>
      </c>
      <c r="AE25" s="193">
        <v>13087</v>
      </c>
      <c r="AF25" s="193">
        <v>17212</v>
      </c>
      <c r="AG25" s="195">
        <v>21675</v>
      </c>
      <c r="AH25" s="193">
        <v>24811</v>
      </c>
      <c r="AI25" s="193">
        <v>29267</v>
      </c>
      <c r="AJ25" s="193">
        <v>20208</v>
      </c>
      <c r="AK25" s="195">
        <v>17193</v>
      </c>
    </row>
    <row r="26" spans="1:37">
      <c r="B26" s="221" t="s">
        <v>205</v>
      </c>
      <c r="C26" s="193">
        <v>79925</v>
      </c>
      <c r="D26" s="193">
        <v>82056</v>
      </c>
      <c r="E26" s="195">
        <v>72226</v>
      </c>
      <c r="F26" s="193">
        <v>70179</v>
      </c>
      <c r="G26" s="193">
        <v>71872</v>
      </c>
      <c r="H26" s="193">
        <v>74936</v>
      </c>
      <c r="I26" s="195">
        <v>66222</v>
      </c>
      <c r="J26" s="193">
        <v>72603</v>
      </c>
      <c r="K26" s="193">
        <v>78994</v>
      </c>
      <c r="L26" s="193">
        <v>81639</v>
      </c>
      <c r="M26" s="195">
        <v>63528</v>
      </c>
      <c r="N26" s="193">
        <v>66678</v>
      </c>
      <c r="O26" s="193">
        <v>71337</v>
      </c>
      <c r="P26" s="193">
        <v>60741</v>
      </c>
      <c r="Q26" s="195">
        <v>62657</v>
      </c>
      <c r="R26" s="193">
        <v>63532</v>
      </c>
      <c r="S26" s="193">
        <v>60405</v>
      </c>
      <c r="T26" s="193">
        <v>68511</v>
      </c>
      <c r="U26" s="195">
        <v>69714</v>
      </c>
      <c r="V26" s="193">
        <v>61671</v>
      </c>
      <c r="W26" s="193">
        <v>70241</v>
      </c>
      <c r="X26" s="193">
        <v>54729</v>
      </c>
      <c r="Y26" s="195">
        <v>52923</v>
      </c>
      <c r="Z26" s="193">
        <v>44762</v>
      </c>
      <c r="AA26" s="193">
        <v>46532</v>
      </c>
      <c r="AB26" s="193">
        <v>49892</v>
      </c>
      <c r="AC26" s="195">
        <v>43819</v>
      </c>
      <c r="AD26" s="193">
        <v>40568</v>
      </c>
      <c r="AE26" s="193">
        <v>42350</v>
      </c>
      <c r="AF26" s="193">
        <v>41774</v>
      </c>
      <c r="AG26" s="195">
        <v>40812</v>
      </c>
      <c r="AH26" s="193">
        <v>41273</v>
      </c>
      <c r="AI26" s="193">
        <v>38317</v>
      </c>
      <c r="AJ26" s="193">
        <v>42167</v>
      </c>
      <c r="AK26" s="195">
        <v>39740</v>
      </c>
    </row>
    <row r="27" spans="1:37">
      <c r="B27" s="221" t="s">
        <v>221</v>
      </c>
      <c r="C27" s="193">
        <v>28882</v>
      </c>
      <c r="D27" s="193">
        <v>28390</v>
      </c>
      <c r="E27" s="195">
        <v>27837</v>
      </c>
      <c r="F27" s="193">
        <v>27496</v>
      </c>
      <c r="G27" s="193">
        <v>27089</v>
      </c>
      <c r="H27" s="193">
        <v>26700</v>
      </c>
      <c r="I27" s="195">
        <v>26296</v>
      </c>
      <c r="J27" s="193">
        <v>25876</v>
      </c>
      <c r="K27" s="193">
        <v>25923</v>
      </c>
      <c r="L27" s="193">
        <v>25376</v>
      </c>
      <c r="M27" s="195">
        <v>26151</v>
      </c>
      <c r="N27" s="193">
        <v>25638</v>
      </c>
      <c r="O27" s="193">
        <v>35102</v>
      </c>
      <c r="P27" s="193">
        <v>34484</v>
      </c>
      <c r="Q27" s="195">
        <v>34232</v>
      </c>
      <c r="R27" s="193">
        <v>27181</v>
      </c>
      <c r="S27" s="193">
        <v>53510</v>
      </c>
      <c r="T27" s="193">
        <v>53302</v>
      </c>
      <c r="U27" s="195">
        <v>53361</v>
      </c>
      <c r="V27" s="193">
        <v>47270</v>
      </c>
      <c r="W27" s="193">
        <v>47305</v>
      </c>
      <c r="X27" s="193">
        <v>47305</v>
      </c>
      <c r="Y27" s="195">
        <v>47305</v>
      </c>
      <c r="Z27" s="193">
        <v>47305</v>
      </c>
      <c r="AA27" s="193">
        <v>41028</v>
      </c>
      <c r="AB27" s="193">
        <v>41028</v>
      </c>
      <c r="AC27" s="195">
        <v>41436</v>
      </c>
      <c r="AD27" s="193">
        <v>42383</v>
      </c>
      <c r="AE27" s="193">
        <v>42383</v>
      </c>
      <c r="AF27" s="193">
        <v>42383</v>
      </c>
      <c r="AG27" s="195">
        <v>43164</v>
      </c>
      <c r="AH27" s="193">
        <v>50567</v>
      </c>
      <c r="AI27" s="193">
        <v>49955</v>
      </c>
      <c r="AJ27" s="193">
        <v>49264</v>
      </c>
      <c r="AK27" s="195">
        <v>48481</v>
      </c>
    </row>
    <row r="28" spans="1:37">
      <c r="B28" s="220" t="s">
        <v>225</v>
      </c>
      <c r="C28" s="193">
        <v>457</v>
      </c>
      <c r="D28" s="193">
        <v>288</v>
      </c>
      <c r="E28" s="195">
        <v>220</v>
      </c>
      <c r="F28" s="193">
        <v>0</v>
      </c>
      <c r="G28" s="193">
        <v>0</v>
      </c>
      <c r="H28" s="193">
        <v>0</v>
      </c>
      <c r="I28" s="195">
        <v>0</v>
      </c>
      <c r="J28" s="193">
        <v>0</v>
      </c>
      <c r="K28" s="193">
        <v>0</v>
      </c>
      <c r="L28" s="193">
        <v>0</v>
      </c>
      <c r="M28" s="195">
        <v>0</v>
      </c>
      <c r="N28" s="193">
        <v>0</v>
      </c>
      <c r="O28" s="193">
        <v>0</v>
      </c>
      <c r="P28" s="193">
        <v>0</v>
      </c>
      <c r="Q28" s="195">
        <v>0</v>
      </c>
      <c r="R28" s="193">
        <v>0</v>
      </c>
      <c r="S28" s="193">
        <v>104101</v>
      </c>
      <c r="T28" s="193">
        <v>117391</v>
      </c>
      <c r="U28" s="195">
        <v>142971</v>
      </c>
      <c r="V28" s="193">
        <v>164202</v>
      </c>
      <c r="W28" s="193">
        <v>164208</v>
      </c>
      <c r="X28" s="193">
        <v>169749</v>
      </c>
      <c r="Y28" s="195">
        <v>172339</v>
      </c>
      <c r="Z28" s="193">
        <v>81534</v>
      </c>
      <c r="AA28" s="193">
        <v>87979</v>
      </c>
      <c r="AB28" s="193">
        <v>93474</v>
      </c>
      <c r="AC28" s="195">
        <v>100123</v>
      </c>
      <c r="AD28" s="193">
        <v>0</v>
      </c>
      <c r="AE28" s="193">
        <v>10806</v>
      </c>
      <c r="AF28" s="193">
        <v>17757</v>
      </c>
      <c r="AG28" s="195">
        <v>19773</v>
      </c>
      <c r="AH28" s="193">
        <v>27520</v>
      </c>
      <c r="AI28" s="193">
        <v>23981</v>
      </c>
      <c r="AJ28" s="193">
        <v>33536</v>
      </c>
      <c r="AK28" s="195">
        <v>11586</v>
      </c>
    </row>
    <row r="29" spans="1:37">
      <c r="B29" s="221" t="s">
        <v>206</v>
      </c>
      <c r="C29" s="193">
        <v>723</v>
      </c>
      <c r="D29" s="193">
        <v>3762</v>
      </c>
      <c r="E29" s="195"/>
      <c r="F29" s="193"/>
      <c r="G29" s="193"/>
      <c r="H29" s="193"/>
      <c r="I29" s="195"/>
      <c r="J29" s="193"/>
      <c r="K29" s="193"/>
      <c r="L29" s="193"/>
      <c r="M29" s="195"/>
      <c r="N29" s="193"/>
      <c r="O29" s="193"/>
      <c r="P29" s="193"/>
      <c r="Q29" s="195"/>
      <c r="R29" s="193"/>
      <c r="S29" s="193"/>
      <c r="T29" s="193"/>
      <c r="U29" s="195"/>
      <c r="V29" s="193"/>
      <c r="W29" s="193"/>
      <c r="X29" s="193"/>
      <c r="Y29" s="195"/>
      <c r="Z29" s="193"/>
      <c r="AA29" s="193"/>
      <c r="AB29" s="193"/>
      <c r="AC29" s="195"/>
      <c r="AD29" s="193"/>
      <c r="AE29" s="193"/>
      <c r="AF29" s="193"/>
      <c r="AG29" s="195"/>
      <c r="AH29" s="193"/>
      <c r="AI29" s="193"/>
      <c r="AJ29" s="193"/>
      <c r="AK29" s="195"/>
    </row>
    <row r="30" spans="1:37">
      <c r="B30" s="221" t="s">
        <v>448</v>
      </c>
      <c r="C30" s="193">
        <v>2903</v>
      </c>
      <c r="D30" s="193"/>
      <c r="E30" s="195"/>
      <c r="F30" s="193"/>
      <c r="G30" s="193"/>
      <c r="H30" s="193"/>
      <c r="I30" s="195"/>
      <c r="J30" s="193"/>
      <c r="K30" s="193"/>
      <c r="L30" s="193"/>
      <c r="M30" s="195"/>
      <c r="N30" s="193"/>
      <c r="O30" s="193"/>
      <c r="P30" s="193"/>
      <c r="Q30" s="195"/>
      <c r="R30" s="193"/>
      <c r="S30" s="193"/>
      <c r="T30" s="193"/>
      <c r="U30" s="195"/>
      <c r="V30" s="193"/>
      <c r="W30" s="193"/>
      <c r="X30" s="193"/>
      <c r="Y30" s="195"/>
      <c r="Z30" s="193"/>
      <c r="AA30" s="193"/>
      <c r="AB30" s="193"/>
      <c r="AC30" s="195"/>
      <c r="AD30" s="193"/>
      <c r="AE30" s="193"/>
      <c r="AF30" s="193"/>
      <c r="AG30" s="195"/>
      <c r="AH30" s="193"/>
      <c r="AI30" s="193"/>
      <c r="AJ30" s="193"/>
      <c r="AK30" s="195"/>
    </row>
    <row r="31" spans="1:37">
      <c r="B31" s="221" t="s">
        <v>234</v>
      </c>
      <c r="C31" s="193">
        <v>9189</v>
      </c>
      <c r="D31" s="193">
        <v>9209</v>
      </c>
      <c r="E31" s="195">
        <v>9296</v>
      </c>
      <c r="F31" s="193">
        <v>9107</v>
      </c>
      <c r="G31" s="193">
        <v>9273</v>
      </c>
      <c r="H31" s="193">
        <v>9160</v>
      </c>
      <c r="I31" s="195">
        <v>9293</v>
      </c>
      <c r="J31" s="193">
        <v>9356</v>
      </c>
      <c r="K31" s="193">
        <v>8589</v>
      </c>
      <c r="L31" s="193">
        <v>8615</v>
      </c>
      <c r="M31" s="195">
        <v>8646</v>
      </c>
      <c r="N31" s="193">
        <v>39072</v>
      </c>
      <c r="O31" s="193">
        <v>36464</v>
      </c>
      <c r="P31" s="193">
        <v>35574</v>
      </c>
      <c r="Q31" s="195">
        <v>41803</v>
      </c>
      <c r="R31" s="193">
        <v>39579</v>
      </c>
      <c r="S31" s="193">
        <v>38276</v>
      </c>
      <c r="T31" s="193">
        <v>37424</v>
      </c>
      <c r="U31" s="195">
        <v>32310</v>
      </c>
      <c r="V31" s="193">
        <v>29949</v>
      </c>
      <c r="W31" s="193">
        <v>22620</v>
      </c>
      <c r="X31" s="193">
        <v>22619</v>
      </c>
      <c r="Y31" s="195">
        <v>22619</v>
      </c>
      <c r="Z31" s="193">
        <v>22619</v>
      </c>
      <c r="AA31" s="193">
        <v>22622</v>
      </c>
      <c r="AB31" s="193">
        <v>22622</v>
      </c>
      <c r="AC31" s="195">
        <v>22623</v>
      </c>
      <c r="AD31" s="193">
        <v>31555</v>
      </c>
      <c r="AE31" s="193">
        <v>32885</v>
      </c>
      <c r="AF31" s="193">
        <v>31822</v>
      </c>
      <c r="AG31" s="195">
        <v>32002</v>
      </c>
      <c r="AH31" s="193">
        <v>33245</v>
      </c>
      <c r="AI31" s="193">
        <v>33483</v>
      </c>
      <c r="AJ31" s="193">
        <v>10921</v>
      </c>
      <c r="AK31" s="195">
        <v>11991</v>
      </c>
    </row>
    <row r="32" spans="1:37" ht="15.75" thickBot="1">
      <c r="A32" s="196"/>
      <c r="B32" s="225" t="s">
        <v>211</v>
      </c>
      <c r="C32" s="198">
        <v>167370</v>
      </c>
      <c r="D32" s="198">
        <v>191933</v>
      </c>
      <c r="E32" s="200">
        <v>194739</v>
      </c>
      <c r="F32" s="198">
        <v>177478</v>
      </c>
      <c r="G32" s="198">
        <v>179738</v>
      </c>
      <c r="H32" s="198">
        <v>182907</v>
      </c>
      <c r="I32" s="200">
        <v>190370</v>
      </c>
      <c r="J32" s="198">
        <v>191378</v>
      </c>
      <c r="K32" s="198">
        <v>188567</v>
      </c>
      <c r="L32" s="198">
        <v>192929</v>
      </c>
      <c r="M32" s="200">
        <v>192650</v>
      </c>
      <c r="N32" s="198">
        <v>185676</v>
      </c>
      <c r="O32" s="198">
        <v>107644</v>
      </c>
      <c r="P32" s="198">
        <v>101207</v>
      </c>
      <c r="Q32" s="200">
        <v>104995</v>
      </c>
      <c r="R32" s="198">
        <v>103501</v>
      </c>
      <c r="S32" s="198">
        <v>89211</v>
      </c>
      <c r="T32" s="198">
        <v>76799</v>
      </c>
      <c r="U32" s="200">
        <v>66961</v>
      </c>
      <c r="V32" s="198">
        <v>61850</v>
      </c>
      <c r="W32" s="198">
        <v>16613</v>
      </c>
      <c r="X32" s="198">
        <v>16682</v>
      </c>
      <c r="Y32" s="200">
        <v>13325</v>
      </c>
      <c r="Z32" s="198">
        <v>9246</v>
      </c>
      <c r="AA32" s="198">
        <v>11445</v>
      </c>
      <c r="AB32" s="198">
        <v>9337</v>
      </c>
      <c r="AC32" s="200">
        <v>12594</v>
      </c>
      <c r="AD32" s="198">
        <v>11475</v>
      </c>
      <c r="AE32" s="198">
        <v>15379</v>
      </c>
      <c r="AF32" s="198">
        <v>20861</v>
      </c>
      <c r="AG32" s="200">
        <v>21817</v>
      </c>
      <c r="AH32" s="198">
        <v>21976</v>
      </c>
      <c r="AI32" s="198">
        <v>23895</v>
      </c>
      <c r="AJ32" s="198">
        <v>26064</v>
      </c>
      <c r="AK32" s="200">
        <v>25354</v>
      </c>
    </row>
    <row r="33" spans="1:37" ht="16.5" thickTop="1" thickBot="1">
      <c r="A33" s="196"/>
      <c r="B33" s="226" t="s">
        <v>212</v>
      </c>
      <c r="C33" s="198">
        <v>3383070</v>
      </c>
      <c r="D33" s="198">
        <v>3294785</v>
      </c>
      <c r="E33" s="442">
        <v>3088941</v>
      </c>
      <c r="F33" s="198">
        <v>2789112</v>
      </c>
      <c r="G33" s="198">
        <v>2615831</v>
      </c>
      <c r="H33" s="198">
        <v>2409096</v>
      </c>
      <c r="I33" s="200">
        <v>2206862</v>
      </c>
      <c r="J33" s="198">
        <v>2368051</v>
      </c>
      <c r="K33" s="198">
        <v>2326820</v>
      </c>
      <c r="L33" s="198">
        <v>2278610</v>
      </c>
      <c r="M33" s="200">
        <v>2280362</v>
      </c>
      <c r="N33" s="198">
        <v>2243779</v>
      </c>
      <c r="O33" s="198">
        <v>2155841</v>
      </c>
      <c r="P33" s="198">
        <v>2088202</v>
      </c>
      <c r="Q33" s="200">
        <v>2159924</v>
      </c>
      <c r="R33" s="198">
        <v>2078614</v>
      </c>
      <c r="S33" s="198">
        <v>2000666</v>
      </c>
      <c r="T33" s="198">
        <v>1992877</v>
      </c>
      <c r="U33" s="200">
        <v>1949684</v>
      </c>
      <c r="V33" s="198">
        <v>1958312</v>
      </c>
      <c r="W33" s="198">
        <v>1957953</v>
      </c>
      <c r="X33" s="198">
        <v>1974462</v>
      </c>
      <c r="Y33" s="200">
        <v>1890717</v>
      </c>
      <c r="Z33" s="198">
        <v>1860209</v>
      </c>
      <c r="AA33" s="198">
        <v>1894491</v>
      </c>
      <c r="AB33" s="198">
        <v>1889210</v>
      </c>
      <c r="AC33" s="200">
        <v>1906835</v>
      </c>
      <c r="AD33" s="198">
        <v>1812183</v>
      </c>
      <c r="AE33" s="198">
        <v>1803469</v>
      </c>
      <c r="AF33" s="198">
        <v>1859384</v>
      </c>
      <c r="AG33" s="200">
        <v>1890682</v>
      </c>
      <c r="AH33" s="198">
        <v>1882861</v>
      </c>
      <c r="AI33" s="198">
        <v>1884150</v>
      </c>
      <c r="AJ33" s="198">
        <v>1895193</v>
      </c>
      <c r="AK33" s="200">
        <v>1918649</v>
      </c>
    </row>
    <row r="34" spans="1:37" ht="15.75" thickTop="1">
      <c r="A34" s="196"/>
      <c r="B34" s="227" t="s">
        <v>213</v>
      </c>
      <c r="C34" s="211">
        <v>305513</v>
      </c>
      <c r="D34" s="211">
        <v>308307</v>
      </c>
      <c r="E34" s="213">
        <v>308575</v>
      </c>
      <c r="F34" s="211">
        <v>311888</v>
      </c>
      <c r="G34" s="211">
        <v>315523</v>
      </c>
      <c r="H34" s="211">
        <v>318720</v>
      </c>
      <c r="I34" s="213">
        <v>313137</v>
      </c>
      <c r="J34" s="211">
        <v>316566</v>
      </c>
      <c r="K34" s="211">
        <v>315939</v>
      </c>
      <c r="L34" s="211">
        <v>315757</v>
      </c>
      <c r="M34" s="213">
        <v>297913</v>
      </c>
      <c r="N34" s="211">
        <v>299638</v>
      </c>
      <c r="O34" s="211">
        <v>302409</v>
      </c>
      <c r="P34" s="211">
        <v>304925</v>
      </c>
      <c r="Q34" s="213">
        <v>307879</v>
      </c>
      <c r="R34" s="211">
        <v>295639</v>
      </c>
      <c r="S34" s="211">
        <v>296969</v>
      </c>
      <c r="T34" s="211">
        <v>299142</v>
      </c>
      <c r="U34" s="213">
        <v>297604</v>
      </c>
      <c r="V34" s="211">
        <v>300595</v>
      </c>
      <c r="W34" s="211">
        <v>301141</v>
      </c>
      <c r="X34" s="211">
        <v>300453</v>
      </c>
      <c r="Y34" s="213">
        <v>300495</v>
      </c>
      <c r="Z34" s="211">
        <v>299249</v>
      </c>
      <c r="AA34" s="211">
        <v>301817</v>
      </c>
      <c r="AB34" s="211">
        <v>296912</v>
      </c>
      <c r="AC34" s="213">
        <v>299249</v>
      </c>
      <c r="AD34" s="211">
        <v>281397</v>
      </c>
      <c r="AE34" s="211">
        <v>283815</v>
      </c>
      <c r="AF34" s="211">
        <v>285227</v>
      </c>
      <c r="AG34" s="213">
        <v>286585</v>
      </c>
      <c r="AH34" s="211">
        <v>287657</v>
      </c>
      <c r="AI34" s="211">
        <v>289088</v>
      </c>
      <c r="AJ34" s="211">
        <v>290149</v>
      </c>
      <c r="AK34" s="213">
        <v>291065</v>
      </c>
    </row>
    <row r="35" spans="1:37" ht="16.5" customHeight="1">
      <c r="A35" s="191"/>
      <c r="B35" s="455" t="s">
        <v>376</v>
      </c>
      <c r="C35" s="453" t="s">
        <v>449</v>
      </c>
      <c r="D35" s="453" t="s">
        <v>445</v>
      </c>
      <c r="E35" s="454" t="s">
        <v>438</v>
      </c>
      <c r="F35" s="453" t="s">
        <v>434</v>
      </c>
      <c r="G35" s="453" t="s">
        <v>431</v>
      </c>
      <c r="H35" s="453" t="s">
        <v>421</v>
      </c>
      <c r="I35" s="454" t="s">
        <v>411</v>
      </c>
      <c r="J35" s="453" t="s">
        <v>405</v>
      </c>
      <c r="K35" s="453" t="s">
        <v>402</v>
      </c>
      <c r="L35" s="453" t="s">
        <v>396</v>
      </c>
      <c r="M35" s="454" t="s">
        <v>392</v>
      </c>
      <c r="N35" s="453" t="s">
        <v>386</v>
      </c>
      <c r="O35" s="453" t="s">
        <v>366</v>
      </c>
      <c r="P35" s="453" t="s">
        <v>364</v>
      </c>
      <c r="Q35" s="456" t="s">
        <v>359</v>
      </c>
      <c r="R35" s="453" t="s">
        <v>352</v>
      </c>
      <c r="S35" s="453" t="s">
        <v>348</v>
      </c>
      <c r="T35" s="453" t="s">
        <v>345</v>
      </c>
      <c r="U35" s="456">
        <v>44196</v>
      </c>
      <c r="V35" s="457">
        <v>44104</v>
      </c>
      <c r="W35" s="453" t="s">
        <v>333</v>
      </c>
      <c r="X35" s="453" t="s">
        <v>334</v>
      </c>
      <c r="Y35" s="456">
        <v>43830</v>
      </c>
      <c r="Z35" s="457">
        <v>43738</v>
      </c>
      <c r="AA35" s="457">
        <v>43646</v>
      </c>
      <c r="AB35" s="457">
        <v>43555</v>
      </c>
      <c r="AC35" s="456">
        <v>43465</v>
      </c>
      <c r="AD35" s="457">
        <v>43373</v>
      </c>
      <c r="AE35" s="457">
        <v>43281</v>
      </c>
      <c r="AF35" s="457">
        <v>43190</v>
      </c>
      <c r="AG35" s="456">
        <v>43100</v>
      </c>
      <c r="AH35" s="457">
        <v>43008</v>
      </c>
      <c r="AI35" s="457">
        <v>42916</v>
      </c>
      <c r="AJ35" s="457">
        <v>42825</v>
      </c>
      <c r="AK35" s="456">
        <v>42735</v>
      </c>
    </row>
    <row r="36" spans="1:37" ht="15" customHeight="1">
      <c r="A36" s="191"/>
      <c r="B36" s="455"/>
      <c r="C36" s="453"/>
      <c r="D36" s="453"/>
      <c r="E36" s="454"/>
      <c r="F36" s="453"/>
      <c r="G36" s="453"/>
      <c r="H36" s="453"/>
      <c r="I36" s="454"/>
      <c r="J36" s="453"/>
      <c r="K36" s="453"/>
      <c r="L36" s="453"/>
      <c r="M36" s="454"/>
      <c r="N36" s="453"/>
      <c r="O36" s="453"/>
      <c r="P36" s="453"/>
      <c r="Q36" s="456"/>
      <c r="R36" s="453"/>
      <c r="S36" s="453"/>
      <c r="T36" s="453"/>
      <c r="U36" s="456"/>
      <c r="V36" s="457"/>
      <c r="W36" s="453"/>
      <c r="X36" s="453"/>
      <c r="Y36" s="456"/>
      <c r="Z36" s="457"/>
      <c r="AA36" s="457"/>
      <c r="AB36" s="457"/>
      <c r="AC36" s="456"/>
      <c r="AD36" s="457"/>
      <c r="AE36" s="457"/>
      <c r="AF36" s="457"/>
      <c r="AG36" s="456"/>
      <c r="AH36" s="457"/>
      <c r="AI36" s="457"/>
      <c r="AJ36" s="457"/>
      <c r="AK36" s="456"/>
    </row>
    <row r="37" spans="1:37" ht="15">
      <c r="A37" s="196"/>
      <c r="B37" s="218" t="s">
        <v>214</v>
      </c>
      <c r="C37" s="211">
        <f t="shared" ref="C37" si="60">C38+C50+C59</f>
        <v>7539380</v>
      </c>
      <c r="D37" s="211">
        <f>D38+D50+D59</f>
        <v>7280912</v>
      </c>
      <c r="E37" s="213">
        <f>E38+E50+E59</f>
        <v>7111788.5999999996</v>
      </c>
      <c r="F37" s="211">
        <f>F38+F50+F59</f>
        <v>7582968.4000000004</v>
      </c>
      <c r="G37" s="211">
        <f>G38+G50+G59</f>
        <v>7158097</v>
      </c>
      <c r="H37" s="211">
        <f>H38+H50+H59</f>
        <v>7104944</v>
      </c>
      <c r="I37" s="213">
        <f>I38+I50+I59</f>
        <v>6396491</v>
      </c>
      <c r="J37" s="211">
        <f>J38+J50+J59</f>
        <v>6198664</v>
      </c>
      <c r="K37" s="211">
        <f>K38+K50+K59</f>
        <v>5872802</v>
      </c>
      <c r="L37" s="211">
        <f>L38+L50+L59</f>
        <v>6038082</v>
      </c>
      <c r="M37" s="213">
        <f>M38+M50+M59</f>
        <v>5995253</v>
      </c>
      <c r="N37" s="211">
        <f>N38+N50+N59</f>
        <v>6454798</v>
      </c>
      <c r="O37" s="211">
        <f>O38+O50+O59</f>
        <v>6875187</v>
      </c>
      <c r="P37" s="211">
        <f>P38+P50+P59</f>
        <v>6456704</v>
      </c>
      <c r="Q37" s="213">
        <v>6248208</v>
      </c>
      <c r="R37" s="211">
        <f>R38+R50+R59</f>
        <v>6075096.5211200006</v>
      </c>
      <c r="S37" s="211">
        <f>S38+S50+S59</f>
        <v>4907627.1643400006</v>
      </c>
      <c r="T37" s="211">
        <f>T38+T50+T59</f>
        <v>4841766.77293</v>
      </c>
      <c r="U37" s="213">
        <f>U38+U50+U59</f>
        <v>4508297</v>
      </c>
      <c r="V37" s="211">
        <f>V38+V50+V59</f>
        <v>4335046</v>
      </c>
      <c r="W37" s="211">
        <f>W38+W50+W59</f>
        <v>4108310</v>
      </c>
      <c r="X37" s="211">
        <f>X38+X50+X59</f>
        <v>3931388</v>
      </c>
      <c r="Y37" s="213">
        <f>Y38+Y50+Y59</f>
        <v>3718821</v>
      </c>
      <c r="Z37" s="211">
        <f>Z38+Z50+Z59</f>
        <v>3636257</v>
      </c>
      <c r="AA37" s="211">
        <f>AA38+AA50+AA59</f>
        <v>3727807</v>
      </c>
      <c r="AB37" s="211">
        <f>AB38+AB50+AB59</f>
        <v>3926738</v>
      </c>
      <c r="AC37" s="213">
        <f>AC38+AC50+AC59</f>
        <v>4042630</v>
      </c>
      <c r="AD37" s="211">
        <f>AD38+AD50+AD59</f>
        <v>3978312</v>
      </c>
      <c r="AE37" s="211">
        <f>AE38+AE50+AE59</f>
        <v>4094219</v>
      </c>
      <c r="AF37" s="211">
        <v>4273966</v>
      </c>
      <c r="AG37" s="213">
        <v>3466377</v>
      </c>
      <c r="AH37" s="211">
        <v>3561461</v>
      </c>
      <c r="AI37" s="211">
        <v>3614558</v>
      </c>
      <c r="AJ37" s="211">
        <v>3480230</v>
      </c>
      <c r="AK37" s="213">
        <v>3494699</v>
      </c>
    </row>
    <row r="38" spans="1:37" ht="15.75" thickBot="1">
      <c r="A38" s="196"/>
      <c r="B38" s="219" t="s">
        <v>215</v>
      </c>
      <c r="C38" s="198">
        <f t="shared" ref="C38" si="61">SUM(C39:C49)</f>
        <v>1040655</v>
      </c>
      <c r="D38" s="198">
        <f>SUM(D39:D49)</f>
        <v>1278325</v>
      </c>
      <c r="E38" s="200">
        <f>SUM(E39:E49)</f>
        <v>1018757.6</v>
      </c>
      <c r="F38" s="198">
        <f>SUM(F39:F49)</f>
        <v>1608841.2</v>
      </c>
      <c r="G38" s="198">
        <f>SUM(G39:G49)</f>
        <v>1337187</v>
      </c>
      <c r="H38" s="198">
        <f>SUM(H39:H49)</f>
        <v>1298503</v>
      </c>
      <c r="I38" s="200">
        <f>SUM(I39:I49)</f>
        <v>1290184</v>
      </c>
      <c r="J38" s="198">
        <f>SUM(J39:J49)</f>
        <v>1378083</v>
      </c>
      <c r="K38" s="198">
        <f>SUM(K39:K49)</f>
        <v>1191428</v>
      </c>
      <c r="L38" s="198">
        <f>SUM(L39:L49)</f>
        <v>1213424</v>
      </c>
      <c r="M38" s="200">
        <f>SUM(M39:M49)</f>
        <v>1496613</v>
      </c>
      <c r="N38" s="198">
        <f>SUM(N39:N49)</f>
        <v>1498540</v>
      </c>
      <c r="O38" s="198">
        <f>SUM(O39:O49)</f>
        <v>1468784</v>
      </c>
      <c r="P38" s="198">
        <f>SUM(P39:P49)</f>
        <v>1596347</v>
      </c>
      <c r="Q38" s="200">
        <v>1796221</v>
      </c>
      <c r="R38" s="198">
        <f>SUM(R39:R49)</f>
        <v>1277915.5211200002</v>
      </c>
      <c r="S38" s="198">
        <f>SUM(S39:S49)</f>
        <v>1038456.16434</v>
      </c>
      <c r="T38" s="198">
        <f>SUM(T39:T49)</f>
        <v>1153703.77293</v>
      </c>
      <c r="U38" s="200">
        <f>SUM(U39:U49)</f>
        <v>1220159</v>
      </c>
      <c r="V38" s="198">
        <f>SUM(V39:V49)</f>
        <v>1157645</v>
      </c>
      <c r="W38" s="198">
        <f>SUM(W39:W49)</f>
        <v>1094788</v>
      </c>
      <c r="X38" s="198">
        <f>SUM(X39:X49)</f>
        <v>995916</v>
      </c>
      <c r="Y38" s="200">
        <f>SUM(Y39:Y49)</f>
        <v>785077</v>
      </c>
      <c r="Z38" s="198">
        <f>SUM(Z39:Z49)</f>
        <v>782169</v>
      </c>
      <c r="AA38" s="198">
        <f>SUM(AA39:AA49)</f>
        <v>807370</v>
      </c>
      <c r="AB38" s="198">
        <f>SUM(AB39:AB49)</f>
        <v>1104188</v>
      </c>
      <c r="AC38" s="200">
        <f>SUM(AC39:AC49)</f>
        <v>1129665</v>
      </c>
      <c r="AD38" s="198">
        <f>SUM(AD39:AD49)</f>
        <v>1066421</v>
      </c>
      <c r="AE38" s="198">
        <f>SUM(AE39:AE49)</f>
        <v>1240696</v>
      </c>
      <c r="AF38" s="198">
        <v>1357655</v>
      </c>
      <c r="AG38" s="200">
        <v>1151821</v>
      </c>
      <c r="AH38" s="198">
        <v>1276946</v>
      </c>
      <c r="AI38" s="198">
        <v>999819</v>
      </c>
      <c r="AJ38" s="198">
        <v>953137</v>
      </c>
      <c r="AK38" s="200">
        <v>1024971</v>
      </c>
    </row>
    <row r="39" spans="1:37" ht="15" thickTop="1">
      <c r="B39" s="221" t="s">
        <v>216</v>
      </c>
      <c r="C39" s="193">
        <v>388234</v>
      </c>
      <c r="D39" s="193">
        <v>425222</v>
      </c>
      <c r="E39" s="195">
        <v>460244</v>
      </c>
      <c r="F39" s="193">
        <v>386699</v>
      </c>
      <c r="G39" s="193">
        <v>333983</v>
      </c>
      <c r="H39" s="193">
        <v>332267</v>
      </c>
      <c r="I39" s="195">
        <v>317795</v>
      </c>
      <c r="J39" s="193">
        <v>315346</v>
      </c>
      <c r="K39" s="193">
        <v>290105</v>
      </c>
      <c r="L39" s="193">
        <v>332625</v>
      </c>
      <c r="M39" s="195">
        <v>365714</v>
      </c>
      <c r="N39" s="193">
        <v>342520</v>
      </c>
      <c r="O39" s="193">
        <v>326074</v>
      </c>
      <c r="P39" s="193">
        <v>311179</v>
      </c>
      <c r="Q39" s="195">
        <v>391762</v>
      </c>
      <c r="R39" s="193">
        <v>304283.68920000002</v>
      </c>
      <c r="S39" s="193">
        <v>289994.77276999998</v>
      </c>
      <c r="T39" s="193">
        <v>333588.91928000003</v>
      </c>
      <c r="U39" s="195">
        <v>238342</v>
      </c>
      <c r="V39" s="193">
        <v>222953</v>
      </c>
      <c r="W39" s="193">
        <v>253014</v>
      </c>
      <c r="X39" s="193">
        <v>184334</v>
      </c>
      <c r="Y39" s="195">
        <v>182468</v>
      </c>
      <c r="Z39" s="193">
        <v>121396</v>
      </c>
      <c r="AA39" s="193">
        <v>144037</v>
      </c>
      <c r="AB39" s="193">
        <v>149555</v>
      </c>
      <c r="AC39" s="195">
        <v>193972</v>
      </c>
      <c r="AD39" s="193">
        <v>127461</v>
      </c>
      <c r="AE39" s="193">
        <v>179136</v>
      </c>
      <c r="AF39" s="193">
        <v>200036</v>
      </c>
      <c r="AG39" s="195">
        <v>212142</v>
      </c>
      <c r="AH39" s="193">
        <v>188884</v>
      </c>
      <c r="AI39" s="193">
        <v>252988</v>
      </c>
      <c r="AJ39" s="193">
        <v>226320</v>
      </c>
      <c r="AK39" s="195">
        <v>274473</v>
      </c>
    </row>
    <row r="40" spans="1:37">
      <c r="B40" s="220" t="s">
        <v>217</v>
      </c>
      <c r="C40" s="193">
        <v>195395</v>
      </c>
      <c r="D40" s="193">
        <v>187289</v>
      </c>
      <c r="E40" s="195">
        <v>95286</v>
      </c>
      <c r="F40" s="193">
        <v>712307</v>
      </c>
      <c r="G40" s="193">
        <f>280066+214248</f>
        <v>494314</v>
      </c>
      <c r="H40" s="193">
        <v>471396</v>
      </c>
      <c r="I40" s="195">
        <v>415411</v>
      </c>
      <c r="J40" s="193">
        <v>430191</v>
      </c>
      <c r="K40" s="193">
        <v>295528</v>
      </c>
      <c r="L40" s="193">
        <v>220019</v>
      </c>
      <c r="M40" s="195">
        <v>171206</v>
      </c>
      <c r="N40" s="193">
        <v>222127</v>
      </c>
      <c r="O40" s="193">
        <v>181367</v>
      </c>
      <c r="P40" s="193">
        <v>138361</v>
      </c>
      <c r="Q40" s="195">
        <v>161824</v>
      </c>
      <c r="R40" s="193">
        <v>141800</v>
      </c>
      <c r="S40" s="193">
        <v>129673</v>
      </c>
      <c r="T40" s="193">
        <v>261247</v>
      </c>
      <c r="U40" s="195">
        <v>340730</v>
      </c>
      <c r="V40" s="193">
        <v>349816</v>
      </c>
      <c r="W40" s="193">
        <v>361991</v>
      </c>
      <c r="X40" s="193">
        <v>355481</v>
      </c>
      <c r="Y40" s="195">
        <v>177566</v>
      </c>
      <c r="Z40" s="193">
        <v>260364</v>
      </c>
      <c r="AA40" s="193">
        <v>267229</v>
      </c>
      <c r="AB40" s="193">
        <v>515835</v>
      </c>
      <c r="AC40" s="195">
        <v>477918</v>
      </c>
      <c r="AD40" s="193">
        <v>488990</v>
      </c>
      <c r="AE40" s="193">
        <v>584342</v>
      </c>
      <c r="AF40" s="193">
        <v>598254</v>
      </c>
      <c r="AG40" s="195">
        <v>437279</v>
      </c>
      <c r="AH40" s="193">
        <v>473000</v>
      </c>
      <c r="AI40" s="193">
        <v>287206</v>
      </c>
      <c r="AJ40" s="193">
        <v>221612</v>
      </c>
      <c r="AK40" s="195">
        <v>327197</v>
      </c>
    </row>
    <row r="41" spans="1:37">
      <c r="B41" s="220" t="s">
        <v>412</v>
      </c>
      <c r="C41" s="193">
        <v>1792</v>
      </c>
      <c r="D41" s="193">
        <v>1732</v>
      </c>
      <c r="E41" s="195">
        <v>1655</v>
      </c>
      <c r="F41" s="193">
        <v>1650</v>
      </c>
      <c r="G41" s="193">
        <v>1243</v>
      </c>
      <c r="H41" s="193">
        <v>1200</v>
      </c>
      <c r="I41" s="195">
        <v>948</v>
      </c>
      <c r="J41" s="193">
        <v>0</v>
      </c>
      <c r="K41" s="193">
        <v>0</v>
      </c>
      <c r="L41" s="193">
        <v>0</v>
      </c>
      <c r="M41" s="195">
        <v>0</v>
      </c>
      <c r="N41" s="193">
        <v>0</v>
      </c>
      <c r="O41" s="193">
        <v>0</v>
      </c>
      <c r="P41" s="193">
        <v>0</v>
      </c>
      <c r="Q41" s="195">
        <v>0</v>
      </c>
      <c r="R41" s="193">
        <v>0</v>
      </c>
      <c r="S41" s="193">
        <v>0</v>
      </c>
      <c r="T41" s="193">
        <v>0</v>
      </c>
      <c r="U41" s="195">
        <v>0</v>
      </c>
      <c r="V41" s="193">
        <v>0</v>
      </c>
      <c r="W41" s="193">
        <v>0</v>
      </c>
      <c r="X41" s="193">
        <v>0</v>
      </c>
      <c r="Y41" s="195">
        <v>0</v>
      </c>
      <c r="Z41" s="193">
        <v>0</v>
      </c>
      <c r="AA41" s="193">
        <v>0</v>
      </c>
      <c r="AB41" s="193">
        <v>0</v>
      </c>
      <c r="AC41" s="195">
        <v>0</v>
      </c>
      <c r="AD41" s="193">
        <v>0</v>
      </c>
      <c r="AE41" s="193">
        <v>0</v>
      </c>
      <c r="AF41" s="193">
        <v>0</v>
      </c>
      <c r="AG41" s="195">
        <v>0</v>
      </c>
      <c r="AH41" s="193">
        <v>0</v>
      </c>
      <c r="AI41" s="193">
        <v>0</v>
      </c>
      <c r="AJ41" s="193">
        <v>0</v>
      </c>
      <c r="AK41" s="195">
        <v>0</v>
      </c>
    </row>
    <row r="42" spans="1:37">
      <c r="B42" s="220" t="s">
        <v>218</v>
      </c>
      <c r="C42" s="193">
        <v>122547</v>
      </c>
      <c r="D42" s="193">
        <v>107789</v>
      </c>
      <c r="E42" s="195">
        <v>168639</v>
      </c>
      <c r="F42" s="193">
        <v>140346</v>
      </c>
      <c r="G42" s="193">
        <v>127263</v>
      </c>
      <c r="H42" s="193">
        <v>101263</v>
      </c>
      <c r="I42" s="195">
        <v>126214</v>
      </c>
      <c r="J42" s="193">
        <v>140180</v>
      </c>
      <c r="K42" s="193">
        <v>125735</v>
      </c>
      <c r="L42" s="193">
        <v>105671</v>
      </c>
      <c r="M42" s="195">
        <v>186458</v>
      </c>
      <c r="N42" s="193">
        <v>158382</v>
      </c>
      <c r="O42" s="193">
        <v>128658</v>
      </c>
      <c r="P42" s="193">
        <v>96744</v>
      </c>
      <c r="Q42" s="195">
        <v>160472</v>
      </c>
      <c r="R42" s="193">
        <v>124556</v>
      </c>
      <c r="S42" s="193">
        <v>101734</v>
      </c>
      <c r="T42" s="193">
        <v>73105</v>
      </c>
      <c r="U42" s="195">
        <v>120632</v>
      </c>
      <c r="V42" s="193">
        <v>105549</v>
      </c>
      <c r="W42" s="193">
        <v>91825</v>
      </c>
      <c r="X42" s="193">
        <v>77472</v>
      </c>
      <c r="Y42" s="195">
        <v>63002</v>
      </c>
      <c r="Z42" s="193">
        <f>63449</f>
        <v>63449</v>
      </c>
      <c r="AA42" s="193">
        <v>59654</v>
      </c>
      <c r="AB42" s="193">
        <v>86015</v>
      </c>
      <c r="AC42" s="195">
        <v>89780</v>
      </c>
      <c r="AD42" s="193">
        <v>76110</v>
      </c>
      <c r="AE42" s="193">
        <v>74452</v>
      </c>
      <c r="AF42" s="193">
        <v>98801</v>
      </c>
      <c r="AG42" s="195">
        <v>96850</v>
      </c>
      <c r="AH42" s="193">
        <v>86171</v>
      </c>
      <c r="AI42" s="193">
        <v>75728</v>
      </c>
      <c r="AJ42" s="193">
        <v>84896</v>
      </c>
      <c r="AK42" s="195">
        <v>92588</v>
      </c>
    </row>
    <row r="43" spans="1:37">
      <c r="B43" s="220" t="s">
        <v>313</v>
      </c>
      <c r="C43" s="193">
        <v>100645</v>
      </c>
      <c r="D43" s="193">
        <v>106250</v>
      </c>
      <c r="E43" s="195">
        <v>79277</v>
      </c>
      <c r="F43" s="193">
        <v>93601</v>
      </c>
      <c r="G43" s="193">
        <v>78318</v>
      </c>
      <c r="H43" s="193">
        <v>90641</v>
      </c>
      <c r="I43" s="195">
        <v>119583</v>
      </c>
      <c r="J43" s="193">
        <v>213136</v>
      </c>
      <c r="K43" s="193">
        <v>198628</v>
      </c>
      <c r="L43" s="193">
        <v>175600</v>
      </c>
      <c r="M43" s="195">
        <v>379737</v>
      </c>
      <c r="N43" s="193">
        <v>365779</v>
      </c>
      <c r="O43" s="193">
        <v>432285</v>
      </c>
      <c r="P43" s="193">
        <v>414761</v>
      </c>
      <c r="Q43" s="195">
        <v>420958</v>
      </c>
      <c r="R43" s="193">
        <v>356918</v>
      </c>
      <c r="S43" s="193">
        <v>220843</v>
      </c>
      <c r="T43" s="193">
        <v>176188</v>
      </c>
      <c r="U43" s="195">
        <v>215206</v>
      </c>
      <c r="V43" s="193">
        <v>162357</v>
      </c>
      <c r="W43" s="193">
        <v>108077</v>
      </c>
      <c r="X43" s="193">
        <v>62216</v>
      </c>
      <c r="Y43" s="195">
        <v>73298</v>
      </c>
      <c r="Z43" s="193">
        <f>39241+29900</f>
        <v>69141</v>
      </c>
      <c r="AA43" s="193">
        <v>68951</v>
      </c>
      <c r="AB43" s="193">
        <v>63521</v>
      </c>
      <c r="AC43" s="195">
        <f>57572+30182</f>
        <v>87754</v>
      </c>
      <c r="AD43" s="193">
        <f>45816+43372</f>
        <v>89188</v>
      </c>
      <c r="AE43" s="193">
        <f>51365+62387</f>
        <v>113752</v>
      </c>
      <c r="AF43" s="193">
        <f>32714+55597</f>
        <v>88311</v>
      </c>
      <c r="AG43" s="195">
        <f>7903+32040</f>
        <v>39943</v>
      </c>
      <c r="AH43" s="193">
        <f>15000+44191</f>
        <v>59191</v>
      </c>
      <c r="AI43" s="193">
        <f>21849+35377</f>
        <v>57226</v>
      </c>
      <c r="AJ43" s="193">
        <f>20372+41944</f>
        <v>62316</v>
      </c>
      <c r="AK43" s="195">
        <f>15419+35440</f>
        <v>50859</v>
      </c>
    </row>
    <row r="44" spans="1:37">
      <c r="B44" s="220" t="s">
        <v>220</v>
      </c>
      <c r="C44" s="193">
        <v>0</v>
      </c>
      <c r="D44" s="193">
        <v>0</v>
      </c>
      <c r="E44" s="195">
        <v>0</v>
      </c>
      <c r="F44" s="193">
        <v>0</v>
      </c>
      <c r="G44" s="193">
        <v>0</v>
      </c>
      <c r="H44" s="193">
        <v>0</v>
      </c>
      <c r="I44" s="195">
        <v>0</v>
      </c>
      <c r="J44" s="193">
        <v>0</v>
      </c>
      <c r="K44" s="193">
        <v>0</v>
      </c>
      <c r="L44" s="193">
        <v>0</v>
      </c>
      <c r="M44" s="195">
        <v>0</v>
      </c>
      <c r="N44" s="193">
        <v>0</v>
      </c>
      <c r="O44" s="193">
        <v>0</v>
      </c>
      <c r="P44" s="193">
        <v>0</v>
      </c>
      <c r="Q44" s="195">
        <v>0</v>
      </c>
      <c r="R44" s="193">
        <v>0</v>
      </c>
      <c r="S44" s="193">
        <v>0</v>
      </c>
      <c r="T44" s="193">
        <v>0</v>
      </c>
      <c r="U44" s="195">
        <v>0</v>
      </c>
      <c r="V44" s="193">
        <v>0</v>
      </c>
      <c r="W44" s="193">
        <v>0</v>
      </c>
      <c r="X44" s="193">
        <v>0</v>
      </c>
      <c r="Y44" s="195">
        <v>0</v>
      </c>
      <c r="Z44" s="193">
        <v>13240</v>
      </c>
      <c r="AA44" s="193">
        <v>0</v>
      </c>
      <c r="AB44" s="193">
        <v>0</v>
      </c>
      <c r="AC44" s="195">
        <v>38720</v>
      </c>
      <c r="AD44" s="193">
        <v>10569</v>
      </c>
      <c r="AE44" s="193">
        <v>10616</v>
      </c>
      <c r="AF44" s="193">
        <v>100042</v>
      </c>
      <c r="AG44" s="195">
        <v>100148</v>
      </c>
      <c r="AH44" s="193">
        <v>107458</v>
      </c>
      <c r="AI44" s="193">
        <v>4404</v>
      </c>
      <c r="AJ44" s="193">
        <v>33961</v>
      </c>
      <c r="AK44" s="195">
        <v>33962</v>
      </c>
    </row>
    <row r="45" spans="1:37">
      <c r="B45" s="220" t="s">
        <v>221</v>
      </c>
      <c r="C45" s="193">
        <v>0</v>
      </c>
      <c r="D45" s="193">
        <v>0</v>
      </c>
      <c r="E45" s="195">
        <v>0</v>
      </c>
      <c r="F45" s="193">
        <v>0</v>
      </c>
      <c r="G45" s="193">
        <v>0</v>
      </c>
      <c r="H45" s="193">
        <v>0</v>
      </c>
      <c r="I45" s="195">
        <v>0</v>
      </c>
      <c r="J45" s="193">
        <v>0</v>
      </c>
      <c r="K45" s="193">
        <v>0</v>
      </c>
      <c r="L45" s="193">
        <v>0</v>
      </c>
      <c r="M45" s="195">
        <v>0</v>
      </c>
      <c r="N45" s="193">
        <v>0</v>
      </c>
      <c r="O45" s="193">
        <v>0</v>
      </c>
      <c r="P45" s="193">
        <v>0</v>
      </c>
      <c r="Q45" s="195">
        <v>0</v>
      </c>
      <c r="R45" s="193">
        <v>0</v>
      </c>
      <c r="S45" s="193">
        <v>0</v>
      </c>
      <c r="T45" s="193">
        <v>0</v>
      </c>
      <c r="U45" s="195">
        <v>0</v>
      </c>
      <c r="V45" s="193">
        <v>0</v>
      </c>
      <c r="W45" s="193">
        <v>0</v>
      </c>
      <c r="X45" s="193">
        <v>0</v>
      </c>
      <c r="Y45" s="195">
        <v>0</v>
      </c>
      <c r="Z45" s="193">
        <v>0</v>
      </c>
      <c r="AA45" s="193">
        <v>0</v>
      </c>
      <c r="AB45" s="193">
        <v>0</v>
      </c>
      <c r="AC45" s="195">
        <v>0</v>
      </c>
      <c r="AD45" s="193">
        <v>0</v>
      </c>
      <c r="AE45" s="193">
        <v>154</v>
      </c>
      <c r="AF45" s="193">
        <v>319</v>
      </c>
      <c r="AG45" s="195">
        <v>329</v>
      </c>
      <c r="AH45" s="193">
        <v>3940</v>
      </c>
      <c r="AI45" s="193">
        <v>7210</v>
      </c>
      <c r="AJ45" s="193">
        <v>7633</v>
      </c>
      <c r="AK45" s="195">
        <v>7563</v>
      </c>
    </row>
    <row r="46" spans="1:37">
      <c r="B46" s="220" t="s">
        <v>222</v>
      </c>
      <c r="C46" s="193">
        <v>0</v>
      </c>
      <c r="D46" s="193">
        <v>0</v>
      </c>
      <c r="E46" s="195">
        <v>0</v>
      </c>
      <c r="F46" s="193">
        <v>0</v>
      </c>
      <c r="G46" s="193">
        <v>0</v>
      </c>
      <c r="H46" s="193">
        <v>0</v>
      </c>
      <c r="I46" s="195">
        <v>0</v>
      </c>
      <c r="J46" s="193">
        <v>0</v>
      </c>
      <c r="K46" s="193">
        <v>0</v>
      </c>
      <c r="L46" s="193">
        <v>0</v>
      </c>
      <c r="M46" s="195">
        <v>0</v>
      </c>
      <c r="N46" s="193">
        <v>0</v>
      </c>
      <c r="O46" s="193">
        <v>0</v>
      </c>
      <c r="P46" s="193">
        <v>0</v>
      </c>
      <c r="Q46" s="195">
        <v>0</v>
      </c>
      <c r="R46" s="193">
        <v>0</v>
      </c>
      <c r="S46" s="193">
        <v>0</v>
      </c>
      <c r="T46" s="193">
        <v>0</v>
      </c>
      <c r="U46" s="195">
        <v>0</v>
      </c>
      <c r="V46" s="193">
        <v>0</v>
      </c>
      <c r="W46" s="193">
        <v>0</v>
      </c>
      <c r="X46" s="193">
        <v>0</v>
      </c>
      <c r="Y46" s="195">
        <v>0</v>
      </c>
      <c r="Z46" s="193">
        <v>181163</v>
      </c>
      <c r="AA46" s="193">
        <v>0</v>
      </c>
      <c r="AB46" s="193">
        <v>0</v>
      </c>
      <c r="AC46" s="195">
        <v>181562</v>
      </c>
      <c r="AD46" s="193">
        <v>192056</v>
      </c>
      <c r="AE46" s="193">
        <v>200947</v>
      </c>
      <c r="AF46" s="193">
        <v>197605</v>
      </c>
      <c r="AG46" s="195">
        <v>186253</v>
      </c>
      <c r="AH46" s="193">
        <v>194201</v>
      </c>
      <c r="AI46" s="193">
        <v>194814</v>
      </c>
      <c r="AJ46" s="193">
        <v>179422</v>
      </c>
      <c r="AK46" s="195">
        <v>167656</v>
      </c>
    </row>
    <row r="47" spans="1:37">
      <c r="B47" s="220" t="s">
        <v>235</v>
      </c>
      <c r="C47" s="193">
        <v>0</v>
      </c>
      <c r="D47" s="193">
        <v>0</v>
      </c>
      <c r="E47" s="195">
        <v>0</v>
      </c>
      <c r="F47" s="193">
        <v>0</v>
      </c>
      <c r="G47" s="193">
        <v>0</v>
      </c>
      <c r="H47" s="193">
        <v>0</v>
      </c>
      <c r="I47" s="195">
        <v>0</v>
      </c>
      <c r="J47" s="193">
        <v>0</v>
      </c>
      <c r="K47" s="193">
        <v>0</v>
      </c>
      <c r="L47" s="193">
        <v>0</v>
      </c>
      <c r="M47" s="195">
        <v>0</v>
      </c>
      <c r="N47" s="193">
        <v>0</v>
      </c>
      <c r="O47" s="193">
        <v>0</v>
      </c>
      <c r="P47" s="193">
        <v>0</v>
      </c>
      <c r="Q47" s="195">
        <v>0</v>
      </c>
      <c r="R47" s="193">
        <v>19699</v>
      </c>
      <c r="S47" s="193">
        <v>12093</v>
      </c>
      <c r="T47" s="193">
        <v>6989</v>
      </c>
      <c r="U47" s="195">
        <v>1950</v>
      </c>
      <c r="V47" s="193">
        <v>20646</v>
      </c>
      <c r="W47" s="193">
        <v>0</v>
      </c>
      <c r="X47" s="193">
        <v>0</v>
      </c>
      <c r="Y47" s="195">
        <v>0</v>
      </c>
      <c r="Z47" s="193">
        <v>15096</v>
      </c>
      <c r="AA47" s="193">
        <v>0</v>
      </c>
      <c r="AB47" s="193">
        <v>0</v>
      </c>
      <c r="AC47" s="195">
        <v>199</v>
      </c>
      <c r="AD47" s="193">
        <v>14216</v>
      </c>
      <c r="AE47" s="193">
        <v>9136</v>
      </c>
      <c r="AF47" s="193">
        <v>4003</v>
      </c>
      <c r="AG47" s="195">
        <v>170</v>
      </c>
      <c r="AH47" s="193">
        <v>12254</v>
      </c>
      <c r="AI47" s="193">
        <v>8941</v>
      </c>
      <c r="AJ47" s="193">
        <v>2089</v>
      </c>
      <c r="AK47" s="195">
        <v>1148</v>
      </c>
    </row>
    <row r="48" spans="1:37">
      <c r="B48" s="220" t="s">
        <v>314</v>
      </c>
      <c r="C48" s="193">
        <v>20197</v>
      </c>
      <c r="D48" s="193">
        <v>19132</v>
      </c>
      <c r="E48" s="195">
        <v>18155.599999999999</v>
      </c>
      <c r="F48" s="193">
        <v>20574.2</v>
      </c>
      <c r="G48" s="193">
        <v>20680</v>
      </c>
      <c r="H48" s="193">
        <v>22087</v>
      </c>
      <c r="I48" s="195">
        <v>22091</v>
      </c>
      <c r="J48" s="193">
        <v>23852</v>
      </c>
      <c r="K48" s="193">
        <v>25651</v>
      </c>
      <c r="L48" s="193">
        <v>24818</v>
      </c>
      <c r="M48" s="195">
        <v>28286</v>
      </c>
      <c r="N48" s="193">
        <v>29400</v>
      </c>
      <c r="O48" s="193">
        <v>29258</v>
      </c>
      <c r="P48" s="193">
        <v>29086</v>
      </c>
      <c r="Q48" s="195">
        <v>30991</v>
      </c>
      <c r="R48" s="193">
        <v>11656</v>
      </c>
      <c r="S48" s="193">
        <v>15484</v>
      </c>
      <c r="T48" s="193">
        <v>23918</v>
      </c>
      <c r="U48" s="195">
        <v>19491</v>
      </c>
      <c r="V48" s="193">
        <v>18108</v>
      </c>
      <c r="W48" s="193">
        <v>10041</v>
      </c>
      <c r="X48" s="193">
        <v>12109</v>
      </c>
      <c r="Y48" s="195">
        <v>13542</v>
      </c>
      <c r="Z48" s="193">
        <v>12615</v>
      </c>
      <c r="AA48" s="193">
        <v>2554</v>
      </c>
      <c r="AB48" s="193">
        <v>3532</v>
      </c>
      <c r="AC48" s="195">
        <v>4522</v>
      </c>
      <c r="AD48" s="193">
        <v>5148</v>
      </c>
      <c r="AE48" s="193">
        <v>9844</v>
      </c>
      <c r="AF48" s="193">
        <v>14597</v>
      </c>
      <c r="AG48" s="195">
        <v>17889</v>
      </c>
      <c r="AH48" s="193">
        <v>19819</v>
      </c>
      <c r="AI48" s="193">
        <v>29952</v>
      </c>
      <c r="AJ48" s="193">
        <v>36519</v>
      </c>
      <c r="AK48" s="195">
        <v>40920</v>
      </c>
    </row>
    <row r="49" spans="1:37">
      <c r="B49" s="220" t="s">
        <v>223</v>
      </c>
      <c r="C49" s="193">
        <v>211845</v>
      </c>
      <c r="D49" s="193">
        <v>430911</v>
      </c>
      <c r="E49" s="195">
        <f>195501</f>
        <v>195501</v>
      </c>
      <c r="F49" s="193">
        <v>253664</v>
      </c>
      <c r="G49" s="193">
        <v>281386</v>
      </c>
      <c r="H49" s="193">
        <v>279649</v>
      </c>
      <c r="I49" s="195">
        <v>288142</v>
      </c>
      <c r="J49" s="193">
        <v>255378</v>
      </c>
      <c r="K49" s="193">
        <v>255781</v>
      </c>
      <c r="L49" s="193">
        <v>354691</v>
      </c>
      <c r="M49" s="195">
        <v>365212</v>
      </c>
      <c r="N49" s="193">
        <v>380332</v>
      </c>
      <c r="O49" s="193">
        <v>371142</v>
      </c>
      <c r="P49" s="193">
        <v>606216</v>
      </c>
      <c r="Q49" s="195">
        <v>630214</v>
      </c>
      <c r="R49" s="193">
        <v>319002.83192000003</v>
      </c>
      <c r="S49" s="193">
        <v>268634.39157000009</v>
      </c>
      <c r="T49" s="193">
        <v>278667.85365</v>
      </c>
      <c r="U49" s="195">
        <v>283808</v>
      </c>
      <c r="V49" s="193">
        <v>278216</v>
      </c>
      <c r="W49" s="193">
        <v>269840</v>
      </c>
      <c r="X49" s="193">
        <v>304304</v>
      </c>
      <c r="Y49" s="195">
        <v>275201</v>
      </c>
      <c r="Z49" s="193">
        <v>45705</v>
      </c>
      <c r="AA49" s="193">
        <v>264945</v>
      </c>
      <c r="AB49" s="193">
        <v>285730</v>
      </c>
      <c r="AC49" s="195">
        <v>55238</v>
      </c>
      <c r="AD49" s="193">
        <v>62683</v>
      </c>
      <c r="AE49" s="193">
        <v>58317</v>
      </c>
      <c r="AF49" s="193">
        <v>55687</v>
      </c>
      <c r="AG49" s="195">
        <v>60818</v>
      </c>
      <c r="AH49" s="193">
        <v>132028</v>
      </c>
      <c r="AI49" s="193">
        <v>81350</v>
      </c>
      <c r="AJ49" s="193">
        <v>98369</v>
      </c>
      <c r="AK49" s="195">
        <v>28605</v>
      </c>
    </row>
    <row r="50" spans="1:37" ht="15.75" thickBot="1">
      <c r="A50" s="196"/>
      <c r="B50" s="219" t="s">
        <v>224</v>
      </c>
      <c r="C50" s="198">
        <f t="shared" ref="C50" si="62">SUM(C51:C58)</f>
        <v>3670797</v>
      </c>
      <c r="D50" s="198">
        <f t="shared" ref="D50" si="63">SUM(D51:D58)</f>
        <v>3331180</v>
      </c>
      <c r="E50" s="200">
        <f t="shared" ref="E50" si="64">SUM(E51:E58)</f>
        <v>3279102</v>
      </c>
      <c r="F50" s="198">
        <f t="shared" ref="F50" si="65">SUM(F51:F58)</f>
        <v>3189933.2</v>
      </c>
      <c r="G50" s="198">
        <f t="shared" ref="G50" si="66">SUM(G51:G58)</f>
        <v>3122103</v>
      </c>
      <c r="H50" s="198">
        <f t="shared" ref="H50" si="67">SUM(H51:H58)</f>
        <v>3247110</v>
      </c>
      <c r="I50" s="200">
        <f t="shared" ref="I50" si="68">SUM(I51:I58)</f>
        <v>2658455</v>
      </c>
      <c r="J50" s="198">
        <f t="shared" ref="J50" si="69">SUM(J51:J58)</f>
        <v>1984628</v>
      </c>
      <c r="K50" s="198">
        <f t="shared" ref="K50" si="70">SUM(K51:K58)</f>
        <v>2043531</v>
      </c>
      <c r="L50" s="198">
        <f t="shared" ref="L50" si="71">SUM(L51:L58)</f>
        <v>2228582</v>
      </c>
      <c r="M50" s="200">
        <f t="shared" ref="M50" si="72">SUM(M51:M58)</f>
        <v>2143307</v>
      </c>
      <c r="N50" s="198">
        <f t="shared" ref="N50" si="73">SUM(N51:N58)</f>
        <v>2099122</v>
      </c>
      <c r="O50" s="198">
        <f t="shared" ref="O50" si="74">SUM(O51:O58)</f>
        <v>2146667</v>
      </c>
      <c r="P50" s="198">
        <f>SUM(P51:P58)</f>
        <v>2183758</v>
      </c>
      <c r="Q50" s="200">
        <v>2130550</v>
      </c>
      <c r="R50" s="198">
        <f t="shared" ref="R50:S50" si="75">SUM(R51:R58)</f>
        <v>2230959</v>
      </c>
      <c r="S50" s="198">
        <f t="shared" si="75"/>
        <v>1867176</v>
      </c>
      <c r="T50" s="198">
        <f>SUM(T51:T58)</f>
        <v>1595555</v>
      </c>
      <c r="U50" s="200">
        <f>SUM(U51:U58)</f>
        <v>1549099</v>
      </c>
      <c r="V50" s="198">
        <f>SUM(V51:V58)</f>
        <v>1640042</v>
      </c>
      <c r="W50" s="198">
        <f>SUM(W51:W58)</f>
        <v>1604112</v>
      </c>
      <c r="X50" s="198">
        <f>SUM(X51:X58)</f>
        <v>1544101</v>
      </c>
      <c r="Y50" s="200">
        <f t="shared" ref="Y50" si="76">SUM(Y51:Y58)</f>
        <v>1450521</v>
      </c>
      <c r="Z50" s="198">
        <f t="shared" ref="Z50" si="77">SUM(Z51:Z58)</f>
        <v>1468262</v>
      </c>
      <c r="AA50" s="198">
        <f t="shared" ref="AA50:AE50" si="78">SUM(AA51:AA58)</f>
        <v>1467020</v>
      </c>
      <c r="AB50" s="198">
        <f t="shared" si="78"/>
        <v>1358726</v>
      </c>
      <c r="AC50" s="200">
        <f t="shared" si="78"/>
        <v>1467023</v>
      </c>
      <c r="AD50" s="198">
        <f t="shared" si="78"/>
        <v>1538379</v>
      </c>
      <c r="AE50" s="198">
        <f t="shared" si="78"/>
        <v>1625006</v>
      </c>
      <c r="AF50" s="198">
        <v>1697503</v>
      </c>
      <c r="AG50" s="200">
        <v>1241725</v>
      </c>
      <c r="AH50" s="198">
        <v>1205583</v>
      </c>
      <c r="AI50" s="198">
        <v>1294014</v>
      </c>
      <c r="AJ50" s="198">
        <v>1240830</v>
      </c>
      <c r="AK50" s="200">
        <v>1183569</v>
      </c>
    </row>
    <row r="51" spans="1:37" ht="15" thickTop="1">
      <c r="B51" s="220" t="s">
        <v>217</v>
      </c>
      <c r="C51" s="193">
        <v>2595636</v>
      </c>
      <c r="D51" s="193">
        <v>2252509</v>
      </c>
      <c r="E51" s="195">
        <v>2210733</v>
      </c>
      <c r="F51" s="193">
        <v>2058754</v>
      </c>
      <c r="G51" s="193">
        <v>2003743</v>
      </c>
      <c r="H51" s="193">
        <v>2140691</v>
      </c>
      <c r="I51" s="195">
        <v>1636010</v>
      </c>
      <c r="J51" s="193">
        <v>902054</v>
      </c>
      <c r="K51" s="193">
        <v>1003081</v>
      </c>
      <c r="L51" s="193">
        <v>1208241</v>
      </c>
      <c r="M51" s="195">
        <v>1220540</v>
      </c>
      <c r="N51" s="193">
        <v>1209000</v>
      </c>
      <c r="O51" s="193">
        <v>1234618</v>
      </c>
      <c r="P51" s="193">
        <v>1294139</v>
      </c>
      <c r="Q51" s="195">
        <v>1313005</v>
      </c>
      <c r="R51" s="193">
        <v>828203</v>
      </c>
      <c r="S51" s="193">
        <v>638886</v>
      </c>
      <c r="T51" s="193">
        <v>296035</v>
      </c>
      <c r="U51" s="195">
        <v>372810</v>
      </c>
      <c r="V51" s="193">
        <v>384849</v>
      </c>
      <c r="W51" s="193">
        <v>399393</v>
      </c>
      <c r="X51" s="193">
        <v>405951</v>
      </c>
      <c r="Y51" s="195">
        <v>499982</v>
      </c>
      <c r="Z51" s="193">
        <v>503306</v>
      </c>
      <c r="AA51" s="193">
        <v>523549</v>
      </c>
      <c r="AB51" s="193">
        <v>421795</v>
      </c>
      <c r="AC51" s="195">
        <v>549928</v>
      </c>
      <c r="AD51" s="193">
        <v>619650</v>
      </c>
      <c r="AE51" s="193">
        <v>694374</v>
      </c>
      <c r="AF51" s="193">
        <v>828910</v>
      </c>
      <c r="AG51" s="195">
        <v>403089</v>
      </c>
      <c r="AH51" s="193">
        <v>351811</v>
      </c>
      <c r="AI51" s="193">
        <v>311905</v>
      </c>
      <c r="AJ51" s="193">
        <v>289865</v>
      </c>
      <c r="AK51" s="195">
        <v>274688</v>
      </c>
    </row>
    <row r="52" spans="1:37">
      <c r="B52" s="220" t="s">
        <v>412</v>
      </c>
      <c r="C52" s="193">
        <v>9458</v>
      </c>
      <c r="D52" s="193">
        <v>9929</v>
      </c>
      <c r="E52" s="195">
        <v>10308</v>
      </c>
      <c r="F52" s="193">
        <v>10271</v>
      </c>
      <c r="G52" s="193">
        <v>9593</v>
      </c>
      <c r="H52" s="193">
        <v>9928</v>
      </c>
      <c r="I52" s="195">
        <v>9018</v>
      </c>
      <c r="J52" s="193">
        <v>0</v>
      </c>
      <c r="K52" s="193">
        <v>0</v>
      </c>
      <c r="L52" s="193">
        <v>0</v>
      </c>
      <c r="M52" s="195">
        <v>0</v>
      </c>
      <c r="N52" s="193">
        <v>0</v>
      </c>
      <c r="O52" s="193">
        <v>0</v>
      </c>
      <c r="P52" s="193">
        <v>0</v>
      </c>
      <c r="Q52" s="195">
        <v>0</v>
      </c>
      <c r="R52" s="193">
        <v>0</v>
      </c>
      <c r="S52" s="193">
        <v>0</v>
      </c>
      <c r="T52" s="193">
        <v>0</v>
      </c>
      <c r="U52" s="195">
        <v>0</v>
      </c>
      <c r="V52" s="193">
        <v>0</v>
      </c>
      <c r="W52" s="193">
        <v>0</v>
      </c>
      <c r="X52" s="193">
        <v>0</v>
      </c>
      <c r="Y52" s="195">
        <v>0</v>
      </c>
      <c r="Z52" s="193">
        <v>0</v>
      </c>
      <c r="AA52" s="193">
        <v>0</v>
      </c>
      <c r="AB52" s="193">
        <v>0</v>
      </c>
      <c r="AC52" s="195">
        <v>0</v>
      </c>
      <c r="AD52" s="193">
        <v>0</v>
      </c>
      <c r="AE52" s="193">
        <v>0</v>
      </c>
      <c r="AF52" s="193">
        <v>0</v>
      </c>
      <c r="AG52" s="195">
        <v>0</v>
      </c>
      <c r="AH52" s="193">
        <v>0</v>
      </c>
      <c r="AI52" s="193">
        <v>0</v>
      </c>
      <c r="AJ52" s="193">
        <v>0</v>
      </c>
      <c r="AK52" s="195">
        <v>0</v>
      </c>
    </row>
    <row r="53" spans="1:37">
      <c r="B53" s="220" t="s">
        <v>448</v>
      </c>
      <c r="C53" s="193">
        <v>2879</v>
      </c>
      <c r="D53" s="193"/>
      <c r="E53" s="195"/>
      <c r="F53" s="193"/>
      <c r="G53" s="193"/>
      <c r="H53" s="193"/>
      <c r="I53" s="195"/>
      <c r="J53" s="193"/>
      <c r="K53" s="193"/>
      <c r="L53" s="193"/>
      <c r="M53" s="195"/>
      <c r="N53" s="193"/>
      <c r="O53" s="193"/>
      <c r="P53" s="193"/>
      <c r="Q53" s="195"/>
      <c r="R53" s="193"/>
      <c r="S53" s="193"/>
      <c r="T53" s="193"/>
      <c r="U53" s="195"/>
      <c r="V53" s="193"/>
      <c r="W53" s="193"/>
      <c r="X53" s="193"/>
      <c r="Y53" s="195"/>
      <c r="Z53" s="193"/>
      <c r="AA53" s="193"/>
      <c r="AB53" s="193"/>
      <c r="AC53" s="195"/>
      <c r="AD53" s="193"/>
      <c r="AE53" s="193"/>
      <c r="AF53" s="193"/>
      <c r="AG53" s="195"/>
      <c r="AH53" s="193"/>
      <c r="AI53" s="193"/>
      <c r="AJ53" s="193"/>
      <c r="AK53" s="195"/>
    </row>
    <row r="54" spans="1:37">
      <c r="B54" s="220" t="s">
        <v>235</v>
      </c>
      <c r="C54" s="193">
        <v>0</v>
      </c>
      <c r="D54" s="193">
        <v>0</v>
      </c>
      <c r="E54" s="195">
        <v>0</v>
      </c>
      <c r="F54" s="193">
        <v>0</v>
      </c>
      <c r="G54" s="193">
        <v>0</v>
      </c>
      <c r="H54" s="193">
        <v>0</v>
      </c>
      <c r="I54" s="195">
        <v>0</v>
      </c>
      <c r="J54" s="193">
        <v>0</v>
      </c>
      <c r="K54" s="193">
        <v>0</v>
      </c>
      <c r="L54" s="193">
        <v>0</v>
      </c>
      <c r="M54" s="195">
        <v>0</v>
      </c>
      <c r="N54" s="193">
        <v>0</v>
      </c>
      <c r="O54" s="193">
        <v>0</v>
      </c>
      <c r="P54" s="193">
        <v>0</v>
      </c>
      <c r="Q54" s="195">
        <v>0</v>
      </c>
      <c r="R54" s="193">
        <v>744253</v>
      </c>
      <c r="S54" s="193">
        <v>684413</v>
      </c>
      <c r="T54" s="193">
        <v>779525</v>
      </c>
      <c r="U54" s="195">
        <v>711015</v>
      </c>
      <c r="V54" s="193">
        <v>771811</v>
      </c>
      <c r="W54" s="193">
        <v>0</v>
      </c>
      <c r="X54" s="193">
        <v>0</v>
      </c>
      <c r="Y54" s="195">
        <v>0</v>
      </c>
      <c r="Z54" s="193">
        <v>0</v>
      </c>
      <c r="AA54" s="193">
        <v>0</v>
      </c>
      <c r="AB54" s="193">
        <v>0</v>
      </c>
      <c r="AC54" s="195">
        <v>0</v>
      </c>
      <c r="AD54" s="193">
        <v>0</v>
      </c>
      <c r="AE54" s="193">
        <v>0</v>
      </c>
      <c r="AF54" s="193">
        <v>0</v>
      </c>
      <c r="AG54" s="195">
        <v>0</v>
      </c>
      <c r="AH54" s="193">
        <v>0</v>
      </c>
      <c r="AI54" s="193">
        <v>0</v>
      </c>
      <c r="AJ54" s="193">
        <v>0</v>
      </c>
      <c r="AK54" s="195">
        <v>0</v>
      </c>
    </row>
    <row r="55" spans="1:37">
      <c r="B55" s="220" t="s">
        <v>219</v>
      </c>
      <c r="C55" s="193">
        <v>0</v>
      </c>
      <c r="D55" s="193">
        <v>0</v>
      </c>
      <c r="E55" s="195">
        <v>0</v>
      </c>
      <c r="F55" s="193">
        <v>0</v>
      </c>
      <c r="G55" s="193">
        <v>0</v>
      </c>
      <c r="H55" s="193">
        <v>0</v>
      </c>
      <c r="I55" s="195">
        <v>0</v>
      </c>
      <c r="J55" s="193">
        <v>0</v>
      </c>
      <c r="K55" s="193">
        <v>0</v>
      </c>
      <c r="L55" s="193">
        <v>0</v>
      </c>
      <c r="M55" s="195">
        <v>0</v>
      </c>
      <c r="N55" s="193">
        <v>0</v>
      </c>
      <c r="O55" s="193">
        <v>0</v>
      </c>
      <c r="P55" s="193">
        <v>0</v>
      </c>
      <c r="Q55" s="195">
        <v>0</v>
      </c>
      <c r="R55" s="193">
        <v>0</v>
      </c>
      <c r="S55" s="193">
        <v>0</v>
      </c>
      <c r="T55" s="193">
        <v>0</v>
      </c>
      <c r="U55" s="195">
        <v>0</v>
      </c>
      <c r="V55" s="193">
        <v>0</v>
      </c>
      <c r="W55" s="193">
        <v>0</v>
      </c>
      <c r="X55" s="193">
        <v>0</v>
      </c>
      <c r="Y55" s="195">
        <v>0</v>
      </c>
      <c r="Z55" s="193">
        <v>52</v>
      </c>
      <c r="AA55" s="193">
        <v>0</v>
      </c>
      <c r="AB55" s="193">
        <v>0</v>
      </c>
      <c r="AC55" s="195">
        <v>386</v>
      </c>
      <c r="AD55" s="193">
        <v>459</v>
      </c>
      <c r="AE55" s="193">
        <v>743</v>
      </c>
      <c r="AF55" s="193">
        <v>11210</v>
      </c>
      <c r="AG55" s="195">
        <v>4089</v>
      </c>
      <c r="AH55" s="193">
        <v>3034</v>
      </c>
      <c r="AI55" s="193">
        <v>4153</v>
      </c>
      <c r="AJ55" s="193">
        <v>5099</v>
      </c>
      <c r="AK55" s="195">
        <v>5958</v>
      </c>
    </row>
    <row r="56" spans="1:37">
      <c r="B56" s="220" t="s">
        <v>225</v>
      </c>
      <c r="C56" s="193">
        <v>945264</v>
      </c>
      <c r="D56" s="193">
        <v>953631</v>
      </c>
      <c r="E56" s="195">
        <v>942927</v>
      </c>
      <c r="F56" s="193">
        <v>860895</v>
      </c>
      <c r="G56" s="193">
        <v>851681</v>
      </c>
      <c r="H56" s="193">
        <v>834083</v>
      </c>
      <c r="I56" s="195">
        <v>757337</v>
      </c>
      <c r="J56" s="193">
        <v>824535</v>
      </c>
      <c r="K56" s="193">
        <v>786203</v>
      </c>
      <c r="L56" s="193">
        <v>729230</v>
      </c>
      <c r="M56" s="195">
        <v>660385</v>
      </c>
      <c r="N56" s="193">
        <v>700940</v>
      </c>
      <c r="O56" s="193">
        <v>721185</v>
      </c>
      <c r="P56" s="193">
        <v>641028</v>
      </c>
      <c r="Q56" s="195">
        <v>631290</v>
      </c>
      <c r="R56" s="193">
        <v>484408</v>
      </c>
      <c r="S56" s="193">
        <v>392578</v>
      </c>
      <c r="T56" s="193">
        <v>336495</v>
      </c>
      <c r="U56" s="195">
        <v>317912</v>
      </c>
      <c r="V56" s="193">
        <v>328277</v>
      </c>
      <c r="W56" s="193">
        <v>325895</v>
      </c>
      <c r="X56" s="193">
        <v>316694</v>
      </c>
      <c r="Y56" s="195">
        <v>296628</v>
      </c>
      <c r="Z56" s="193">
        <v>293936</v>
      </c>
      <c r="AA56" s="193">
        <v>295186</v>
      </c>
      <c r="AB56" s="193">
        <v>277802</v>
      </c>
      <c r="AC56" s="195">
        <v>273968</v>
      </c>
      <c r="AD56" s="193">
        <v>264629</v>
      </c>
      <c r="AE56" s="193">
        <v>243426</v>
      </c>
      <c r="AF56" s="193">
        <v>235592</v>
      </c>
      <c r="AG56" s="195">
        <v>207127</v>
      </c>
      <c r="AH56" s="193">
        <v>254542</v>
      </c>
      <c r="AI56" s="193">
        <v>246927</v>
      </c>
      <c r="AJ56" s="193">
        <v>235714</v>
      </c>
      <c r="AK56" s="195">
        <v>178140</v>
      </c>
    </row>
    <row r="57" spans="1:37">
      <c r="B57" s="220" t="s">
        <v>314</v>
      </c>
      <c r="C57" s="193">
        <v>70259</v>
      </c>
      <c r="D57" s="193">
        <v>67345</v>
      </c>
      <c r="E57" s="195">
        <v>66488</v>
      </c>
      <c r="F57" s="193">
        <v>73655.199999999997</v>
      </c>
      <c r="G57" s="193">
        <v>71173</v>
      </c>
      <c r="H57" s="193">
        <v>73943</v>
      </c>
      <c r="I57" s="195">
        <v>69526</v>
      </c>
      <c r="J57" s="193">
        <v>77747</v>
      </c>
      <c r="K57" s="193">
        <v>70416</v>
      </c>
      <c r="L57" s="193">
        <v>72997</v>
      </c>
      <c r="M57" s="195">
        <v>72103</v>
      </c>
      <c r="N57" s="193">
        <v>106766</v>
      </c>
      <c r="O57" s="193">
        <v>104947</v>
      </c>
      <c r="P57" s="193">
        <v>102684</v>
      </c>
      <c r="Q57" s="195">
        <v>94986</v>
      </c>
      <c r="R57" s="193">
        <v>74541</v>
      </c>
      <c r="S57" s="193">
        <v>49889</v>
      </c>
      <c r="T57" s="193">
        <v>43007</v>
      </c>
      <c r="U57" s="195">
        <v>40312</v>
      </c>
      <c r="V57" s="193">
        <v>49590</v>
      </c>
      <c r="W57" s="193">
        <v>45725</v>
      </c>
      <c r="X57" s="193">
        <v>46391</v>
      </c>
      <c r="Y57" s="195">
        <v>47958</v>
      </c>
      <c r="Z57" s="193">
        <f>44289+8563</f>
        <v>52852</v>
      </c>
      <c r="AA57" s="193">
        <v>73987</v>
      </c>
      <c r="AB57" s="193">
        <v>73125</v>
      </c>
      <c r="AC57" s="195">
        <f>49410+17346</f>
        <v>66756</v>
      </c>
      <c r="AD57" s="193">
        <f>39918+25591</f>
        <v>65509</v>
      </c>
      <c r="AE57" s="193">
        <f>90153+27262</f>
        <v>117415</v>
      </c>
      <c r="AF57" s="193">
        <v>96812</v>
      </c>
      <c r="AG57" s="195">
        <f>105360+24878</f>
        <v>130238</v>
      </c>
      <c r="AH57" s="193">
        <f>98704+24036</f>
        <v>122740</v>
      </c>
      <c r="AI57" s="193">
        <f>102120+23048</f>
        <v>125168</v>
      </c>
      <c r="AJ57" s="193">
        <f>105068+21922</f>
        <v>126990</v>
      </c>
      <c r="AK57" s="195">
        <f>103365+19214</f>
        <v>122579</v>
      </c>
    </row>
    <row r="58" spans="1:37">
      <c r="B58" s="220" t="s">
        <v>227</v>
      </c>
      <c r="C58" s="193">
        <v>47301</v>
      </c>
      <c r="D58" s="193">
        <v>47766</v>
      </c>
      <c r="E58" s="195">
        <v>48646</v>
      </c>
      <c r="F58" s="193">
        <v>186358</v>
      </c>
      <c r="G58" s="193">
        <v>185913</v>
      </c>
      <c r="H58" s="193">
        <v>188465</v>
      </c>
      <c r="I58" s="195">
        <v>186564</v>
      </c>
      <c r="J58" s="193">
        <v>180292</v>
      </c>
      <c r="K58" s="193">
        <v>183831</v>
      </c>
      <c r="L58" s="193">
        <v>218114</v>
      </c>
      <c r="M58" s="195">
        <v>190279</v>
      </c>
      <c r="N58" s="193">
        <v>82416</v>
      </c>
      <c r="O58" s="193">
        <v>85917</v>
      </c>
      <c r="P58" s="193">
        <v>145907</v>
      </c>
      <c r="Q58" s="195">
        <v>91269</v>
      </c>
      <c r="R58" s="193">
        <v>99554</v>
      </c>
      <c r="S58" s="193">
        <v>101410</v>
      </c>
      <c r="T58" s="193">
        <v>140493</v>
      </c>
      <c r="U58" s="195">
        <v>107050</v>
      </c>
      <c r="V58" s="193">
        <v>105515</v>
      </c>
      <c r="W58" s="193">
        <v>833099</v>
      </c>
      <c r="X58" s="193">
        <v>775065</v>
      </c>
      <c r="Y58" s="195">
        <v>605953</v>
      </c>
      <c r="Z58" s="193">
        <f>3015+45220+569881</f>
        <v>618116</v>
      </c>
      <c r="AA58" s="193">
        <v>574298</v>
      </c>
      <c r="AB58" s="193">
        <v>586004</v>
      </c>
      <c r="AC58" s="195">
        <f>2498+530287+43200</f>
        <v>575985</v>
      </c>
      <c r="AD58" s="193">
        <f>548235+39897</f>
        <v>588132</v>
      </c>
      <c r="AE58" s="193">
        <f>527478+41570</f>
        <v>569048</v>
      </c>
      <c r="AF58" s="193">
        <f>25562+454955+44462</f>
        <v>524979</v>
      </c>
      <c r="AG58" s="195">
        <f>452660+44522</f>
        <v>497182</v>
      </c>
      <c r="AH58" s="193">
        <f>1225+433426+38805</f>
        <v>473456</v>
      </c>
      <c r="AI58" s="193">
        <f>113802+452689+39370</f>
        <v>605861</v>
      </c>
      <c r="AJ58" s="193">
        <f>108605+436096+38461</f>
        <v>583162</v>
      </c>
      <c r="AK58" s="195">
        <f>99399+443436+59369</f>
        <v>602204</v>
      </c>
    </row>
    <row r="59" spans="1:37" ht="15.75" thickBot="1">
      <c r="A59" s="196"/>
      <c r="B59" s="228" t="s">
        <v>228</v>
      </c>
      <c r="C59" s="198">
        <f t="shared" ref="C59" si="79">SUM(C60:C66)</f>
        <v>2827928</v>
      </c>
      <c r="D59" s="198">
        <f t="shared" ref="D59" si="80">SUM(D60:D66)</f>
        <v>2671407</v>
      </c>
      <c r="E59" s="200">
        <f t="shared" ref="E59" si="81">SUM(E60:E66)</f>
        <v>2813929</v>
      </c>
      <c r="F59" s="198">
        <f>SUM(F60:F66)</f>
        <v>2784194</v>
      </c>
      <c r="G59" s="198">
        <f t="shared" ref="G59" si="82">SUM(G60:G66)</f>
        <v>2698807</v>
      </c>
      <c r="H59" s="198">
        <f t="shared" ref="H59" si="83">SUM(H60:H66)</f>
        <v>2559331</v>
      </c>
      <c r="I59" s="200">
        <f t="shared" ref="I59" si="84">SUM(I60:I66)</f>
        <v>2447852</v>
      </c>
      <c r="J59" s="198">
        <f t="shared" ref="J59" si="85">SUM(J60:J66)</f>
        <v>2835953</v>
      </c>
      <c r="K59" s="198">
        <f t="shared" ref="K59" si="86">SUM(K60:K66)</f>
        <v>2637843</v>
      </c>
      <c r="L59" s="198">
        <f t="shared" ref="L59" si="87">SUM(L60:L66)</f>
        <v>2596076</v>
      </c>
      <c r="M59" s="200">
        <f t="shared" ref="M59" si="88">SUM(M60:M66)</f>
        <v>2355333</v>
      </c>
      <c r="N59" s="198">
        <f t="shared" ref="N59" si="89">SUM(N60:N66)</f>
        <v>2857136</v>
      </c>
      <c r="O59" s="198">
        <f t="shared" ref="O59" si="90">SUM(O60:O66)</f>
        <v>3259736</v>
      </c>
      <c r="P59" s="198">
        <f t="shared" ref="P59" si="91">SUM(P60:P66)</f>
        <v>2676599</v>
      </c>
      <c r="Q59" s="200">
        <v>2321437</v>
      </c>
      <c r="R59" s="198">
        <f t="shared" ref="R59:S59" si="92">SUM(R60:R66)</f>
        <v>2566222</v>
      </c>
      <c r="S59" s="198">
        <f t="shared" si="92"/>
        <v>2001995</v>
      </c>
      <c r="T59" s="198">
        <f t="shared" ref="T59" si="93">SUM(T60:T66)</f>
        <v>2092508</v>
      </c>
      <c r="U59" s="200">
        <f t="shared" ref="U59:W59" si="94">SUM(U60:U66)</f>
        <v>1739039</v>
      </c>
      <c r="V59" s="198">
        <f t="shared" si="94"/>
        <v>1537359</v>
      </c>
      <c r="W59" s="198">
        <f t="shared" si="94"/>
        <v>1409410</v>
      </c>
      <c r="X59" s="198">
        <f t="shared" ref="X59" si="95">SUM(X60:X66)</f>
        <v>1391371</v>
      </c>
      <c r="Y59" s="200">
        <f t="shared" ref="Y59" si="96">SUM(Y60:Y66)</f>
        <v>1483223</v>
      </c>
      <c r="Z59" s="198">
        <f t="shared" ref="Z59" si="97">SUM(Z60:Z66)</f>
        <v>1385826</v>
      </c>
      <c r="AA59" s="198">
        <f t="shared" ref="AA59:AE59" si="98">SUM(AA60:AA66)</f>
        <v>1453417</v>
      </c>
      <c r="AB59" s="198">
        <f t="shared" si="98"/>
        <v>1463824</v>
      </c>
      <c r="AC59" s="200">
        <f t="shared" si="98"/>
        <v>1445942</v>
      </c>
      <c r="AD59" s="198">
        <f t="shared" si="98"/>
        <v>1373512</v>
      </c>
      <c r="AE59" s="198">
        <f t="shared" si="98"/>
        <v>1228517</v>
      </c>
      <c r="AF59" s="198">
        <v>1218808</v>
      </c>
      <c r="AG59" s="200">
        <v>1072831</v>
      </c>
      <c r="AH59" s="198">
        <v>1078932</v>
      </c>
      <c r="AI59" s="198">
        <v>1320725</v>
      </c>
      <c r="AJ59" s="198">
        <v>1286263</v>
      </c>
      <c r="AK59" s="200">
        <v>1286159</v>
      </c>
    </row>
    <row r="60" spans="1:37" ht="15" thickTop="1">
      <c r="B60" s="229" t="s">
        <v>229</v>
      </c>
      <c r="C60" s="193">
        <v>1170110</v>
      </c>
      <c r="D60" s="193">
        <v>1170110</v>
      </c>
      <c r="E60" s="195">
        <v>1170110</v>
      </c>
      <c r="F60" s="193">
        <v>1170110</v>
      </c>
      <c r="G60" s="193">
        <v>1170110</v>
      </c>
      <c r="H60" s="193">
        <v>927877</v>
      </c>
      <c r="I60" s="195">
        <v>927877</v>
      </c>
      <c r="J60" s="193">
        <v>927877</v>
      </c>
      <c r="K60" s="193">
        <v>927877</v>
      </c>
      <c r="L60" s="193">
        <v>927877</v>
      </c>
      <c r="M60" s="195">
        <v>927877</v>
      </c>
      <c r="N60" s="193">
        <v>927877</v>
      </c>
      <c r="O60" s="193">
        <v>927877</v>
      </c>
      <c r="P60" s="193">
        <v>699002</v>
      </c>
      <c r="Q60" s="195">
        <v>699002</v>
      </c>
      <c r="R60" s="193">
        <v>699002</v>
      </c>
      <c r="S60" s="193">
        <v>699002</v>
      </c>
      <c r="T60" s="193">
        <v>699002</v>
      </c>
      <c r="U60" s="195">
        <v>699002</v>
      </c>
      <c r="V60" s="193">
        <v>699002</v>
      </c>
      <c r="W60" s="193">
        <v>699002</v>
      </c>
      <c r="X60" s="193">
        <v>699002</v>
      </c>
      <c r="Y60" s="195">
        <v>699002</v>
      </c>
      <c r="Z60" s="193">
        <v>699002</v>
      </c>
      <c r="AA60" s="193">
        <v>699002</v>
      </c>
      <c r="AB60" s="193">
        <v>474715</v>
      </c>
      <c r="AC60" s="195">
        <v>474415</v>
      </c>
      <c r="AD60" s="193">
        <v>384331</v>
      </c>
      <c r="AE60" s="193">
        <v>384331</v>
      </c>
      <c r="AF60" s="193">
        <v>384331</v>
      </c>
      <c r="AG60" s="195">
        <v>384331</v>
      </c>
      <c r="AH60" s="193">
        <v>384331</v>
      </c>
      <c r="AI60" s="193">
        <v>384331</v>
      </c>
      <c r="AJ60" s="193">
        <v>384331</v>
      </c>
      <c r="AK60" s="195">
        <v>384331</v>
      </c>
    </row>
    <row r="61" spans="1:37">
      <c r="B61" s="229" t="s">
        <v>230</v>
      </c>
      <c r="C61" s="193">
        <v>-74788</v>
      </c>
      <c r="D61" s="193">
        <v>-46922</v>
      </c>
      <c r="E61" s="195">
        <v>-22080</v>
      </c>
      <c r="F61" s="193">
        <v>-46819</v>
      </c>
      <c r="G61" s="193">
        <v>-45913</v>
      </c>
      <c r="H61" s="193">
        <v>-45913</v>
      </c>
      <c r="I61" s="195">
        <v>-28276</v>
      </c>
      <c r="J61" s="193">
        <v>-28276</v>
      </c>
      <c r="K61" s="193">
        <v>-32621</v>
      </c>
      <c r="L61" s="193">
        <v>-31039</v>
      </c>
      <c r="M61" s="195">
        <v>-31039</v>
      </c>
      <c r="N61" s="193">
        <v>-31039</v>
      </c>
      <c r="O61" s="193">
        <v>-30802</v>
      </c>
      <c r="P61" s="193">
        <v>-1401</v>
      </c>
      <c r="Q61" s="195">
        <v>-1401</v>
      </c>
      <c r="R61" s="193">
        <v>-1401</v>
      </c>
      <c r="S61" s="193">
        <v>-1401</v>
      </c>
      <c r="T61" s="193">
        <v>-1401</v>
      </c>
      <c r="U61" s="195">
        <v>-1154</v>
      </c>
      <c r="V61" s="193">
        <v>-37378</v>
      </c>
      <c r="W61" s="193">
        <v>-40711</v>
      </c>
      <c r="X61" s="193">
        <v>-27807</v>
      </c>
      <c r="Y61" s="195">
        <v>-101459</v>
      </c>
      <c r="Z61" s="193">
        <v>-91222</v>
      </c>
      <c r="AA61" s="193">
        <v>-41146</v>
      </c>
      <c r="AB61" s="193">
        <v>-12584</v>
      </c>
      <c r="AC61" s="195">
        <v>-33221</v>
      </c>
      <c r="AD61" s="193">
        <v>-14879</v>
      </c>
      <c r="AE61" s="193">
        <v>-14879</v>
      </c>
      <c r="AF61" s="193">
        <v>-14879</v>
      </c>
      <c r="AG61" s="195">
        <v>-14879</v>
      </c>
      <c r="AH61" s="193">
        <v>-14879</v>
      </c>
      <c r="AI61" s="193">
        <v>-14879</v>
      </c>
      <c r="AJ61" s="193">
        <v>-14879</v>
      </c>
      <c r="AK61" s="195">
        <v>-14879</v>
      </c>
    </row>
    <row r="62" spans="1:37">
      <c r="B62" s="229" t="s">
        <v>231</v>
      </c>
      <c r="C62" s="193">
        <v>1148077</v>
      </c>
      <c r="D62" s="193">
        <v>1142556</v>
      </c>
      <c r="E62" s="195">
        <v>1392556</v>
      </c>
      <c r="F62" s="193">
        <v>1185348</v>
      </c>
      <c r="G62" s="193">
        <v>1178663</v>
      </c>
      <c r="H62" s="193">
        <v>1412878</v>
      </c>
      <c r="I62" s="195">
        <v>1521186</v>
      </c>
      <c r="J62" s="193">
        <v>928860</v>
      </c>
      <c r="K62" s="193">
        <v>928860</v>
      </c>
      <c r="L62" s="193">
        <v>1010773</v>
      </c>
      <c r="M62" s="195">
        <v>1010773</v>
      </c>
      <c r="N62" s="193">
        <v>919223</v>
      </c>
      <c r="O62" s="193">
        <v>919223</v>
      </c>
      <c r="P62" s="193">
        <v>1147566</v>
      </c>
      <c r="Q62" s="195">
        <v>1147566</v>
      </c>
      <c r="R62" s="193">
        <v>682286</v>
      </c>
      <c r="S62" s="193">
        <v>710286</v>
      </c>
      <c r="T62" s="193">
        <v>804599</v>
      </c>
      <c r="U62" s="195">
        <v>804599</v>
      </c>
      <c r="V62" s="193">
        <v>559374</v>
      </c>
      <c r="W62" s="193">
        <v>611711</v>
      </c>
      <c r="X62" s="193">
        <v>611165</v>
      </c>
      <c r="Y62" s="195">
        <v>736249</v>
      </c>
      <c r="Z62" s="193">
        <v>603952</v>
      </c>
      <c r="AA62" s="193">
        <v>603952</v>
      </c>
      <c r="AB62" s="193">
        <v>828039</v>
      </c>
      <c r="AC62" s="195">
        <v>872230</v>
      </c>
      <c r="AD62" s="193">
        <v>580224</v>
      </c>
      <c r="AE62" s="193">
        <v>580224</v>
      </c>
      <c r="AF62" s="193">
        <v>579807</v>
      </c>
      <c r="AG62" s="195">
        <v>579807</v>
      </c>
      <c r="AH62" s="193">
        <v>368260</v>
      </c>
      <c r="AI62" s="193">
        <v>731060</v>
      </c>
      <c r="AJ62" s="193">
        <v>730701</v>
      </c>
      <c r="AK62" s="195">
        <v>730701</v>
      </c>
    </row>
    <row r="63" spans="1:37">
      <c r="B63" s="229" t="s">
        <v>389</v>
      </c>
      <c r="C63" s="193">
        <v>15495</v>
      </c>
      <c r="D63" s="193">
        <f>3819+10609</f>
        <v>14428</v>
      </c>
      <c r="E63" s="195">
        <f>9541+3819</f>
        <v>13360</v>
      </c>
      <c r="F63" s="193">
        <v>13529</v>
      </c>
      <c r="G63" s="193">
        <v>15364</v>
      </c>
      <c r="H63" s="193">
        <v>13186</v>
      </c>
      <c r="I63" s="195">
        <v>11420</v>
      </c>
      <c r="J63" s="193">
        <v>9654</v>
      </c>
      <c r="K63" s="193">
        <v>13266</v>
      </c>
      <c r="L63" s="193">
        <v>9870</v>
      </c>
      <c r="M63" s="195">
        <v>6474</v>
      </c>
      <c r="N63" s="193">
        <v>3078</v>
      </c>
      <c r="O63" s="193"/>
      <c r="P63" s="193"/>
      <c r="Q63" s="195"/>
      <c r="R63" s="193"/>
      <c r="S63" s="193"/>
      <c r="T63" s="193"/>
      <c r="U63" s="195"/>
      <c r="V63" s="193"/>
      <c r="W63" s="193"/>
      <c r="X63" s="193"/>
      <c r="Y63" s="195"/>
      <c r="Z63" s="193"/>
      <c r="AA63" s="193"/>
      <c r="AB63" s="193"/>
      <c r="AC63" s="195"/>
      <c r="AD63" s="193"/>
      <c r="AE63" s="193"/>
      <c r="AF63" s="193"/>
      <c r="AG63" s="195"/>
      <c r="AH63" s="193"/>
      <c r="AI63" s="193"/>
      <c r="AJ63" s="193"/>
      <c r="AK63" s="195"/>
    </row>
    <row r="64" spans="1:37">
      <c r="B64" s="229" t="s">
        <v>232</v>
      </c>
      <c r="C64" s="193">
        <v>384610</v>
      </c>
      <c r="D64" s="193">
        <v>151382</v>
      </c>
      <c r="E64" s="195">
        <v>0</v>
      </c>
      <c r="F64" s="193">
        <v>263340</v>
      </c>
      <c r="G64" s="193">
        <v>144766</v>
      </c>
      <c r="H64" s="193">
        <v>55992</v>
      </c>
      <c r="I64" s="195">
        <v>0</v>
      </c>
      <c r="J64" s="193">
        <v>627355</v>
      </c>
      <c r="K64" s="193">
        <v>437446</v>
      </c>
      <c r="L64" s="193">
        <v>251769</v>
      </c>
      <c r="M64" s="195">
        <v>0</v>
      </c>
      <c r="N64" s="193">
        <v>552807</v>
      </c>
      <c r="O64" s="193">
        <v>979966</v>
      </c>
      <c r="P64" s="193">
        <v>445396</v>
      </c>
      <c r="Q64" s="195">
        <v>0</v>
      </c>
      <c r="R64" s="193">
        <v>778800</v>
      </c>
      <c r="S64" s="193">
        <v>272620</v>
      </c>
      <c r="T64" s="193">
        <v>277547</v>
      </c>
      <c r="U64" s="195">
        <v>0</v>
      </c>
      <c r="V64" s="193">
        <v>82527</v>
      </c>
      <c r="W64" s="193">
        <v>-72350</v>
      </c>
      <c r="X64" s="193">
        <v>-92219</v>
      </c>
      <c r="Y64" s="195">
        <v>0</v>
      </c>
      <c r="Z64" s="193">
        <v>54199</v>
      </c>
      <c r="AA64" s="193">
        <v>66792</v>
      </c>
      <c r="AB64" s="193">
        <v>56283</v>
      </c>
      <c r="AC64" s="195">
        <v>0</v>
      </c>
      <c r="AD64" s="193">
        <v>374232</v>
      </c>
      <c r="AE64" s="193">
        <v>229629</v>
      </c>
      <c r="AF64" s="193">
        <v>158506</v>
      </c>
      <c r="AG64" s="195">
        <v>0</v>
      </c>
      <c r="AH64" s="193">
        <v>192820</v>
      </c>
      <c r="AI64" s="193">
        <v>59842</v>
      </c>
      <c r="AJ64" s="193">
        <v>34466</v>
      </c>
      <c r="AK64" s="195">
        <v>0</v>
      </c>
    </row>
    <row r="65" spans="2:37">
      <c r="B65" s="229" t="s">
        <v>233</v>
      </c>
      <c r="C65" s="193">
        <v>166421</v>
      </c>
      <c r="D65" s="193">
        <v>218110</v>
      </c>
      <c r="E65" s="195">
        <v>236511</v>
      </c>
      <c r="F65" s="193">
        <v>177469</v>
      </c>
      <c r="G65" s="193">
        <v>213578</v>
      </c>
      <c r="H65" s="193">
        <v>168332</v>
      </c>
      <c r="I65" s="195">
        <v>-9874</v>
      </c>
      <c r="J65" s="193">
        <v>342873</v>
      </c>
      <c r="K65" s="193">
        <v>334447</v>
      </c>
      <c r="L65" s="193">
        <v>388386</v>
      </c>
      <c r="M65" s="195">
        <v>403319</v>
      </c>
      <c r="N65" s="193">
        <v>446686</v>
      </c>
      <c r="O65" s="193">
        <v>424284</v>
      </c>
      <c r="P65" s="193">
        <v>351805</v>
      </c>
      <c r="Q65" s="195">
        <v>443576</v>
      </c>
      <c r="R65" s="193">
        <v>376020</v>
      </c>
      <c r="S65" s="193">
        <v>301055</v>
      </c>
      <c r="T65" s="193">
        <v>294317</v>
      </c>
      <c r="U65" s="195">
        <v>222560</v>
      </c>
      <c r="V65" s="193">
        <v>223749</v>
      </c>
      <c r="W65" s="193">
        <v>203367</v>
      </c>
      <c r="X65" s="193">
        <v>192346</v>
      </c>
      <c r="Y65" s="195">
        <v>139261</v>
      </c>
      <c r="Z65" s="193">
        <v>58159</v>
      </c>
      <c r="AA65" s="193">
        <v>53567</v>
      </c>
      <c r="AB65" s="193">
        <v>21129</v>
      </c>
      <c r="AC65" s="195">
        <v>34096</v>
      </c>
      <c r="AD65" s="193">
        <v>-28955</v>
      </c>
      <c r="AE65" s="193">
        <v>-27323</v>
      </c>
      <c r="AF65" s="193">
        <v>25717</v>
      </c>
      <c r="AG65" s="195">
        <v>41666</v>
      </c>
      <c r="AH65" s="193">
        <v>61150</v>
      </c>
      <c r="AI65" s="193">
        <v>76369</v>
      </c>
      <c r="AJ65" s="193">
        <v>68368</v>
      </c>
      <c r="AK65" s="195">
        <v>-18405</v>
      </c>
    </row>
    <row r="66" spans="2:37">
      <c r="B66" s="229" t="s">
        <v>236</v>
      </c>
      <c r="C66" s="187">
        <v>18003</v>
      </c>
      <c r="D66" s="187">
        <v>21743</v>
      </c>
      <c r="E66" s="230">
        <v>23472</v>
      </c>
      <c r="F66" s="187">
        <v>21217</v>
      </c>
      <c r="G66" s="187">
        <v>22239</v>
      </c>
      <c r="H66" s="187">
        <v>26979</v>
      </c>
      <c r="I66" s="230">
        <v>25519</v>
      </c>
      <c r="J66" s="187">
        <v>27610</v>
      </c>
      <c r="K66" s="187">
        <v>28568</v>
      </c>
      <c r="L66" s="187">
        <v>38440</v>
      </c>
      <c r="M66" s="230">
        <v>37929</v>
      </c>
      <c r="N66" s="187">
        <v>38504</v>
      </c>
      <c r="O66" s="187">
        <v>39188</v>
      </c>
      <c r="P66" s="187">
        <v>34231</v>
      </c>
      <c r="Q66" s="230">
        <v>32694</v>
      </c>
      <c r="R66" s="187">
        <v>31515</v>
      </c>
      <c r="S66" s="187">
        <v>20433</v>
      </c>
      <c r="T66" s="187">
        <v>18444</v>
      </c>
      <c r="U66" s="230">
        <v>14032</v>
      </c>
      <c r="V66" s="187">
        <v>10085</v>
      </c>
      <c r="W66" s="187">
        <v>8391</v>
      </c>
      <c r="X66" s="187">
        <v>8884</v>
      </c>
      <c r="Y66" s="230">
        <v>10170</v>
      </c>
      <c r="Z66" s="187">
        <v>61736</v>
      </c>
      <c r="AA66" s="187">
        <v>71250</v>
      </c>
      <c r="AB66" s="187">
        <v>96242</v>
      </c>
      <c r="AC66" s="230">
        <v>98422</v>
      </c>
      <c r="AD66" s="187">
        <v>78559</v>
      </c>
      <c r="AE66" s="187">
        <v>76535</v>
      </c>
      <c r="AF66" s="187">
        <v>85326</v>
      </c>
      <c r="AG66" s="230">
        <v>81906</v>
      </c>
      <c r="AH66" s="187">
        <v>87250</v>
      </c>
      <c r="AI66" s="187">
        <v>84002</v>
      </c>
      <c r="AJ66" s="187">
        <v>83276</v>
      </c>
      <c r="AK66" s="230">
        <v>204411</v>
      </c>
    </row>
    <row r="67" spans="2:37">
      <c r="AF67" s="231"/>
      <c r="AG67" s="231"/>
      <c r="AH67" s="231"/>
      <c r="AI67" s="231"/>
      <c r="AJ67" s="231"/>
      <c r="AK67" s="231"/>
    </row>
  </sheetData>
  <mergeCells count="73">
    <mergeCell ref="C10:C11"/>
    <mergeCell ref="C35:C36"/>
    <mergeCell ref="W35:W36"/>
    <mergeCell ref="V10:V11"/>
    <mergeCell ref="V35:V36"/>
    <mergeCell ref="M10:M11"/>
    <mergeCell ref="E10:E11"/>
    <mergeCell ref="E35:E36"/>
    <mergeCell ref="K10:K11"/>
    <mergeCell ref="K35:K36"/>
    <mergeCell ref="L10:L11"/>
    <mergeCell ref="L35:L36"/>
    <mergeCell ref="O35:O36"/>
    <mergeCell ref="M35:M36"/>
    <mergeCell ref="N10:N11"/>
    <mergeCell ref="N35:N36"/>
    <mergeCell ref="J10:J11"/>
    <mergeCell ref="J35:J36"/>
    <mergeCell ref="AG35:AG36"/>
    <mergeCell ref="AF10:AF11"/>
    <mergeCell ref="Y10:Y11"/>
    <mergeCell ref="Y35:Y36"/>
    <mergeCell ref="AA35:AA36"/>
    <mergeCell ref="AA10:AA11"/>
    <mergeCell ref="AB10:AB11"/>
    <mergeCell ref="AB35:AB36"/>
    <mergeCell ref="Z10:Z11"/>
    <mergeCell ref="Z35:Z36"/>
    <mergeCell ref="AF35:AF36"/>
    <mergeCell ref="AE10:AE11"/>
    <mergeCell ref="AG10:AG11"/>
    <mergeCell ref="X10:X11"/>
    <mergeCell ref="X35:X36"/>
    <mergeCell ref="W10:W11"/>
    <mergeCell ref="AK35:AK36"/>
    <mergeCell ref="AD10:AD11"/>
    <mergeCell ref="AD35:AD36"/>
    <mergeCell ref="AC10:AC11"/>
    <mergeCell ref="AC35:AC36"/>
    <mergeCell ref="AE35:AE36"/>
    <mergeCell ref="AK10:AK11"/>
    <mergeCell ref="AJ10:AJ11"/>
    <mergeCell ref="AJ35:AJ36"/>
    <mergeCell ref="AI10:AI11"/>
    <mergeCell ref="AI35:AI36"/>
    <mergeCell ref="AH10:AH11"/>
    <mergeCell ref="AH35:AH36"/>
    <mergeCell ref="B7:B8"/>
    <mergeCell ref="B10:B11"/>
    <mergeCell ref="U10:U11"/>
    <mergeCell ref="U35:U36"/>
    <mergeCell ref="T10:T11"/>
    <mergeCell ref="T35:T36"/>
    <mergeCell ref="R10:R11"/>
    <mergeCell ref="R35:R36"/>
    <mergeCell ref="S10:S11"/>
    <mergeCell ref="S35:S36"/>
    <mergeCell ref="B35:B36"/>
    <mergeCell ref="Q10:Q11"/>
    <mergeCell ref="Q35:Q36"/>
    <mergeCell ref="P10:P11"/>
    <mergeCell ref="P35:P36"/>
    <mergeCell ref="O10:O11"/>
    <mergeCell ref="D10:D11"/>
    <mergeCell ref="D35:D36"/>
    <mergeCell ref="H10:H11"/>
    <mergeCell ref="H35:H36"/>
    <mergeCell ref="I10:I11"/>
    <mergeCell ref="I35:I36"/>
    <mergeCell ref="F10:F11"/>
    <mergeCell ref="F35:F36"/>
    <mergeCell ref="G10:G11"/>
    <mergeCell ref="G35:G36"/>
  </mergeCells>
  <pageMargins left="0.511811024" right="0.511811024" top="0.78740157499999996" bottom="0.78740157499999996" header="0.31496062000000002" footer="0.31496062000000002"/>
  <ignoredErrors>
    <ignoredError sqref="AD22:AE22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R94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74.140625" style="181" bestFit="1" customWidth="1"/>
    <col min="3" max="4" width="11.5703125" style="181" bestFit="1" customWidth="1"/>
    <col min="5" max="5" width="12.28515625" style="181" bestFit="1" customWidth="1"/>
    <col min="6" max="8" width="11.5703125" style="181" bestFit="1" customWidth="1"/>
    <col min="9" max="9" width="12.28515625" style="181" bestFit="1" customWidth="1"/>
    <col min="10" max="12" width="11.5703125" style="181" bestFit="1" customWidth="1"/>
    <col min="13" max="14" width="12.28515625" style="181" bestFit="1" customWidth="1"/>
    <col min="15" max="15" width="11.5703125" style="181" bestFit="1" customWidth="1"/>
    <col min="16" max="16" width="10.7109375" style="181" customWidth="1"/>
    <col min="17" max="17" width="12.28515625" style="181" bestFit="1" customWidth="1"/>
    <col min="18" max="19" width="11.5703125" style="181" bestFit="1" customWidth="1"/>
    <col min="20" max="20" width="10.7109375" style="181" customWidth="1"/>
    <col min="21" max="21" width="11.5703125" style="181" bestFit="1" customWidth="1"/>
    <col min="22" max="29" width="10.7109375" style="181" customWidth="1"/>
    <col min="30" max="30" width="11.28515625" style="181" customWidth="1"/>
    <col min="31" max="32" width="10.5703125" style="183" bestFit="1" customWidth="1"/>
    <col min="33" max="33" width="10.7109375" style="181" customWidth="1"/>
    <col min="34" max="34" width="11.7109375" style="183" bestFit="1" customWidth="1"/>
    <col min="35" max="36" width="10.5703125" style="183" bestFit="1" customWidth="1"/>
    <col min="37" max="37" width="10.7109375" style="181" customWidth="1"/>
    <col min="38" max="38" width="9.7109375" style="184" bestFit="1" customWidth="1"/>
    <col min="39" max="16384" width="9.140625" style="184"/>
  </cols>
  <sheetData>
    <row r="1" spans="1:44" ht="9" customHeight="1"/>
    <row r="2" spans="1:44" ht="15.75" customHeight="1"/>
    <row r="3" spans="1:44" ht="15.75" customHeight="1"/>
    <row r="4" spans="1:44" ht="15.75" customHeight="1"/>
    <row r="5" spans="1:44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G5" s="188"/>
      <c r="AK5" s="188"/>
    </row>
    <row r="6" spans="1:44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G6" s="188"/>
      <c r="AK6" s="188"/>
    </row>
    <row r="7" spans="1:44" ht="15" customHeight="1">
      <c r="B7" s="450" t="s">
        <v>372</v>
      </c>
      <c r="C7" s="443"/>
      <c r="D7" s="440"/>
      <c r="E7" s="43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233"/>
      <c r="AF7" s="233"/>
      <c r="AG7" s="189"/>
      <c r="AH7" s="233"/>
      <c r="AI7" s="233"/>
      <c r="AJ7" s="233"/>
      <c r="AK7" s="189"/>
    </row>
    <row r="8" spans="1:44" ht="15" customHeight="1">
      <c r="B8" s="450"/>
      <c r="C8" s="443"/>
      <c r="D8" s="440"/>
      <c r="E8" s="43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233"/>
      <c r="AF8" s="233"/>
      <c r="AG8" s="189"/>
      <c r="AH8" s="233"/>
      <c r="AI8" s="233"/>
      <c r="AJ8" s="233"/>
      <c r="AK8" s="189"/>
    </row>
    <row r="9" spans="1:44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G9" s="188"/>
      <c r="AK9" s="188"/>
    </row>
    <row r="10" spans="1:44" ht="14.25" customHeight="1">
      <c r="B10" s="458" t="s">
        <v>163</v>
      </c>
      <c r="C10" s="459" t="s">
        <v>450</v>
      </c>
      <c r="D10" s="461" t="s">
        <v>444</v>
      </c>
      <c r="E10" s="460" t="s">
        <v>437</v>
      </c>
      <c r="F10" s="459" t="s">
        <v>406</v>
      </c>
      <c r="G10" s="462" t="s">
        <v>430</v>
      </c>
      <c r="H10" s="461" t="s">
        <v>419</v>
      </c>
      <c r="I10" s="460" t="s">
        <v>409</v>
      </c>
      <c r="J10" s="459" t="s">
        <v>406</v>
      </c>
      <c r="K10" s="459" t="s">
        <v>403</v>
      </c>
      <c r="L10" s="461" t="s">
        <v>394</v>
      </c>
      <c r="M10" s="460" t="s">
        <v>390</v>
      </c>
      <c r="N10" s="459" t="s">
        <v>387</v>
      </c>
      <c r="O10" s="459" t="s">
        <v>367</v>
      </c>
      <c r="P10" s="461" t="s">
        <v>363</v>
      </c>
      <c r="Q10" s="460" t="s">
        <v>358</v>
      </c>
      <c r="R10" s="459" t="s">
        <v>353</v>
      </c>
      <c r="S10" s="459" t="s">
        <v>349</v>
      </c>
      <c r="T10" s="461" t="s">
        <v>344</v>
      </c>
      <c r="U10" s="460" t="s">
        <v>342</v>
      </c>
      <c r="V10" s="459" t="s">
        <v>336</v>
      </c>
      <c r="W10" s="459" t="s">
        <v>332</v>
      </c>
      <c r="X10" s="449" t="s">
        <v>329</v>
      </c>
      <c r="Y10" s="460" t="s">
        <v>327</v>
      </c>
      <c r="Z10" s="459" t="s">
        <v>326</v>
      </c>
      <c r="AA10" s="459" t="s">
        <v>316</v>
      </c>
      <c r="AB10" s="459" t="s">
        <v>311</v>
      </c>
      <c r="AC10" s="460" t="s">
        <v>308</v>
      </c>
      <c r="AD10" s="459" t="s">
        <v>162</v>
      </c>
      <c r="AE10" s="459" t="s">
        <v>165</v>
      </c>
      <c r="AF10" s="459" t="s">
        <v>167</v>
      </c>
      <c r="AG10" s="460" t="s">
        <v>161</v>
      </c>
      <c r="AH10" s="459" t="s">
        <v>156</v>
      </c>
      <c r="AI10" s="459" t="s">
        <v>170</v>
      </c>
      <c r="AJ10" s="459" t="s">
        <v>172</v>
      </c>
      <c r="AK10" s="460" t="s">
        <v>148</v>
      </c>
      <c r="AL10" s="234"/>
      <c r="AM10" s="234"/>
      <c r="AN10" s="234"/>
      <c r="AO10" s="234"/>
      <c r="AP10" s="234"/>
      <c r="AQ10" s="234"/>
      <c r="AR10" s="234"/>
    </row>
    <row r="11" spans="1:44" ht="14.25" customHeight="1">
      <c r="B11" s="455"/>
      <c r="C11" s="459"/>
      <c r="D11" s="461"/>
      <c r="E11" s="460"/>
      <c r="F11" s="459"/>
      <c r="G11" s="462"/>
      <c r="H11" s="461"/>
      <c r="I11" s="460"/>
      <c r="J11" s="459"/>
      <c r="K11" s="459"/>
      <c r="L11" s="461"/>
      <c r="M11" s="460"/>
      <c r="N11" s="459"/>
      <c r="O11" s="459"/>
      <c r="P11" s="461"/>
      <c r="Q11" s="460"/>
      <c r="R11" s="459"/>
      <c r="S11" s="459"/>
      <c r="T11" s="461"/>
      <c r="U11" s="460"/>
      <c r="V11" s="459"/>
      <c r="W11" s="459"/>
      <c r="X11" s="449"/>
      <c r="Y11" s="460"/>
      <c r="Z11" s="459"/>
      <c r="AA11" s="459"/>
      <c r="AB11" s="459"/>
      <c r="AC11" s="460"/>
      <c r="AD11" s="459"/>
      <c r="AE11" s="459"/>
      <c r="AF11" s="459"/>
      <c r="AG11" s="460"/>
      <c r="AH11" s="459"/>
      <c r="AI11" s="459"/>
      <c r="AJ11" s="459"/>
      <c r="AK11" s="460"/>
      <c r="AL11" s="234"/>
      <c r="AM11" s="234"/>
      <c r="AN11" s="234"/>
      <c r="AO11" s="234"/>
      <c r="AP11" s="234"/>
      <c r="AQ11" s="234"/>
      <c r="AR11" s="234"/>
    </row>
    <row r="12" spans="1:44" ht="15.75" thickBot="1">
      <c r="A12" s="196"/>
      <c r="B12" s="197" t="s">
        <v>237</v>
      </c>
      <c r="C12" s="197"/>
      <c r="D12" s="235"/>
      <c r="E12" s="236"/>
      <c r="F12" s="197"/>
      <c r="G12" s="197"/>
      <c r="H12" s="235"/>
      <c r="I12" s="236"/>
      <c r="J12" s="197"/>
      <c r="K12" s="197"/>
      <c r="L12" s="235"/>
      <c r="M12" s="236"/>
      <c r="N12" s="197"/>
      <c r="O12" s="197"/>
      <c r="P12" s="235"/>
      <c r="Q12" s="236"/>
      <c r="R12" s="197"/>
      <c r="S12" s="197"/>
      <c r="T12" s="235"/>
      <c r="U12" s="236"/>
      <c r="V12" s="197"/>
      <c r="W12" s="197"/>
      <c r="X12" s="197"/>
      <c r="Y12" s="236"/>
      <c r="Z12" s="197"/>
      <c r="AA12" s="197"/>
      <c r="AB12" s="197"/>
      <c r="AC12" s="236"/>
      <c r="AD12" s="197"/>
      <c r="AE12" s="198"/>
      <c r="AF12" s="198"/>
      <c r="AG12" s="236"/>
      <c r="AH12" s="198"/>
      <c r="AI12" s="198"/>
      <c r="AJ12" s="198"/>
      <c r="AK12" s="236"/>
    </row>
    <row r="13" spans="1:44" ht="15" thickTop="1">
      <c r="B13" s="192" t="s">
        <v>198</v>
      </c>
      <c r="C13" s="193"/>
      <c r="D13" s="194"/>
      <c r="E13" s="195"/>
      <c r="F13" s="193"/>
      <c r="G13" s="193"/>
      <c r="H13" s="194"/>
      <c r="I13" s="195"/>
      <c r="J13" s="193"/>
      <c r="K13" s="193"/>
      <c r="L13" s="194"/>
      <c r="M13" s="195"/>
      <c r="N13" s="193"/>
      <c r="O13" s="193"/>
      <c r="P13" s="194"/>
      <c r="Q13" s="195">
        <v>0</v>
      </c>
      <c r="R13" s="193"/>
      <c r="S13" s="193"/>
      <c r="T13" s="194"/>
      <c r="U13" s="195">
        <v>0</v>
      </c>
      <c r="V13" s="193">
        <v>81082</v>
      </c>
      <c r="W13" s="193">
        <v>-75194</v>
      </c>
      <c r="X13" s="193">
        <v>-94367</v>
      </c>
      <c r="Y13" s="195">
        <v>172358</v>
      </c>
      <c r="Z13" s="193">
        <v>34287</v>
      </c>
      <c r="AA13" s="193">
        <v>56603</v>
      </c>
      <c r="AB13" s="193">
        <v>56189</v>
      </c>
      <c r="AC13" s="195">
        <v>547440</v>
      </c>
      <c r="AD13" s="193">
        <v>381587</v>
      </c>
      <c r="AE13" s="193">
        <v>235268</v>
      </c>
      <c r="AF13" s="193">
        <v>164518</v>
      </c>
      <c r="AG13" s="195">
        <v>306264</v>
      </c>
      <c r="AH13" s="193">
        <v>197946</v>
      </c>
      <c r="AI13" s="193">
        <v>59602</v>
      </c>
      <c r="AJ13" s="193">
        <v>32845</v>
      </c>
      <c r="AK13" s="195">
        <v>280836</v>
      </c>
    </row>
    <row r="14" spans="1:44">
      <c r="B14" s="237" t="s">
        <v>362</v>
      </c>
      <c r="C14" s="193">
        <v>537183</v>
      </c>
      <c r="D14" s="194">
        <v>223065</v>
      </c>
      <c r="E14" s="195">
        <v>784044</v>
      </c>
      <c r="F14" s="193">
        <v>384432</v>
      </c>
      <c r="G14" s="193">
        <v>228619</v>
      </c>
      <c r="H14" s="194">
        <v>123312</v>
      </c>
      <c r="I14" s="195">
        <v>1165461</v>
      </c>
      <c r="J14" s="193">
        <v>1065568</v>
      </c>
      <c r="K14" s="193">
        <v>816652.00000000023</v>
      </c>
      <c r="L14" s="194">
        <v>457779</v>
      </c>
      <c r="M14" s="195">
        <v>2051990</v>
      </c>
      <c r="N14" s="193">
        <v>1802350</v>
      </c>
      <c r="O14" s="193">
        <v>1531534</v>
      </c>
      <c r="P14" s="194">
        <v>702250</v>
      </c>
      <c r="Q14" s="195">
        <v>3035323</v>
      </c>
      <c r="R14" s="193">
        <v>1992257</v>
      </c>
      <c r="S14" s="193">
        <v>882103</v>
      </c>
      <c r="T14" s="194">
        <v>429806</v>
      </c>
      <c r="U14" s="195">
        <v>601157</v>
      </c>
      <c r="V14" s="193"/>
      <c r="W14" s="193"/>
      <c r="X14" s="193"/>
      <c r="Y14" s="195"/>
      <c r="Z14" s="193"/>
      <c r="AA14" s="193"/>
      <c r="AB14" s="193"/>
      <c r="AC14" s="195"/>
      <c r="AD14" s="193"/>
      <c r="AE14" s="193"/>
      <c r="AF14" s="193"/>
      <c r="AG14" s="195"/>
      <c r="AH14" s="193"/>
      <c r="AI14" s="193"/>
      <c r="AJ14" s="193"/>
      <c r="AK14" s="195"/>
    </row>
    <row r="15" spans="1:44" ht="15.75" thickBot="1">
      <c r="A15" s="196"/>
      <c r="B15" s="197" t="s">
        <v>238</v>
      </c>
      <c r="C15" s="198"/>
      <c r="D15" s="199"/>
      <c r="E15" s="200"/>
      <c r="F15" s="198"/>
      <c r="G15" s="198"/>
      <c r="H15" s="199"/>
      <c r="I15" s="200"/>
      <c r="J15" s="198"/>
      <c r="K15" s="198"/>
      <c r="L15" s="199"/>
      <c r="M15" s="200"/>
      <c r="N15" s="198"/>
      <c r="O15" s="198"/>
      <c r="P15" s="199"/>
      <c r="Q15" s="200"/>
      <c r="R15" s="198"/>
      <c r="S15" s="198"/>
      <c r="T15" s="199"/>
      <c r="U15" s="200"/>
      <c r="V15" s="198"/>
      <c r="W15" s="198"/>
      <c r="X15" s="198"/>
      <c r="Y15" s="200"/>
      <c r="Z15" s="198"/>
      <c r="AA15" s="198"/>
      <c r="AB15" s="198"/>
      <c r="AC15" s="200"/>
      <c r="AD15" s="198"/>
      <c r="AE15" s="198"/>
      <c r="AF15" s="198"/>
      <c r="AG15" s="200"/>
      <c r="AH15" s="198"/>
      <c r="AI15" s="198"/>
      <c r="AJ15" s="198"/>
      <c r="AK15" s="200"/>
    </row>
    <row r="16" spans="1:44" ht="15" thickTop="1">
      <c r="B16" s="201" t="s">
        <v>239</v>
      </c>
      <c r="C16" s="193">
        <v>156273</v>
      </c>
      <c r="D16" s="194">
        <v>79359</v>
      </c>
      <c r="E16" s="195">
        <v>321624</v>
      </c>
      <c r="F16" s="193">
        <v>228374</v>
      </c>
      <c r="G16" s="193">
        <v>149986</v>
      </c>
      <c r="H16" s="194">
        <v>70601</v>
      </c>
      <c r="I16" s="195">
        <v>246733</v>
      </c>
      <c r="J16" s="193">
        <v>183537</v>
      </c>
      <c r="K16" s="193">
        <v>115849</v>
      </c>
      <c r="L16" s="194">
        <v>56771</v>
      </c>
      <c r="M16" s="195">
        <v>247294</v>
      </c>
      <c r="N16" s="193">
        <v>183877</v>
      </c>
      <c r="O16" s="193">
        <v>117063</v>
      </c>
      <c r="P16" s="194">
        <v>55572</v>
      </c>
      <c r="Q16" s="195">
        <v>219353</v>
      </c>
      <c r="R16" s="193">
        <v>156089</v>
      </c>
      <c r="S16" s="193">
        <v>99435</v>
      </c>
      <c r="T16" s="194">
        <v>49813</v>
      </c>
      <c r="U16" s="195">
        <v>197951</v>
      </c>
      <c r="V16" s="193">
        <v>149042</v>
      </c>
      <c r="W16" s="193">
        <v>97105</v>
      </c>
      <c r="X16" s="193">
        <v>47215</v>
      </c>
      <c r="Y16" s="195">
        <v>183082</v>
      </c>
      <c r="Z16" s="193">
        <v>124600</v>
      </c>
      <c r="AA16" s="193">
        <v>84191</v>
      </c>
      <c r="AB16" s="193">
        <v>43191</v>
      </c>
      <c r="AC16" s="195">
        <v>176374</v>
      </c>
      <c r="AD16" s="193">
        <v>135514</v>
      </c>
      <c r="AE16" s="193">
        <v>73409</v>
      </c>
      <c r="AF16" s="193">
        <v>36821</v>
      </c>
      <c r="AG16" s="195">
        <v>145102</v>
      </c>
      <c r="AH16" s="193">
        <v>108572</v>
      </c>
      <c r="AI16" s="193">
        <v>72601</v>
      </c>
      <c r="AJ16" s="193">
        <v>36308</v>
      </c>
      <c r="AK16" s="195">
        <v>109611</v>
      </c>
    </row>
    <row r="17" spans="2:38">
      <c r="B17" s="201" t="s">
        <v>340</v>
      </c>
      <c r="C17" s="193">
        <v>967</v>
      </c>
      <c r="D17" s="194">
        <v>110</v>
      </c>
      <c r="E17" s="195">
        <v>-98817</v>
      </c>
      <c r="F17" s="193">
        <v>-66102</v>
      </c>
      <c r="G17" s="193">
        <v>-25320</v>
      </c>
      <c r="H17" s="194">
        <v>34959</v>
      </c>
      <c r="I17" s="195">
        <v>146147</v>
      </c>
      <c r="J17" s="193">
        <v>173255</v>
      </c>
      <c r="K17" s="193">
        <v>111954</v>
      </c>
      <c r="L17" s="194">
        <v>63923</v>
      </c>
      <c r="M17" s="195">
        <v>-2905</v>
      </c>
      <c r="N17" s="193">
        <v>1951</v>
      </c>
      <c r="O17" s="193">
        <v>3917</v>
      </c>
      <c r="P17" s="194">
        <v>-2018</v>
      </c>
      <c r="Q17" s="195">
        <v>61821</v>
      </c>
      <c r="R17" s="193">
        <v>49468</v>
      </c>
      <c r="S17" s="193">
        <v>30527</v>
      </c>
      <c r="T17" s="194">
        <v>20883</v>
      </c>
      <c r="U17" s="195">
        <v>-6830</v>
      </c>
      <c r="V17" s="193">
        <v>4087</v>
      </c>
      <c r="W17" s="193">
        <v>-8842</v>
      </c>
      <c r="X17" s="193">
        <v>-3804</v>
      </c>
      <c r="Y17" s="195">
        <v>-62631</v>
      </c>
      <c r="Z17" s="193">
        <v>-82588</v>
      </c>
      <c r="AA17" s="193">
        <v>-85625</v>
      </c>
      <c r="AB17" s="193">
        <v>-12207</v>
      </c>
      <c r="AC17" s="195">
        <v>-35551</v>
      </c>
      <c r="AD17" s="193">
        <v>0</v>
      </c>
      <c r="AE17" s="193">
        <v>0</v>
      </c>
      <c r="AF17" s="193">
        <v>0</v>
      </c>
      <c r="AG17" s="195">
        <v>0</v>
      </c>
      <c r="AH17" s="193">
        <v>0</v>
      </c>
      <c r="AI17" s="193">
        <v>0</v>
      </c>
      <c r="AJ17" s="193">
        <v>0</v>
      </c>
      <c r="AK17" s="195">
        <v>0</v>
      </c>
    </row>
    <row r="18" spans="2:38">
      <c r="B18" s="201" t="s">
        <v>240</v>
      </c>
      <c r="C18" s="193">
        <v>573</v>
      </c>
      <c r="D18" s="194">
        <v>0</v>
      </c>
      <c r="E18" s="195">
        <v>5366</v>
      </c>
      <c r="F18" s="193">
        <v>4817</v>
      </c>
      <c r="G18" s="193">
        <v>406</v>
      </c>
      <c r="H18" s="194">
        <v>34</v>
      </c>
      <c r="I18" s="195">
        <v>3182</v>
      </c>
      <c r="J18" s="193">
        <v>112</v>
      </c>
      <c r="K18" s="193">
        <v>15</v>
      </c>
      <c r="L18" s="194">
        <v>3</v>
      </c>
      <c r="M18" s="195">
        <v>2269</v>
      </c>
      <c r="N18" s="193">
        <v>530</v>
      </c>
      <c r="O18" s="193">
        <v>502</v>
      </c>
      <c r="P18" s="194">
        <v>158</v>
      </c>
      <c r="Q18" s="195">
        <v>1623</v>
      </c>
      <c r="R18" s="193">
        <v>106</v>
      </c>
      <c r="S18" s="193">
        <v>72</v>
      </c>
      <c r="T18" s="194">
        <v>12</v>
      </c>
      <c r="U18" s="195">
        <v>968</v>
      </c>
      <c r="V18" s="193">
        <v>194</v>
      </c>
      <c r="W18" s="193">
        <v>66</v>
      </c>
      <c r="X18" s="193">
        <v>67</v>
      </c>
      <c r="Y18" s="195">
        <v>118</v>
      </c>
      <c r="Z18" s="193">
        <v>78</v>
      </c>
      <c r="AA18" s="193">
        <v>58</v>
      </c>
      <c r="AB18" s="193">
        <v>24</v>
      </c>
      <c r="AC18" s="195">
        <v>699</v>
      </c>
      <c r="AD18" s="193">
        <v>-8</v>
      </c>
      <c r="AE18" s="193">
        <v>14</v>
      </c>
      <c r="AF18" s="193">
        <v>7</v>
      </c>
      <c r="AG18" s="195">
        <v>435</v>
      </c>
      <c r="AH18" s="193">
        <v>367</v>
      </c>
      <c r="AI18" s="193">
        <v>228</v>
      </c>
      <c r="AJ18" s="193">
        <v>119</v>
      </c>
      <c r="AK18" s="195">
        <v>83</v>
      </c>
    </row>
    <row r="19" spans="2:38">
      <c r="B19" s="201" t="s">
        <v>241</v>
      </c>
      <c r="C19" s="193">
        <v>14732.192532691693</v>
      </c>
      <c r="D19" s="194">
        <v>11325</v>
      </c>
      <c r="E19" s="195">
        <v>-6425</v>
      </c>
      <c r="F19" s="193">
        <v>2519</v>
      </c>
      <c r="G19" s="193">
        <v>-102</v>
      </c>
      <c r="H19" s="194">
        <v>1406</v>
      </c>
      <c r="I19" s="195">
        <v>8781</v>
      </c>
      <c r="J19" s="193">
        <v>7056</v>
      </c>
      <c r="K19" s="193">
        <v>-1643</v>
      </c>
      <c r="L19" s="194">
        <v>-1257</v>
      </c>
      <c r="M19" s="195">
        <v>-23952</v>
      </c>
      <c r="N19" s="193">
        <v>12600</v>
      </c>
      <c r="O19" s="193">
        <v>10617</v>
      </c>
      <c r="P19" s="194">
        <v>7057</v>
      </c>
      <c r="Q19" s="195">
        <v>48837</v>
      </c>
      <c r="R19" s="193">
        <v>41324</v>
      </c>
      <c r="S19" s="193">
        <v>14612</v>
      </c>
      <c r="T19" s="194">
        <v>7678</v>
      </c>
      <c r="U19" s="195">
        <v>-674</v>
      </c>
      <c r="V19" s="193">
        <v>5471</v>
      </c>
      <c r="W19" s="193">
        <v>2188</v>
      </c>
      <c r="X19" s="193">
        <v>683</v>
      </c>
      <c r="Y19" s="195">
        <v>2066</v>
      </c>
      <c r="Z19" s="193">
        <v>2011</v>
      </c>
      <c r="AA19" s="193">
        <v>7219</v>
      </c>
      <c r="AB19" s="193">
        <v>7557</v>
      </c>
      <c r="AC19" s="195">
        <v>-6495</v>
      </c>
      <c r="AD19" s="193">
        <v>-20338</v>
      </c>
      <c r="AE19" s="193">
        <v>112</v>
      </c>
      <c r="AF19" s="193">
        <v>4213</v>
      </c>
      <c r="AG19" s="195">
        <v>10112</v>
      </c>
      <c r="AH19" s="193">
        <v>-715</v>
      </c>
      <c r="AI19" s="193">
        <v>4790</v>
      </c>
      <c r="AJ19" s="193">
        <v>450</v>
      </c>
      <c r="AK19" s="195">
        <v>43716</v>
      </c>
    </row>
    <row r="20" spans="2:38">
      <c r="B20" s="201" t="s">
        <v>283</v>
      </c>
      <c r="C20" s="193">
        <v>194983</v>
      </c>
      <c r="D20" s="194">
        <v>87021</v>
      </c>
      <c r="E20" s="195">
        <v>301578</v>
      </c>
      <c r="F20" s="193">
        <v>206980.99837811285</v>
      </c>
      <c r="G20" s="193">
        <v>151747.56696317971</v>
      </c>
      <c r="H20" s="194">
        <v>61230</v>
      </c>
      <c r="I20" s="195">
        <v>-84716</v>
      </c>
      <c r="J20" s="193">
        <v>-49934</v>
      </c>
      <c r="K20" s="193">
        <v>-44810</v>
      </c>
      <c r="L20" s="194">
        <v>-19761</v>
      </c>
      <c r="M20" s="195">
        <v>296511</v>
      </c>
      <c r="N20" s="193">
        <v>213195</v>
      </c>
      <c r="O20" s="193">
        <v>181380</v>
      </c>
      <c r="P20" s="194">
        <v>125443</v>
      </c>
      <c r="Q20" s="195">
        <v>151141</v>
      </c>
      <c r="R20" s="193">
        <v>143028</v>
      </c>
      <c r="S20" s="193">
        <v>61976</v>
      </c>
      <c r="T20" s="194">
        <v>90205</v>
      </c>
      <c r="U20" s="195">
        <v>246897</v>
      </c>
      <c r="V20" s="193">
        <v>251622</v>
      </c>
      <c r="W20" s="193">
        <v>149040</v>
      </c>
      <c r="X20" s="193">
        <v>139554</v>
      </c>
      <c r="Y20" s="195">
        <v>190975</v>
      </c>
      <c r="Z20" s="193">
        <v>210460</v>
      </c>
      <c r="AA20" s="193">
        <v>136257</v>
      </c>
      <c r="AB20" s="193">
        <v>31886</v>
      </c>
      <c r="AC20" s="195">
        <v>222325</v>
      </c>
      <c r="AD20" s="193">
        <v>212904</v>
      </c>
      <c r="AE20" s="193">
        <v>155323</v>
      </c>
      <c r="AF20" s="193">
        <v>33508</v>
      </c>
      <c r="AG20" s="195">
        <v>108757</v>
      </c>
      <c r="AH20" s="193">
        <v>60496</v>
      </c>
      <c r="AI20" s="193">
        <v>52140</v>
      </c>
      <c r="AJ20" s="193">
        <v>18553</v>
      </c>
      <c r="AK20" s="195">
        <v>74572</v>
      </c>
    </row>
    <row r="21" spans="2:38">
      <c r="B21" s="201" t="s">
        <v>252</v>
      </c>
      <c r="C21" s="193">
        <v>0</v>
      </c>
      <c r="D21" s="194">
        <v>0</v>
      </c>
      <c r="E21" s="195">
        <v>0</v>
      </c>
      <c r="F21" s="193">
        <v>0</v>
      </c>
      <c r="G21" s="193">
        <v>0</v>
      </c>
      <c r="H21" s="194">
        <v>0</v>
      </c>
      <c r="I21" s="195">
        <v>0</v>
      </c>
      <c r="J21" s="193">
        <v>0</v>
      </c>
      <c r="K21" s="193">
        <v>0</v>
      </c>
      <c r="L21" s="194">
        <v>0</v>
      </c>
      <c r="M21" s="195">
        <v>0</v>
      </c>
      <c r="N21" s="193">
        <v>0</v>
      </c>
      <c r="O21" s="193"/>
      <c r="P21" s="194"/>
      <c r="Q21" s="195">
        <v>0</v>
      </c>
      <c r="R21" s="193">
        <v>0</v>
      </c>
      <c r="S21" s="193">
        <v>0</v>
      </c>
      <c r="T21" s="194">
        <v>0</v>
      </c>
      <c r="U21" s="195">
        <v>0</v>
      </c>
      <c r="V21" s="193">
        <v>0</v>
      </c>
      <c r="W21" s="193">
        <v>0</v>
      </c>
      <c r="X21" s="193">
        <v>0</v>
      </c>
      <c r="Y21" s="195">
        <v>0</v>
      </c>
      <c r="Z21" s="193">
        <v>0</v>
      </c>
      <c r="AA21" s="193">
        <v>0</v>
      </c>
      <c r="AB21" s="193">
        <v>0</v>
      </c>
      <c r="AC21" s="195">
        <v>0</v>
      </c>
      <c r="AD21" s="193">
        <v>0</v>
      </c>
      <c r="AE21" s="193">
        <v>0</v>
      </c>
      <c r="AF21" s="193">
        <v>0</v>
      </c>
      <c r="AG21" s="195">
        <v>-8227</v>
      </c>
      <c r="AH21" s="193">
        <v>-6358</v>
      </c>
      <c r="AI21" s="193">
        <v>-3148</v>
      </c>
      <c r="AJ21" s="193">
        <v>-304</v>
      </c>
      <c r="AK21" s="195">
        <v>-4999</v>
      </c>
    </row>
    <row r="22" spans="2:38">
      <c r="B22" s="201" t="s">
        <v>242</v>
      </c>
      <c r="C22" s="193">
        <v>772</v>
      </c>
      <c r="D22" s="194">
        <v>526</v>
      </c>
      <c r="E22" s="195">
        <v>-1036</v>
      </c>
      <c r="F22" s="193">
        <v>-2538</v>
      </c>
      <c r="G22" s="193">
        <v>-2827</v>
      </c>
      <c r="H22" s="194">
        <v>-267</v>
      </c>
      <c r="I22" s="195">
        <v>-1372</v>
      </c>
      <c r="J22" s="193">
        <v>1040</v>
      </c>
      <c r="K22" s="193">
        <v>2256</v>
      </c>
      <c r="L22" s="194">
        <v>1218</v>
      </c>
      <c r="M22" s="195">
        <v>4086</v>
      </c>
      <c r="N22" s="179">
        <v>3170</v>
      </c>
      <c r="O22" s="193">
        <v>2181</v>
      </c>
      <c r="P22" s="194">
        <v>1482</v>
      </c>
      <c r="Q22" s="195">
        <v>1259</v>
      </c>
      <c r="R22" s="193">
        <v>924</v>
      </c>
      <c r="S22" s="193">
        <v>652</v>
      </c>
      <c r="T22" s="194">
        <v>677</v>
      </c>
      <c r="U22" s="195">
        <v>-1554</v>
      </c>
      <c r="V22" s="193">
        <v>-3055</v>
      </c>
      <c r="W22" s="193">
        <v>-4127</v>
      </c>
      <c r="X22" s="193">
        <v>-1538</v>
      </c>
      <c r="Y22" s="195">
        <v>897</v>
      </c>
      <c r="Z22" s="193">
        <v>857</v>
      </c>
      <c r="AA22" s="193">
        <v>-1009</v>
      </c>
      <c r="AB22" s="193">
        <v>-1065</v>
      </c>
      <c r="AC22" s="195">
        <v>46317</v>
      </c>
      <c r="AD22" s="193">
        <v>44226</v>
      </c>
      <c r="AE22" s="193">
        <v>3842</v>
      </c>
      <c r="AF22" s="193">
        <v>3581</v>
      </c>
      <c r="AG22" s="195">
        <v>-917</v>
      </c>
      <c r="AH22" s="193">
        <v>-1003</v>
      </c>
      <c r="AI22" s="193">
        <v>-731</v>
      </c>
      <c r="AJ22" s="193">
        <v>-252</v>
      </c>
      <c r="AK22" s="195">
        <v>55</v>
      </c>
    </row>
    <row r="23" spans="2:38">
      <c r="B23" s="201" t="s">
        <v>254</v>
      </c>
      <c r="C23" s="193">
        <v>3746</v>
      </c>
      <c r="D23" s="194">
        <v>-1438</v>
      </c>
      <c r="E23" s="195">
        <v>-746</v>
      </c>
      <c r="F23" s="193">
        <v>-4630</v>
      </c>
      <c r="G23" s="193">
        <v>-5362</v>
      </c>
      <c r="H23" s="194">
        <v>-6112</v>
      </c>
      <c r="I23" s="195">
        <v>-15227</v>
      </c>
      <c r="J23" s="193">
        <v>-23296</v>
      </c>
      <c r="K23" s="193">
        <v>-15668</v>
      </c>
      <c r="L23" s="194">
        <v>-23403</v>
      </c>
      <c r="M23" s="195">
        <v>28587</v>
      </c>
      <c r="N23" s="193">
        <v>-177</v>
      </c>
      <c r="O23" s="193">
        <v>-181</v>
      </c>
      <c r="P23" s="194">
        <v>-86</v>
      </c>
      <c r="Q23" s="195">
        <v>-368</v>
      </c>
      <c r="R23" s="193">
        <v>-23</v>
      </c>
      <c r="S23" s="193">
        <v>11</v>
      </c>
      <c r="T23" s="194">
        <v>-1</v>
      </c>
      <c r="U23" s="195">
        <v>0</v>
      </c>
      <c r="V23" s="193">
        <v>-3568</v>
      </c>
      <c r="W23" s="193">
        <v>-1513</v>
      </c>
      <c r="X23" s="193">
        <v>-3088</v>
      </c>
      <c r="Y23" s="195">
        <v>3471</v>
      </c>
      <c r="Z23" s="238">
        <v>6</v>
      </c>
      <c r="AA23" s="238">
        <v>1661</v>
      </c>
      <c r="AB23" s="238">
        <v>0</v>
      </c>
      <c r="AC23" s="195">
        <v>-5813</v>
      </c>
      <c r="AD23" s="238">
        <v>-4120</v>
      </c>
      <c r="AE23" s="238">
        <v>-4039</v>
      </c>
      <c r="AF23" s="193">
        <v>-5467</v>
      </c>
      <c r="AG23" s="195">
        <v>5100</v>
      </c>
      <c r="AH23" s="193">
        <v>-795</v>
      </c>
      <c r="AI23" s="193">
        <v>-589</v>
      </c>
      <c r="AJ23" s="193">
        <v>-795</v>
      </c>
      <c r="AK23" s="195">
        <v>0</v>
      </c>
    </row>
    <row r="24" spans="2:38">
      <c r="B24" s="201" t="s">
        <v>191</v>
      </c>
      <c r="C24" s="193">
        <v>6300</v>
      </c>
      <c r="D24" s="194">
        <v>2331</v>
      </c>
      <c r="E24" s="195">
        <v>29553</v>
      </c>
      <c r="F24" s="193">
        <v>15810</v>
      </c>
      <c r="G24" s="193">
        <v>12998</v>
      </c>
      <c r="H24" s="194">
        <v>6993</v>
      </c>
      <c r="I24" s="195">
        <v>-13500</v>
      </c>
      <c r="J24" s="193">
        <v>-8245</v>
      </c>
      <c r="K24" s="193">
        <v>-5984</v>
      </c>
      <c r="L24" s="194">
        <v>-259</v>
      </c>
      <c r="M24" s="195">
        <v>-16772</v>
      </c>
      <c r="N24" s="193">
        <v>-15656</v>
      </c>
      <c r="O24" s="193">
        <v>-1804</v>
      </c>
      <c r="P24" s="194">
        <v>2245</v>
      </c>
      <c r="Q24" s="195">
        <v>2534</v>
      </c>
      <c r="R24" s="193">
        <v>2444</v>
      </c>
      <c r="S24" s="193">
        <v>1222</v>
      </c>
      <c r="T24" s="194">
        <v>606</v>
      </c>
      <c r="U24" s="195">
        <v>2342</v>
      </c>
      <c r="V24" s="193">
        <v>1256</v>
      </c>
      <c r="W24" s="193">
        <v>870</v>
      </c>
      <c r="X24" s="193">
        <v>580</v>
      </c>
      <c r="Y24" s="195">
        <v>6507</v>
      </c>
      <c r="Z24" s="193">
        <v>-545</v>
      </c>
      <c r="AA24" s="193">
        <v>-453</v>
      </c>
      <c r="AB24" s="193">
        <v>-277</v>
      </c>
      <c r="AC24" s="195">
        <v>-941</v>
      </c>
      <c r="AD24" s="193">
        <v>-505</v>
      </c>
      <c r="AE24" s="193">
        <v>-289</v>
      </c>
      <c r="AF24" s="193">
        <v>-483</v>
      </c>
      <c r="AG24" s="195">
        <v>-1668</v>
      </c>
      <c r="AH24" s="193">
        <v>23732</v>
      </c>
      <c r="AI24" s="193">
        <v>44517</v>
      </c>
      <c r="AJ24" s="193">
        <v>9933</v>
      </c>
      <c r="AK24" s="195">
        <v>75431</v>
      </c>
    </row>
    <row r="25" spans="2:38">
      <c r="B25" s="201" t="s">
        <v>243</v>
      </c>
      <c r="C25" s="193">
        <v>0</v>
      </c>
      <c r="D25" s="194">
        <v>0</v>
      </c>
      <c r="E25" s="195">
        <v>0</v>
      </c>
      <c r="F25" s="193">
        <v>0</v>
      </c>
      <c r="G25" s="193">
        <v>0</v>
      </c>
      <c r="H25" s="194">
        <v>0</v>
      </c>
      <c r="I25" s="195">
        <v>0</v>
      </c>
      <c r="J25" s="193">
        <v>0</v>
      </c>
      <c r="K25" s="193">
        <v>0</v>
      </c>
      <c r="L25" s="194">
        <v>0</v>
      </c>
      <c r="M25" s="195">
        <v>0</v>
      </c>
      <c r="N25" s="193">
        <v>0</v>
      </c>
      <c r="O25" s="193">
        <v>0</v>
      </c>
      <c r="P25" s="194">
        <v>0</v>
      </c>
      <c r="Q25" s="195">
        <v>0</v>
      </c>
      <c r="R25" s="193">
        <v>0</v>
      </c>
      <c r="S25" s="193">
        <v>0</v>
      </c>
      <c r="T25" s="194">
        <v>0</v>
      </c>
      <c r="U25" s="195">
        <v>0</v>
      </c>
      <c r="V25" s="193">
        <v>20496</v>
      </c>
      <c r="W25" s="193">
        <v>18908</v>
      </c>
      <c r="X25" s="193">
        <v>5028</v>
      </c>
      <c r="Y25" s="195">
        <v>-45037</v>
      </c>
      <c r="Z25" s="193">
        <v>48687</v>
      </c>
      <c r="AA25" s="193">
        <v>34128</v>
      </c>
      <c r="AB25" s="193">
        <v>17765</v>
      </c>
      <c r="AC25" s="195">
        <v>3709</v>
      </c>
      <c r="AD25" s="193">
        <v>58199</v>
      </c>
      <c r="AE25" s="193">
        <v>49271</v>
      </c>
      <c r="AF25" s="193">
        <v>30358</v>
      </c>
      <c r="AG25" s="195">
        <v>-20663</v>
      </c>
      <c r="AH25" s="193">
        <v>13073</v>
      </c>
      <c r="AI25" s="193">
        <v>5618</v>
      </c>
      <c r="AJ25" s="193">
        <v>-9147</v>
      </c>
      <c r="AK25" s="195">
        <v>140744</v>
      </c>
    </row>
    <row r="26" spans="2:38">
      <c r="B26" s="201" t="s">
        <v>244</v>
      </c>
      <c r="C26" s="193">
        <v>0</v>
      </c>
      <c r="D26" s="194">
        <v>0</v>
      </c>
      <c r="E26" s="195">
        <v>-126157</v>
      </c>
      <c r="F26" s="193">
        <v>0</v>
      </c>
      <c r="G26" s="193">
        <v>0</v>
      </c>
      <c r="H26" s="194">
        <v>0</v>
      </c>
      <c r="I26" s="195">
        <v>0</v>
      </c>
      <c r="J26" s="193">
        <v>0</v>
      </c>
      <c r="K26" s="193">
        <v>0</v>
      </c>
      <c r="L26" s="194">
        <v>0</v>
      </c>
      <c r="M26" s="195">
        <v>0</v>
      </c>
      <c r="N26" s="193">
        <v>0</v>
      </c>
      <c r="O26" s="193">
        <v>0</v>
      </c>
      <c r="P26" s="194">
        <v>0</v>
      </c>
      <c r="Q26" s="195">
        <v>0</v>
      </c>
      <c r="R26" s="193">
        <v>0</v>
      </c>
      <c r="S26" s="193">
        <v>0</v>
      </c>
      <c r="T26" s="194">
        <v>2959</v>
      </c>
      <c r="U26" s="195">
        <v>3627</v>
      </c>
      <c r="V26" s="193">
        <v>3627</v>
      </c>
      <c r="W26" s="193">
        <v>3336</v>
      </c>
      <c r="X26" s="193">
        <v>2458</v>
      </c>
      <c r="Y26" s="195">
        <v>-5729</v>
      </c>
      <c r="Z26" s="193">
        <v>-6963</v>
      </c>
      <c r="AA26" s="193">
        <v>2504</v>
      </c>
      <c r="AB26" s="193">
        <v>1342</v>
      </c>
      <c r="AC26" s="195">
        <v>4825</v>
      </c>
      <c r="AD26" s="193">
        <v>3918</v>
      </c>
      <c r="AE26" s="193">
        <v>6380</v>
      </c>
      <c r="AF26" s="193">
        <v>6128</v>
      </c>
      <c r="AG26" s="195">
        <v>27584</v>
      </c>
      <c r="AH26" s="193">
        <v>34071</v>
      </c>
      <c r="AI26" s="193">
        <v>24707</v>
      </c>
      <c r="AJ26" s="193">
        <v>14610</v>
      </c>
      <c r="AK26" s="195">
        <v>41932</v>
      </c>
    </row>
    <row r="27" spans="2:38">
      <c r="B27" s="201" t="s">
        <v>245</v>
      </c>
      <c r="C27" s="193">
        <v>0</v>
      </c>
      <c r="D27" s="194">
        <v>0</v>
      </c>
      <c r="E27" s="195">
        <v>0</v>
      </c>
      <c r="F27" s="193">
        <v>0</v>
      </c>
      <c r="G27" s="193">
        <v>0</v>
      </c>
      <c r="H27" s="194">
        <v>0</v>
      </c>
      <c r="I27" s="195">
        <v>0</v>
      </c>
      <c r="J27" s="193">
        <v>0</v>
      </c>
      <c r="K27" s="193">
        <v>0</v>
      </c>
      <c r="L27" s="194">
        <v>0</v>
      </c>
      <c r="M27" s="195">
        <v>0</v>
      </c>
      <c r="N27" s="193">
        <v>0</v>
      </c>
      <c r="O27" s="193">
        <v>0</v>
      </c>
      <c r="P27" s="194">
        <v>0</v>
      </c>
      <c r="Q27" s="195">
        <v>0</v>
      </c>
      <c r="R27" s="193">
        <v>0</v>
      </c>
      <c r="S27" s="193">
        <v>0</v>
      </c>
      <c r="T27" s="194">
        <v>0</v>
      </c>
      <c r="U27" s="195">
        <v>0</v>
      </c>
      <c r="V27" s="193">
        <v>0</v>
      </c>
      <c r="W27" s="193">
        <v>0</v>
      </c>
      <c r="X27" s="193">
        <v>0</v>
      </c>
      <c r="Y27" s="195">
        <v>0</v>
      </c>
      <c r="Z27" s="193">
        <v>0</v>
      </c>
      <c r="AA27" s="193">
        <v>0</v>
      </c>
      <c r="AB27" s="193">
        <v>0</v>
      </c>
      <c r="AC27" s="195">
        <v>0</v>
      </c>
      <c r="AD27" s="193">
        <v>0</v>
      </c>
      <c r="AE27" s="193">
        <v>0</v>
      </c>
      <c r="AF27" s="193">
        <v>0</v>
      </c>
      <c r="AG27" s="195">
        <v>-19765</v>
      </c>
      <c r="AH27" s="193">
        <v>-19765</v>
      </c>
      <c r="AI27" s="193">
        <v>-19765</v>
      </c>
      <c r="AJ27" s="193">
        <v>-19765</v>
      </c>
      <c r="AK27" s="195">
        <v>0</v>
      </c>
      <c r="AL27" s="193"/>
    </row>
    <row r="28" spans="2:38">
      <c r="B28" s="201" t="s">
        <v>346</v>
      </c>
      <c r="C28" s="193">
        <v>0</v>
      </c>
      <c r="D28" s="194">
        <v>0</v>
      </c>
      <c r="E28" s="195">
        <v>0</v>
      </c>
      <c r="F28" s="193">
        <v>0</v>
      </c>
      <c r="G28" s="193">
        <v>0</v>
      </c>
      <c r="H28" s="194">
        <v>0</v>
      </c>
      <c r="I28" s="195">
        <v>0</v>
      </c>
      <c r="J28" s="193">
        <v>0</v>
      </c>
      <c r="K28" s="193">
        <v>0</v>
      </c>
      <c r="L28" s="194">
        <v>0</v>
      </c>
      <c r="M28" s="195">
        <v>38784</v>
      </c>
      <c r="N28" s="193">
        <v>876</v>
      </c>
      <c r="O28" s="193">
        <v>0</v>
      </c>
      <c r="P28" s="194">
        <v>0</v>
      </c>
      <c r="Q28" s="195">
        <v>-7452</v>
      </c>
      <c r="R28" s="193">
        <v>-9316</v>
      </c>
      <c r="S28" s="193">
        <v>-5968</v>
      </c>
      <c r="T28" s="194">
        <v>-5151</v>
      </c>
      <c r="U28" s="195">
        <v>0</v>
      </c>
      <c r="V28" s="193">
        <v>0</v>
      </c>
      <c r="W28" s="193">
        <v>0</v>
      </c>
      <c r="X28" s="193">
        <v>0</v>
      </c>
      <c r="Y28" s="195">
        <v>0</v>
      </c>
      <c r="Z28" s="193">
        <v>0</v>
      </c>
      <c r="AA28" s="193">
        <v>0</v>
      </c>
      <c r="AB28" s="193">
        <v>0</v>
      </c>
      <c r="AC28" s="195">
        <v>0</v>
      </c>
      <c r="AD28" s="193">
        <v>0</v>
      </c>
      <c r="AE28" s="193">
        <v>0</v>
      </c>
      <c r="AF28" s="193">
        <v>0</v>
      </c>
      <c r="AG28" s="195">
        <v>0</v>
      </c>
      <c r="AH28" s="193">
        <v>0</v>
      </c>
      <c r="AI28" s="193">
        <v>0</v>
      </c>
      <c r="AJ28" s="193">
        <v>0</v>
      </c>
      <c r="AK28" s="195">
        <v>0</v>
      </c>
      <c r="AL28" s="193"/>
    </row>
    <row r="29" spans="2:38">
      <c r="B29" s="201" t="s">
        <v>330</v>
      </c>
      <c r="C29" s="193">
        <v>2135</v>
      </c>
      <c r="D29" s="194">
        <v>1068</v>
      </c>
      <c r="E29" s="195">
        <v>6450</v>
      </c>
      <c r="F29" s="193">
        <v>5383</v>
      </c>
      <c r="G29" s="193">
        <v>3945</v>
      </c>
      <c r="H29" s="194">
        <v>1766</v>
      </c>
      <c r="I29" s="195">
        <v>10867</v>
      </c>
      <c r="J29" s="193">
        <v>9101</v>
      </c>
      <c r="K29" s="193">
        <v>6792</v>
      </c>
      <c r="L29" s="194">
        <v>3396</v>
      </c>
      <c r="M29" s="195">
        <v>20660</v>
      </c>
      <c r="N29" s="193">
        <v>17264</v>
      </c>
      <c r="O29" s="193">
        <v>0</v>
      </c>
      <c r="P29" s="194">
        <v>0</v>
      </c>
      <c r="Q29" s="195">
        <v>0</v>
      </c>
      <c r="R29" s="193">
        <v>0</v>
      </c>
      <c r="S29" s="193">
        <v>0</v>
      </c>
      <c r="T29" s="194">
        <v>0</v>
      </c>
      <c r="U29" s="195">
        <v>24770</v>
      </c>
      <c r="V29" s="193">
        <v>24770</v>
      </c>
      <c r="W29" s="193">
        <v>24770</v>
      </c>
      <c r="X29" s="193">
        <v>24770</v>
      </c>
      <c r="Y29" s="195">
        <v>0</v>
      </c>
      <c r="Z29" s="193">
        <v>0</v>
      </c>
      <c r="AA29" s="193">
        <v>0</v>
      </c>
      <c r="AB29" s="193">
        <v>0</v>
      </c>
      <c r="AC29" s="195">
        <v>0</v>
      </c>
      <c r="AD29" s="193">
        <v>0</v>
      </c>
      <c r="AE29" s="193">
        <v>0</v>
      </c>
      <c r="AF29" s="193">
        <v>0</v>
      </c>
      <c r="AG29" s="195">
        <v>0</v>
      </c>
      <c r="AH29" s="193">
        <v>0</v>
      </c>
      <c r="AI29" s="193">
        <v>0</v>
      </c>
      <c r="AJ29" s="193">
        <v>0</v>
      </c>
      <c r="AK29" s="195">
        <v>0</v>
      </c>
      <c r="AL29" s="193"/>
    </row>
    <row r="30" spans="2:38">
      <c r="B30" s="239" t="s">
        <v>343</v>
      </c>
      <c r="C30" s="193">
        <v>0</v>
      </c>
      <c r="D30" s="194">
        <v>0</v>
      </c>
      <c r="E30" s="195">
        <v>0</v>
      </c>
      <c r="F30" s="193">
        <v>0</v>
      </c>
      <c r="G30" s="193">
        <v>0</v>
      </c>
      <c r="H30" s="194">
        <v>0</v>
      </c>
      <c r="I30" s="195">
        <v>0</v>
      </c>
      <c r="J30" s="193">
        <v>0</v>
      </c>
      <c r="K30" s="193">
        <v>0</v>
      </c>
      <c r="L30" s="194">
        <v>0</v>
      </c>
      <c r="M30" s="195">
        <v>0</v>
      </c>
      <c r="N30" s="193">
        <v>0</v>
      </c>
      <c r="O30" s="193">
        <v>0</v>
      </c>
      <c r="P30" s="194">
        <v>0</v>
      </c>
      <c r="Q30" s="195">
        <v>0</v>
      </c>
      <c r="R30" s="193">
        <v>0</v>
      </c>
      <c r="S30" s="193">
        <v>0</v>
      </c>
      <c r="T30" s="194">
        <v>0</v>
      </c>
      <c r="U30" s="195">
        <v>-1600</v>
      </c>
      <c r="V30" s="193">
        <v>0</v>
      </c>
      <c r="W30" s="193">
        <v>0</v>
      </c>
      <c r="X30" s="193">
        <v>0</v>
      </c>
      <c r="Y30" s="195">
        <v>0</v>
      </c>
      <c r="Z30" s="193">
        <v>0</v>
      </c>
      <c r="AA30" s="193">
        <v>0</v>
      </c>
      <c r="AB30" s="193">
        <v>0</v>
      </c>
      <c r="AC30" s="195">
        <v>0</v>
      </c>
      <c r="AD30" s="193">
        <v>0</v>
      </c>
      <c r="AE30" s="193">
        <v>0</v>
      </c>
      <c r="AF30" s="193">
        <v>0</v>
      </c>
      <c r="AG30" s="195">
        <v>0</v>
      </c>
      <c r="AH30" s="193">
        <v>0</v>
      </c>
      <c r="AI30" s="193">
        <v>0</v>
      </c>
      <c r="AJ30" s="193">
        <v>0</v>
      </c>
      <c r="AK30" s="195">
        <v>0</v>
      </c>
      <c r="AL30" s="193"/>
    </row>
    <row r="31" spans="2:38">
      <c r="B31" s="201" t="s">
        <v>310</v>
      </c>
      <c r="C31" s="193">
        <v>4426</v>
      </c>
      <c r="D31" s="194">
        <v>1929</v>
      </c>
      <c r="E31" s="195">
        <v>10889</v>
      </c>
      <c r="F31" s="193">
        <v>6946</v>
      </c>
      <c r="G31" s="193">
        <v>4906</v>
      </c>
      <c r="H31" s="194">
        <v>4115</v>
      </c>
      <c r="I31" s="195">
        <v>7138</v>
      </c>
      <c r="J31" s="193">
        <v>5550</v>
      </c>
      <c r="K31" s="193">
        <v>5208</v>
      </c>
      <c r="L31" s="194">
        <v>2398</v>
      </c>
      <c r="M31" s="195">
        <v>19994</v>
      </c>
      <c r="N31" s="193">
        <v>17112</v>
      </c>
      <c r="O31" s="193">
        <v>3848</v>
      </c>
      <c r="P31" s="194">
        <v>1850</v>
      </c>
      <c r="Q31" s="195">
        <v>41167</v>
      </c>
      <c r="R31" s="193">
        <v>4853</v>
      </c>
      <c r="S31" s="193">
        <v>2039</v>
      </c>
      <c r="T31" s="194">
        <v>1718</v>
      </c>
      <c r="U31" s="195">
        <v>12045</v>
      </c>
      <c r="V31" s="193">
        <v>11869</v>
      </c>
      <c r="W31" s="193">
        <v>0</v>
      </c>
      <c r="X31" s="193">
        <v>0</v>
      </c>
      <c r="Y31" s="195">
        <v>6083</v>
      </c>
      <c r="Z31" s="193">
        <v>3346</v>
      </c>
      <c r="AA31" s="193">
        <v>3587</v>
      </c>
      <c r="AB31" s="193">
        <v>0</v>
      </c>
      <c r="AC31" s="195">
        <v>7783</v>
      </c>
      <c r="AD31" s="193"/>
      <c r="AE31" s="193"/>
      <c r="AF31" s="193"/>
      <c r="AG31" s="195"/>
      <c r="AH31" s="193"/>
      <c r="AI31" s="193"/>
      <c r="AJ31" s="193"/>
      <c r="AK31" s="195"/>
      <c r="AL31" s="193"/>
    </row>
    <row r="32" spans="2:38">
      <c r="B32" s="201" t="s">
        <v>284</v>
      </c>
      <c r="C32" s="193">
        <v>0</v>
      </c>
      <c r="D32" s="194">
        <v>0</v>
      </c>
      <c r="E32" s="195">
        <v>0</v>
      </c>
      <c r="F32" s="193">
        <v>0</v>
      </c>
      <c r="G32" s="193">
        <v>0</v>
      </c>
      <c r="H32" s="194">
        <v>0</v>
      </c>
      <c r="I32" s="195">
        <v>0</v>
      </c>
      <c r="J32" s="193">
        <v>0</v>
      </c>
      <c r="K32" s="193">
        <v>0</v>
      </c>
      <c r="L32" s="194">
        <v>0</v>
      </c>
      <c r="M32" s="195">
        <v>0</v>
      </c>
      <c r="N32" s="193">
        <v>0</v>
      </c>
      <c r="O32" s="193">
        <v>0</v>
      </c>
      <c r="P32" s="194">
        <v>0</v>
      </c>
      <c r="Q32" s="195">
        <v>0</v>
      </c>
      <c r="R32" s="193">
        <v>0</v>
      </c>
      <c r="S32" s="193">
        <v>0</v>
      </c>
      <c r="T32" s="194">
        <v>0</v>
      </c>
      <c r="U32" s="195">
        <v>0</v>
      </c>
      <c r="V32" s="193">
        <v>0</v>
      </c>
      <c r="W32" s="193">
        <v>0</v>
      </c>
      <c r="X32" s="193">
        <v>0</v>
      </c>
      <c r="Y32" s="195">
        <v>0</v>
      </c>
      <c r="Z32" s="193">
        <v>0</v>
      </c>
      <c r="AA32" s="193">
        <v>0</v>
      </c>
      <c r="AB32" s="193">
        <v>0</v>
      </c>
      <c r="AC32" s="195">
        <v>0</v>
      </c>
      <c r="AD32" s="193">
        <v>0</v>
      </c>
      <c r="AE32" s="193">
        <v>0</v>
      </c>
      <c r="AF32" s="193">
        <v>0</v>
      </c>
      <c r="AG32" s="195">
        <v>33060</v>
      </c>
      <c r="AH32" s="193">
        <v>0</v>
      </c>
      <c r="AI32" s="193">
        <v>0</v>
      </c>
      <c r="AJ32" s="193">
        <v>0</v>
      </c>
      <c r="AK32" s="195">
        <v>0</v>
      </c>
      <c r="AL32" s="193"/>
    </row>
    <row r="33" spans="2:37">
      <c r="B33" s="201" t="s">
        <v>188</v>
      </c>
      <c r="C33" s="193">
        <v>0</v>
      </c>
      <c r="D33" s="194">
        <v>0</v>
      </c>
      <c r="E33" s="195">
        <v>0</v>
      </c>
      <c r="F33" s="193">
        <v>0</v>
      </c>
      <c r="G33" s="193">
        <v>0</v>
      </c>
      <c r="H33" s="194">
        <v>0</v>
      </c>
      <c r="I33" s="195">
        <v>0</v>
      </c>
      <c r="J33" s="193">
        <v>0</v>
      </c>
      <c r="K33" s="193">
        <v>0</v>
      </c>
      <c r="L33" s="194">
        <v>0</v>
      </c>
      <c r="M33" s="195">
        <v>0</v>
      </c>
      <c r="N33" s="193">
        <v>0</v>
      </c>
      <c r="O33" s="193">
        <v>0</v>
      </c>
      <c r="P33" s="194">
        <v>0</v>
      </c>
      <c r="Q33" s="195">
        <v>0</v>
      </c>
      <c r="R33" s="193">
        <v>0</v>
      </c>
      <c r="S33" s="193">
        <v>0</v>
      </c>
      <c r="T33" s="194">
        <v>0</v>
      </c>
      <c r="U33" s="195">
        <v>0</v>
      </c>
      <c r="V33" s="193">
        <v>0</v>
      </c>
      <c r="W33" s="193">
        <v>0</v>
      </c>
      <c r="X33" s="193">
        <v>0</v>
      </c>
      <c r="Y33" s="195">
        <v>0</v>
      </c>
      <c r="Z33" s="193">
        <v>0</v>
      </c>
      <c r="AA33" s="193">
        <v>0</v>
      </c>
      <c r="AB33" s="193">
        <v>0</v>
      </c>
      <c r="AC33" s="195">
        <v>0</v>
      </c>
      <c r="AD33" s="193">
        <v>0</v>
      </c>
      <c r="AE33" s="193">
        <v>0</v>
      </c>
      <c r="AF33" s="193">
        <v>0</v>
      </c>
      <c r="AG33" s="195">
        <v>0</v>
      </c>
      <c r="AH33" s="193" t="s">
        <v>159</v>
      </c>
      <c r="AI33" s="193">
        <v>0</v>
      </c>
      <c r="AJ33" s="193">
        <v>0</v>
      </c>
      <c r="AK33" s="195">
        <v>-490627</v>
      </c>
    </row>
    <row r="34" spans="2:37">
      <c r="B34" s="201" t="s">
        <v>246</v>
      </c>
      <c r="C34" s="193">
        <v>0</v>
      </c>
      <c r="D34" s="194">
        <v>0</v>
      </c>
      <c r="E34" s="195">
        <v>0</v>
      </c>
      <c r="F34" s="193">
        <v>0</v>
      </c>
      <c r="G34" s="193">
        <v>0</v>
      </c>
      <c r="H34" s="194">
        <v>0</v>
      </c>
      <c r="I34" s="195">
        <v>0</v>
      </c>
      <c r="J34" s="193">
        <v>0</v>
      </c>
      <c r="K34" s="193">
        <v>0</v>
      </c>
      <c r="L34" s="194">
        <v>0</v>
      </c>
      <c r="M34" s="195">
        <v>0</v>
      </c>
      <c r="N34" s="193">
        <v>0</v>
      </c>
      <c r="O34" s="193">
        <v>0</v>
      </c>
      <c r="P34" s="194">
        <v>0</v>
      </c>
      <c r="Q34" s="195">
        <v>0</v>
      </c>
      <c r="R34" s="193">
        <v>0</v>
      </c>
      <c r="S34" s="193">
        <v>0</v>
      </c>
      <c r="T34" s="194">
        <v>0</v>
      </c>
      <c r="U34" s="195">
        <v>0</v>
      </c>
      <c r="V34" s="193">
        <v>0</v>
      </c>
      <c r="W34" s="193">
        <v>0</v>
      </c>
      <c r="X34" s="193">
        <v>0</v>
      </c>
      <c r="Y34" s="195">
        <v>0</v>
      </c>
      <c r="Z34" s="193">
        <v>0</v>
      </c>
      <c r="AA34" s="193">
        <v>0</v>
      </c>
      <c r="AB34" s="193">
        <v>0</v>
      </c>
      <c r="AC34" s="195">
        <v>0</v>
      </c>
      <c r="AD34" s="193">
        <v>0</v>
      </c>
      <c r="AE34" s="193">
        <v>0</v>
      </c>
      <c r="AF34" s="193">
        <v>0</v>
      </c>
      <c r="AG34" s="195">
        <v>0</v>
      </c>
      <c r="AH34" s="193">
        <v>0</v>
      </c>
      <c r="AI34" s="193">
        <v>0</v>
      </c>
      <c r="AJ34" s="193">
        <v>55661</v>
      </c>
      <c r="AK34" s="195">
        <v>37990</v>
      </c>
    </row>
    <row r="35" spans="2:37">
      <c r="B35" s="201" t="s">
        <v>247</v>
      </c>
      <c r="C35" s="193">
        <v>0</v>
      </c>
      <c r="D35" s="194">
        <v>0</v>
      </c>
      <c r="E35" s="195">
        <v>0</v>
      </c>
      <c r="F35" s="193">
        <v>0</v>
      </c>
      <c r="G35" s="193">
        <v>0</v>
      </c>
      <c r="H35" s="194">
        <v>0</v>
      </c>
      <c r="I35" s="195">
        <v>0</v>
      </c>
      <c r="J35" s="193">
        <v>0</v>
      </c>
      <c r="K35" s="193">
        <v>0</v>
      </c>
      <c r="L35" s="194">
        <v>0</v>
      </c>
      <c r="M35" s="195">
        <v>0</v>
      </c>
      <c r="N35" s="193">
        <v>0</v>
      </c>
      <c r="O35" s="193">
        <v>0</v>
      </c>
      <c r="P35" s="194">
        <v>0</v>
      </c>
      <c r="Q35" s="195">
        <v>0</v>
      </c>
      <c r="R35" s="193">
        <v>0</v>
      </c>
      <c r="S35" s="193">
        <v>0</v>
      </c>
      <c r="T35" s="194">
        <v>0</v>
      </c>
      <c r="U35" s="195">
        <v>0</v>
      </c>
      <c r="V35" s="193">
        <v>0</v>
      </c>
      <c r="W35" s="193">
        <v>0</v>
      </c>
      <c r="X35" s="193">
        <v>0</v>
      </c>
      <c r="Y35" s="195">
        <v>0</v>
      </c>
      <c r="Z35" s="193">
        <v>0</v>
      </c>
      <c r="AA35" s="193">
        <v>0</v>
      </c>
      <c r="AB35" s="193">
        <v>0</v>
      </c>
      <c r="AC35" s="195">
        <v>0</v>
      </c>
      <c r="AD35" s="193">
        <v>0</v>
      </c>
      <c r="AE35" s="193">
        <v>0</v>
      </c>
      <c r="AF35" s="193">
        <v>0</v>
      </c>
      <c r="AG35" s="195">
        <v>55000</v>
      </c>
      <c r="AH35" s="193">
        <v>0</v>
      </c>
      <c r="AI35" s="193">
        <v>0</v>
      </c>
      <c r="AJ35" s="193">
        <v>0</v>
      </c>
      <c r="AK35" s="195">
        <v>0</v>
      </c>
    </row>
    <row r="36" spans="2:37">
      <c r="B36" s="201" t="s">
        <v>248</v>
      </c>
      <c r="C36" s="193">
        <v>0</v>
      </c>
      <c r="D36" s="194">
        <v>0</v>
      </c>
      <c r="E36" s="195">
        <v>0</v>
      </c>
      <c r="F36" s="193">
        <v>0</v>
      </c>
      <c r="G36" s="193">
        <v>0</v>
      </c>
      <c r="H36" s="194">
        <v>0</v>
      </c>
      <c r="I36" s="195">
        <v>0</v>
      </c>
      <c r="J36" s="193">
        <v>0</v>
      </c>
      <c r="K36" s="193">
        <v>0</v>
      </c>
      <c r="L36" s="194">
        <v>0</v>
      </c>
      <c r="M36" s="195">
        <v>0</v>
      </c>
      <c r="N36" s="193">
        <v>0</v>
      </c>
      <c r="O36" s="193">
        <v>0</v>
      </c>
      <c r="P36" s="194">
        <v>0</v>
      </c>
      <c r="Q36" s="195">
        <v>0</v>
      </c>
      <c r="R36" s="193">
        <v>0</v>
      </c>
      <c r="S36" s="193">
        <v>0</v>
      </c>
      <c r="T36" s="194">
        <v>0</v>
      </c>
      <c r="U36" s="195">
        <v>0</v>
      </c>
      <c r="V36" s="193">
        <v>0</v>
      </c>
      <c r="W36" s="193">
        <v>0</v>
      </c>
      <c r="X36" s="193">
        <v>0</v>
      </c>
      <c r="Y36" s="195">
        <v>0</v>
      </c>
      <c r="Z36" s="193">
        <v>0</v>
      </c>
      <c r="AA36" s="193">
        <v>0</v>
      </c>
      <c r="AB36" s="193">
        <v>0</v>
      </c>
      <c r="AC36" s="195">
        <v>0</v>
      </c>
      <c r="AD36" s="193">
        <v>0</v>
      </c>
      <c r="AE36" s="193">
        <v>0</v>
      </c>
      <c r="AF36" s="193">
        <v>0</v>
      </c>
      <c r="AG36" s="195">
        <v>-110203</v>
      </c>
      <c r="AH36" s="193">
        <v>0</v>
      </c>
      <c r="AI36" s="193">
        <v>0</v>
      </c>
      <c r="AJ36" s="193">
        <v>0</v>
      </c>
      <c r="AK36" s="195">
        <v>0</v>
      </c>
    </row>
    <row r="37" spans="2:37">
      <c r="B37" s="201" t="s">
        <v>249</v>
      </c>
      <c r="C37" s="193">
        <v>0</v>
      </c>
      <c r="D37" s="194">
        <v>0</v>
      </c>
      <c r="E37" s="195">
        <v>0</v>
      </c>
      <c r="F37" s="193">
        <v>0</v>
      </c>
      <c r="G37" s="193">
        <v>0</v>
      </c>
      <c r="H37" s="194">
        <v>0</v>
      </c>
      <c r="I37" s="195">
        <v>0</v>
      </c>
      <c r="J37" s="193">
        <v>0</v>
      </c>
      <c r="K37" s="193">
        <v>0</v>
      </c>
      <c r="L37" s="194">
        <v>0</v>
      </c>
      <c r="M37" s="195">
        <v>0</v>
      </c>
      <c r="N37" s="193">
        <v>0</v>
      </c>
      <c r="O37" s="193">
        <v>0</v>
      </c>
      <c r="P37" s="194">
        <v>0</v>
      </c>
      <c r="Q37" s="195">
        <v>0</v>
      </c>
      <c r="R37" s="193">
        <v>0</v>
      </c>
      <c r="S37" s="193">
        <v>0</v>
      </c>
      <c r="T37" s="194">
        <v>0</v>
      </c>
      <c r="U37" s="195">
        <v>0</v>
      </c>
      <c r="V37" s="193">
        <v>0</v>
      </c>
      <c r="W37" s="193">
        <v>0</v>
      </c>
      <c r="X37" s="193">
        <v>0</v>
      </c>
      <c r="Y37" s="195">
        <v>0</v>
      </c>
      <c r="Z37" s="193">
        <v>0</v>
      </c>
      <c r="AA37" s="193">
        <v>0</v>
      </c>
      <c r="AB37" s="193">
        <v>0</v>
      </c>
      <c r="AC37" s="195">
        <v>0</v>
      </c>
      <c r="AD37" s="193">
        <v>0</v>
      </c>
      <c r="AE37" s="193">
        <v>0</v>
      </c>
      <c r="AF37" s="193">
        <v>0</v>
      </c>
      <c r="AG37" s="195">
        <v>16432</v>
      </c>
      <c r="AH37" s="193">
        <v>0</v>
      </c>
      <c r="AI37" s="193">
        <v>0</v>
      </c>
      <c r="AJ37" s="193">
        <v>0</v>
      </c>
      <c r="AK37" s="195">
        <v>0</v>
      </c>
    </row>
    <row r="38" spans="2:37">
      <c r="B38" s="201" t="s">
        <v>250</v>
      </c>
      <c r="C38" s="193">
        <v>0</v>
      </c>
      <c r="D38" s="194">
        <v>0</v>
      </c>
      <c r="E38" s="195">
        <v>0</v>
      </c>
      <c r="F38" s="193">
        <v>0</v>
      </c>
      <c r="G38" s="193">
        <v>0</v>
      </c>
      <c r="H38" s="194">
        <v>0</v>
      </c>
      <c r="I38" s="195">
        <v>0</v>
      </c>
      <c r="J38" s="193">
        <v>0</v>
      </c>
      <c r="K38" s="193">
        <v>0</v>
      </c>
      <c r="L38" s="194">
        <v>0</v>
      </c>
      <c r="M38" s="195">
        <v>0</v>
      </c>
      <c r="N38" s="193">
        <v>0</v>
      </c>
      <c r="O38" s="193">
        <v>0</v>
      </c>
      <c r="P38" s="194">
        <v>0</v>
      </c>
      <c r="Q38" s="195">
        <v>0</v>
      </c>
      <c r="R38" s="193">
        <v>0</v>
      </c>
      <c r="S38" s="193">
        <v>0</v>
      </c>
      <c r="T38" s="194">
        <v>0</v>
      </c>
      <c r="U38" s="195">
        <v>0</v>
      </c>
      <c r="V38" s="193">
        <v>0</v>
      </c>
      <c r="W38" s="193">
        <v>0</v>
      </c>
      <c r="X38" s="193">
        <v>0</v>
      </c>
      <c r="Y38" s="195">
        <v>0</v>
      </c>
      <c r="Z38" s="193">
        <v>0</v>
      </c>
      <c r="AA38" s="193">
        <v>0</v>
      </c>
      <c r="AB38" s="193">
        <v>0</v>
      </c>
      <c r="AC38" s="195">
        <v>0</v>
      </c>
      <c r="AD38" s="193">
        <v>0</v>
      </c>
      <c r="AE38" s="193">
        <v>0</v>
      </c>
      <c r="AF38" s="193">
        <v>0</v>
      </c>
      <c r="AG38" s="195">
        <v>10804</v>
      </c>
      <c r="AH38" s="193">
        <v>0</v>
      </c>
      <c r="AI38" s="193">
        <v>0</v>
      </c>
      <c r="AJ38" s="193">
        <v>0</v>
      </c>
      <c r="AK38" s="195">
        <v>0</v>
      </c>
    </row>
    <row r="39" spans="2:37">
      <c r="B39" s="201" t="s">
        <v>251</v>
      </c>
      <c r="C39" s="193">
        <v>0</v>
      </c>
      <c r="D39" s="194">
        <v>0</v>
      </c>
      <c r="E39" s="195">
        <v>0</v>
      </c>
      <c r="F39" s="193">
        <v>0</v>
      </c>
      <c r="G39" s="193">
        <v>0</v>
      </c>
      <c r="H39" s="194">
        <v>0</v>
      </c>
      <c r="I39" s="195">
        <v>0</v>
      </c>
      <c r="J39" s="193">
        <v>0</v>
      </c>
      <c r="K39" s="193">
        <v>0</v>
      </c>
      <c r="L39" s="194">
        <v>0</v>
      </c>
      <c r="M39" s="195">
        <v>0</v>
      </c>
      <c r="N39" s="193">
        <v>0</v>
      </c>
      <c r="O39" s="193">
        <v>0</v>
      </c>
      <c r="P39" s="194">
        <v>0</v>
      </c>
      <c r="Q39" s="195">
        <v>0</v>
      </c>
      <c r="R39" s="193">
        <v>0</v>
      </c>
      <c r="S39" s="193">
        <v>0</v>
      </c>
      <c r="T39" s="194">
        <v>0</v>
      </c>
      <c r="U39" s="195">
        <v>0</v>
      </c>
      <c r="V39" s="193">
        <v>0</v>
      </c>
      <c r="W39" s="193">
        <v>0</v>
      </c>
      <c r="X39" s="193">
        <v>0</v>
      </c>
      <c r="Y39" s="195">
        <v>0</v>
      </c>
      <c r="Z39" s="193">
        <v>0</v>
      </c>
      <c r="AA39" s="193">
        <v>0</v>
      </c>
      <c r="AB39" s="193">
        <v>0</v>
      </c>
      <c r="AC39" s="195">
        <v>0</v>
      </c>
      <c r="AD39" s="193">
        <v>0</v>
      </c>
      <c r="AE39" s="193">
        <v>0</v>
      </c>
      <c r="AF39" s="193">
        <v>0</v>
      </c>
      <c r="AG39" s="195">
        <v>55000</v>
      </c>
      <c r="AH39" s="193">
        <v>0</v>
      </c>
      <c r="AI39" s="193">
        <v>0</v>
      </c>
      <c r="AJ39" s="193">
        <v>0</v>
      </c>
      <c r="AK39" s="195">
        <v>0</v>
      </c>
    </row>
    <row r="40" spans="2:37">
      <c r="B40" s="201" t="s">
        <v>354</v>
      </c>
      <c r="C40" s="193">
        <v>0</v>
      </c>
      <c r="D40" s="194">
        <v>0</v>
      </c>
      <c r="E40" s="195">
        <v>0</v>
      </c>
      <c r="F40" s="193">
        <v>0</v>
      </c>
      <c r="G40" s="193">
        <v>0</v>
      </c>
      <c r="H40" s="194">
        <v>0</v>
      </c>
      <c r="I40" s="195">
        <v>0</v>
      </c>
      <c r="J40" s="193">
        <v>0</v>
      </c>
      <c r="K40" s="193">
        <v>0</v>
      </c>
      <c r="L40" s="194">
        <v>0</v>
      </c>
      <c r="M40" s="195">
        <v>0</v>
      </c>
      <c r="N40" s="193">
        <v>0</v>
      </c>
      <c r="O40" s="193">
        <v>-18402</v>
      </c>
      <c r="P40" s="194">
        <v>-8235</v>
      </c>
      <c r="Q40" s="195">
        <v>-705485</v>
      </c>
      <c r="R40" s="193">
        <v>-730262</v>
      </c>
      <c r="S40" s="193">
        <v>0</v>
      </c>
      <c r="T40" s="194">
        <v>0</v>
      </c>
      <c r="U40" s="195">
        <v>0</v>
      </c>
      <c r="V40" s="193">
        <v>0</v>
      </c>
      <c r="W40" s="193">
        <v>0</v>
      </c>
      <c r="X40" s="193">
        <v>0</v>
      </c>
      <c r="Y40" s="195">
        <v>0</v>
      </c>
      <c r="Z40" s="193">
        <v>0</v>
      </c>
      <c r="AA40" s="193">
        <v>0</v>
      </c>
      <c r="AB40" s="193">
        <v>0</v>
      </c>
      <c r="AC40" s="195">
        <v>0</v>
      </c>
      <c r="AD40" s="193">
        <v>0</v>
      </c>
      <c r="AE40" s="193">
        <v>0</v>
      </c>
      <c r="AF40" s="193">
        <v>0</v>
      </c>
      <c r="AG40" s="195">
        <v>55000</v>
      </c>
      <c r="AH40" s="193">
        <v>0</v>
      </c>
      <c r="AI40" s="193">
        <v>0</v>
      </c>
      <c r="AJ40" s="193">
        <v>0</v>
      </c>
      <c r="AK40" s="195">
        <v>0</v>
      </c>
    </row>
    <row r="41" spans="2:37">
      <c r="B41" s="201" t="s">
        <v>413</v>
      </c>
      <c r="C41" s="193">
        <v>988</v>
      </c>
      <c r="D41" s="194">
        <v>492</v>
      </c>
      <c r="E41" s="195">
        <v>1354</v>
      </c>
      <c r="F41" s="193">
        <v>920</v>
      </c>
      <c r="G41" s="193">
        <v>581</v>
      </c>
      <c r="H41" s="194">
        <v>267</v>
      </c>
      <c r="I41" s="195">
        <v>244</v>
      </c>
      <c r="J41" s="193">
        <v>0</v>
      </c>
      <c r="K41" s="193">
        <v>0</v>
      </c>
      <c r="L41" s="194">
        <v>0</v>
      </c>
      <c r="M41" s="195">
        <v>0</v>
      </c>
      <c r="N41" s="193">
        <v>0</v>
      </c>
      <c r="O41" s="193">
        <v>0</v>
      </c>
      <c r="P41" s="194">
        <v>0</v>
      </c>
      <c r="Q41" s="195">
        <v>0</v>
      </c>
      <c r="R41" s="193">
        <v>0</v>
      </c>
      <c r="S41" s="193">
        <v>0</v>
      </c>
      <c r="T41" s="194">
        <v>0</v>
      </c>
      <c r="U41" s="195">
        <v>0</v>
      </c>
      <c r="V41" s="193">
        <v>0</v>
      </c>
      <c r="W41" s="193">
        <v>0</v>
      </c>
      <c r="X41" s="193">
        <v>0</v>
      </c>
      <c r="Y41" s="195">
        <v>0</v>
      </c>
      <c r="Z41" s="193">
        <v>0</v>
      </c>
      <c r="AA41" s="193">
        <v>0</v>
      </c>
      <c r="AB41" s="193">
        <v>0</v>
      </c>
      <c r="AC41" s="195">
        <v>0</v>
      </c>
      <c r="AD41" s="193">
        <v>0</v>
      </c>
      <c r="AE41" s="193">
        <v>0</v>
      </c>
      <c r="AF41" s="193">
        <v>0</v>
      </c>
      <c r="AG41" s="195">
        <v>0</v>
      </c>
      <c r="AH41" s="193">
        <v>0</v>
      </c>
      <c r="AI41" s="193">
        <v>0</v>
      </c>
      <c r="AJ41" s="193">
        <v>0</v>
      </c>
      <c r="AK41" s="195">
        <v>0</v>
      </c>
    </row>
    <row r="42" spans="2:37">
      <c r="B42" s="201" t="s">
        <v>414</v>
      </c>
      <c r="C42" s="193">
        <v>759</v>
      </c>
      <c r="D42" s="194">
        <v>385</v>
      </c>
      <c r="E42" s="195">
        <v>1509</v>
      </c>
      <c r="F42" s="193">
        <v>1202</v>
      </c>
      <c r="G42" s="193">
        <v>0</v>
      </c>
      <c r="H42" s="194">
        <v>0</v>
      </c>
      <c r="I42" s="195">
        <v>174</v>
      </c>
      <c r="J42" s="193">
        <v>0</v>
      </c>
      <c r="K42" s="193">
        <v>0</v>
      </c>
      <c r="L42" s="194">
        <v>0</v>
      </c>
      <c r="M42" s="195">
        <v>0</v>
      </c>
      <c r="N42" s="193">
        <v>0</v>
      </c>
      <c r="O42" s="193">
        <v>0</v>
      </c>
      <c r="P42" s="194">
        <v>0</v>
      </c>
      <c r="Q42" s="195">
        <v>0</v>
      </c>
      <c r="R42" s="193">
        <v>0</v>
      </c>
      <c r="S42" s="193">
        <v>0</v>
      </c>
      <c r="T42" s="194">
        <v>0</v>
      </c>
      <c r="U42" s="195">
        <v>0</v>
      </c>
      <c r="V42" s="193">
        <v>0</v>
      </c>
      <c r="W42" s="193">
        <v>0</v>
      </c>
      <c r="X42" s="193">
        <v>0</v>
      </c>
      <c r="Y42" s="195">
        <v>0</v>
      </c>
      <c r="Z42" s="193">
        <v>0</v>
      </c>
      <c r="AA42" s="193">
        <v>0</v>
      </c>
      <c r="AB42" s="193">
        <v>0</v>
      </c>
      <c r="AC42" s="195">
        <v>0</v>
      </c>
      <c r="AD42" s="193">
        <v>0</v>
      </c>
      <c r="AE42" s="193">
        <v>0</v>
      </c>
      <c r="AF42" s="193">
        <v>0</v>
      </c>
      <c r="AG42" s="195">
        <v>0</v>
      </c>
      <c r="AH42" s="193">
        <v>0</v>
      </c>
      <c r="AI42" s="193">
        <v>0</v>
      </c>
      <c r="AJ42" s="193">
        <v>0</v>
      </c>
      <c r="AK42" s="195">
        <v>0</v>
      </c>
    </row>
    <row r="43" spans="2:37">
      <c r="B43" s="201" t="s">
        <v>408</v>
      </c>
      <c r="C43" s="193">
        <v>0</v>
      </c>
      <c r="D43" s="194">
        <v>0</v>
      </c>
      <c r="E43" s="195">
        <v>0</v>
      </c>
      <c r="F43" s="193">
        <v>0</v>
      </c>
      <c r="G43" s="193">
        <v>0</v>
      </c>
      <c r="H43" s="194">
        <v>0</v>
      </c>
      <c r="I43" s="195">
        <v>7</v>
      </c>
      <c r="J43" s="193">
        <v>7</v>
      </c>
      <c r="K43" s="193">
        <v>7</v>
      </c>
      <c r="L43" s="194">
        <v>7</v>
      </c>
      <c r="M43" s="195">
        <v>0</v>
      </c>
      <c r="N43" s="193">
        <v>0</v>
      </c>
      <c r="O43" s="193">
        <v>0</v>
      </c>
      <c r="P43" s="194">
        <v>0</v>
      </c>
      <c r="Q43" s="195">
        <v>0</v>
      </c>
      <c r="R43" s="193">
        <v>0</v>
      </c>
      <c r="S43" s="193">
        <v>0</v>
      </c>
      <c r="T43" s="194">
        <v>0</v>
      </c>
      <c r="U43" s="195">
        <v>0</v>
      </c>
      <c r="V43" s="193">
        <v>0</v>
      </c>
      <c r="W43" s="193">
        <v>0</v>
      </c>
      <c r="X43" s="193">
        <v>0</v>
      </c>
      <c r="Y43" s="195">
        <v>0</v>
      </c>
      <c r="Z43" s="193">
        <v>0</v>
      </c>
      <c r="AA43" s="193">
        <v>0</v>
      </c>
      <c r="AB43" s="193">
        <v>0</v>
      </c>
      <c r="AC43" s="195">
        <v>0</v>
      </c>
      <c r="AD43" s="193">
        <v>0</v>
      </c>
      <c r="AE43" s="193">
        <v>0</v>
      </c>
      <c r="AF43" s="193">
        <v>0</v>
      </c>
      <c r="AG43" s="195">
        <v>0</v>
      </c>
      <c r="AH43" s="193">
        <v>0</v>
      </c>
      <c r="AI43" s="193">
        <v>0</v>
      </c>
      <c r="AJ43" s="193">
        <v>0</v>
      </c>
      <c r="AK43" s="195">
        <v>0</v>
      </c>
    </row>
    <row r="44" spans="2:37">
      <c r="B44" s="201" t="s">
        <v>422</v>
      </c>
      <c r="C44" s="193">
        <v>0</v>
      </c>
      <c r="D44" s="194">
        <v>0</v>
      </c>
      <c r="E44" s="195">
        <v>0</v>
      </c>
      <c r="F44" s="193">
        <v>0</v>
      </c>
      <c r="G44" s="193">
        <v>828</v>
      </c>
      <c r="H44" s="194">
        <v>404</v>
      </c>
      <c r="I44" s="195">
        <v>0</v>
      </c>
      <c r="J44" s="193">
        <v>0</v>
      </c>
      <c r="K44" s="193">
        <v>0</v>
      </c>
      <c r="L44" s="194">
        <v>0</v>
      </c>
      <c r="M44" s="195">
        <v>0</v>
      </c>
      <c r="N44" s="193">
        <v>0</v>
      </c>
      <c r="O44" s="193">
        <v>0</v>
      </c>
      <c r="P44" s="194">
        <v>0</v>
      </c>
      <c r="Q44" s="195">
        <v>0</v>
      </c>
      <c r="R44" s="193">
        <v>0</v>
      </c>
      <c r="S44" s="193">
        <v>0</v>
      </c>
      <c r="T44" s="194">
        <v>0</v>
      </c>
      <c r="U44" s="195">
        <v>0</v>
      </c>
      <c r="V44" s="193">
        <v>0</v>
      </c>
      <c r="W44" s="193">
        <v>0</v>
      </c>
      <c r="X44" s="193">
        <v>0</v>
      </c>
      <c r="Y44" s="195">
        <v>0</v>
      </c>
      <c r="Z44" s="193">
        <v>0</v>
      </c>
      <c r="AA44" s="193">
        <v>0</v>
      </c>
      <c r="AB44" s="193">
        <v>0</v>
      </c>
      <c r="AC44" s="195">
        <v>0</v>
      </c>
      <c r="AD44" s="193">
        <v>0</v>
      </c>
      <c r="AE44" s="193">
        <v>0</v>
      </c>
      <c r="AF44" s="193">
        <v>0</v>
      </c>
      <c r="AG44" s="195">
        <v>0</v>
      </c>
      <c r="AH44" s="193">
        <v>0</v>
      </c>
      <c r="AI44" s="193">
        <v>0</v>
      </c>
      <c r="AJ44" s="193">
        <v>0</v>
      </c>
      <c r="AK44" s="195">
        <v>0</v>
      </c>
    </row>
    <row r="45" spans="2:37">
      <c r="B45" s="201" t="s">
        <v>443</v>
      </c>
      <c r="C45" s="193">
        <v>-27186</v>
      </c>
      <c r="D45" s="194">
        <v>-9982</v>
      </c>
      <c r="E45" s="195">
        <v>-27786</v>
      </c>
      <c r="F45" s="193">
        <v>0</v>
      </c>
      <c r="G45" s="193">
        <v>0</v>
      </c>
      <c r="H45" s="194">
        <v>0</v>
      </c>
      <c r="I45" s="195">
        <v>0</v>
      </c>
      <c r="J45" s="193">
        <v>0</v>
      </c>
      <c r="K45" s="193">
        <v>0</v>
      </c>
      <c r="L45" s="194">
        <v>0</v>
      </c>
      <c r="M45" s="195">
        <v>0</v>
      </c>
      <c r="N45" s="193">
        <v>0</v>
      </c>
      <c r="O45" s="193">
        <v>0</v>
      </c>
      <c r="P45" s="194">
        <v>0</v>
      </c>
      <c r="Q45" s="195">
        <v>0</v>
      </c>
      <c r="R45" s="193">
        <v>0</v>
      </c>
      <c r="S45" s="193">
        <v>0</v>
      </c>
      <c r="T45" s="194">
        <v>0</v>
      </c>
      <c r="U45" s="195">
        <v>0</v>
      </c>
      <c r="V45" s="193">
        <v>0</v>
      </c>
      <c r="W45" s="193"/>
      <c r="X45" s="193"/>
      <c r="Y45" s="195"/>
      <c r="Z45" s="193"/>
      <c r="AA45" s="193"/>
      <c r="AB45" s="193"/>
      <c r="AC45" s="195"/>
      <c r="AD45" s="193"/>
      <c r="AE45" s="193"/>
      <c r="AF45" s="193"/>
      <c r="AG45" s="195"/>
      <c r="AH45" s="193"/>
      <c r="AI45" s="193"/>
      <c r="AJ45" s="193"/>
      <c r="AK45" s="195"/>
    </row>
    <row r="46" spans="2:37">
      <c r="B46" s="201" t="s">
        <v>441</v>
      </c>
      <c r="C46" s="193">
        <v>2321</v>
      </c>
      <c r="D46" s="194">
        <v>1519</v>
      </c>
      <c r="E46" s="195">
        <v>3986</v>
      </c>
      <c r="F46" s="193">
        <v>0</v>
      </c>
      <c r="G46" s="193">
        <v>0</v>
      </c>
      <c r="H46" s="194">
        <v>0</v>
      </c>
      <c r="I46" s="195">
        <v>0</v>
      </c>
      <c r="J46" s="193">
        <v>0</v>
      </c>
      <c r="K46" s="193">
        <v>0</v>
      </c>
      <c r="L46" s="194">
        <v>0</v>
      </c>
      <c r="M46" s="195">
        <v>0</v>
      </c>
      <c r="N46" s="193">
        <v>0</v>
      </c>
      <c r="O46" s="193">
        <v>0</v>
      </c>
      <c r="P46" s="194">
        <v>0</v>
      </c>
      <c r="Q46" s="195">
        <v>0</v>
      </c>
      <c r="R46" s="193">
        <v>0</v>
      </c>
      <c r="S46" s="193">
        <v>0</v>
      </c>
      <c r="T46" s="194">
        <v>0</v>
      </c>
      <c r="U46" s="195">
        <v>0</v>
      </c>
      <c r="V46" s="193">
        <v>0</v>
      </c>
      <c r="W46" s="193"/>
      <c r="X46" s="193"/>
      <c r="Y46" s="195"/>
      <c r="Z46" s="193"/>
      <c r="AA46" s="193"/>
      <c r="AB46" s="193"/>
      <c r="AC46" s="195"/>
      <c r="AD46" s="193"/>
      <c r="AE46" s="193"/>
      <c r="AF46" s="193"/>
      <c r="AG46" s="195"/>
      <c r="AH46" s="193"/>
      <c r="AI46" s="193"/>
      <c r="AJ46" s="193"/>
      <c r="AK46" s="195"/>
    </row>
    <row r="47" spans="2:37">
      <c r="B47" s="201" t="s">
        <v>442</v>
      </c>
      <c r="C47" s="193">
        <v>0</v>
      </c>
      <c r="D47" s="194">
        <v>0</v>
      </c>
      <c r="E47" s="195">
        <v>12786</v>
      </c>
      <c r="F47" s="193">
        <v>0</v>
      </c>
      <c r="G47" s="193">
        <v>0</v>
      </c>
      <c r="H47" s="194">
        <v>0</v>
      </c>
      <c r="I47" s="195">
        <v>0</v>
      </c>
      <c r="J47" s="193">
        <v>0</v>
      </c>
      <c r="K47" s="193">
        <v>0</v>
      </c>
      <c r="L47" s="194">
        <v>0</v>
      </c>
      <c r="M47" s="195">
        <v>0</v>
      </c>
      <c r="N47" s="193">
        <v>0</v>
      </c>
      <c r="O47" s="193">
        <v>0</v>
      </c>
      <c r="P47" s="194">
        <v>0</v>
      </c>
      <c r="Q47" s="195">
        <v>0</v>
      </c>
      <c r="R47" s="193">
        <v>0</v>
      </c>
      <c r="S47" s="193">
        <v>0</v>
      </c>
      <c r="T47" s="194">
        <v>0</v>
      </c>
      <c r="U47" s="195">
        <v>0</v>
      </c>
      <c r="V47" s="193">
        <v>0</v>
      </c>
      <c r="W47" s="193"/>
      <c r="X47" s="193"/>
      <c r="Y47" s="195"/>
      <c r="Z47" s="193"/>
      <c r="AA47" s="193"/>
      <c r="AB47" s="193"/>
      <c r="AC47" s="195"/>
      <c r="AD47" s="193"/>
      <c r="AE47" s="193"/>
      <c r="AF47" s="193"/>
      <c r="AG47" s="195"/>
      <c r="AH47" s="193"/>
      <c r="AI47" s="193"/>
      <c r="AJ47" s="193"/>
      <c r="AK47" s="195"/>
    </row>
    <row r="48" spans="2:37">
      <c r="B48" s="201"/>
      <c r="C48" s="240">
        <f>SUM(C13:C47)</f>
        <v>898972.19253269164</v>
      </c>
      <c r="D48" s="241">
        <f>SUM(D13:D47)</f>
        <v>397710</v>
      </c>
      <c r="E48" s="242">
        <f>SUM(E13:E47)</f>
        <v>1218172</v>
      </c>
      <c r="F48" s="240">
        <f t="shared" ref="F48" si="0">SUM(F13:F44)</f>
        <v>784113.99837811291</v>
      </c>
      <c r="G48" s="240">
        <f t="shared" ref="G48" si="1">SUM(G13:G44)</f>
        <v>520405.56696317974</v>
      </c>
      <c r="H48" s="241">
        <f t="shared" ref="H48:M48" si="2">SUM(H13:H44)</f>
        <v>298708</v>
      </c>
      <c r="I48" s="242">
        <f t="shared" si="2"/>
        <v>1473919</v>
      </c>
      <c r="J48" s="240">
        <f t="shared" si="2"/>
        <v>1363751</v>
      </c>
      <c r="K48" s="240">
        <f t="shared" si="2"/>
        <v>990628.00000000023</v>
      </c>
      <c r="L48" s="241">
        <f t="shared" si="2"/>
        <v>540815</v>
      </c>
      <c r="M48" s="242">
        <f t="shared" si="2"/>
        <v>2666546</v>
      </c>
      <c r="N48" s="240">
        <f>SUM(N13:N40)</f>
        <v>2237092</v>
      </c>
      <c r="O48" s="240">
        <f>SUM(O13:O40)</f>
        <v>1830655</v>
      </c>
      <c r="P48" s="241">
        <f t="shared" ref="P48" si="3">SUM(P13:P40)</f>
        <v>885718</v>
      </c>
      <c r="Q48" s="242">
        <v>2849753</v>
      </c>
      <c r="R48" s="240">
        <f>SUM(R13:R40)</f>
        <v>1650892</v>
      </c>
      <c r="S48" s="240">
        <f>SUM(S13:S40)</f>
        <v>1086681</v>
      </c>
      <c r="T48" s="241">
        <f t="shared" ref="T48" si="4">SUM(T13:T40)</f>
        <v>599205</v>
      </c>
      <c r="U48" s="242">
        <v>1079099</v>
      </c>
      <c r="V48" s="240">
        <f t="shared" ref="V48:W48" si="5">SUM(V13:V39)</f>
        <v>546893</v>
      </c>
      <c r="W48" s="240">
        <f t="shared" si="5"/>
        <v>206607</v>
      </c>
      <c r="X48" s="240">
        <f t="shared" ref="X48" si="6">SUM(X13:X39)</f>
        <v>117558</v>
      </c>
      <c r="Y48" s="243">
        <f t="shared" ref="Y48" si="7">SUM(Y13:Y39)</f>
        <v>452160</v>
      </c>
      <c r="Z48" s="240">
        <f t="shared" ref="Z48" si="8">SUM(Z13:Z39)</f>
        <v>334236</v>
      </c>
      <c r="AA48" s="240">
        <f t="shared" ref="AA48:AE48" si="9">SUM(AA13:AA39)</f>
        <v>239121</v>
      </c>
      <c r="AB48" s="240">
        <f t="shared" si="9"/>
        <v>144405</v>
      </c>
      <c r="AC48" s="243">
        <f t="shared" si="9"/>
        <v>960672</v>
      </c>
      <c r="AD48" s="244">
        <f t="shared" si="9"/>
        <v>811377</v>
      </c>
      <c r="AE48" s="244">
        <f t="shared" si="9"/>
        <v>519291</v>
      </c>
      <c r="AF48" s="244">
        <v>273184</v>
      </c>
      <c r="AG48" s="243">
        <v>612207</v>
      </c>
      <c r="AH48" s="244">
        <v>475395</v>
      </c>
      <c r="AI48" s="244">
        <v>305744</v>
      </c>
      <c r="AJ48" s="244">
        <v>138216</v>
      </c>
      <c r="AK48" s="243">
        <v>309344</v>
      </c>
    </row>
    <row r="49" spans="1:38" ht="15.75" thickBot="1">
      <c r="A49" s="196"/>
      <c r="B49" s="245"/>
      <c r="C49" s="198"/>
      <c r="D49" s="199"/>
      <c r="E49" s="200"/>
      <c r="F49" s="198"/>
      <c r="G49" s="198"/>
      <c r="H49" s="199"/>
      <c r="I49" s="200"/>
      <c r="J49" s="198"/>
      <c r="K49" s="198"/>
      <c r="L49" s="199"/>
      <c r="M49" s="200"/>
      <c r="N49" s="198"/>
      <c r="O49" s="198"/>
      <c r="P49" s="199"/>
      <c r="Q49" s="200"/>
      <c r="R49" s="198"/>
      <c r="S49" s="198"/>
      <c r="T49" s="199"/>
      <c r="U49" s="200"/>
      <c r="V49" s="198"/>
      <c r="W49" s="198"/>
      <c r="X49" s="198"/>
      <c r="Y49" s="200"/>
      <c r="Z49" s="198"/>
      <c r="AA49" s="198"/>
      <c r="AB49" s="198"/>
      <c r="AC49" s="200"/>
      <c r="AD49" s="198"/>
      <c r="AE49" s="198"/>
      <c r="AF49" s="198"/>
      <c r="AG49" s="200"/>
      <c r="AH49" s="198"/>
      <c r="AI49" s="198"/>
      <c r="AJ49" s="198"/>
      <c r="AK49" s="200"/>
    </row>
    <row r="50" spans="1:38" ht="15" thickTop="1">
      <c r="B50" s="202" t="s">
        <v>203</v>
      </c>
      <c r="C50" s="193">
        <v>29130</v>
      </c>
      <c r="D50" s="194">
        <v>7468</v>
      </c>
      <c r="E50" s="195">
        <v>-247948</v>
      </c>
      <c r="F50" s="193">
        <v>-230253</v>
      </c>
      <c r="G50" s="193">
        <v>-177152</v>
      </c>
      <c r="H50" s="194">
        <v>-172374</v>
      </c>
      <c r="I50" s="195">
        <v>202044</v>
      </c>
      <c r="J50" s="193">
        <v>67782</v>
      </c>
      <c r="K50" s="193">
        <v>64390</v>
      </c>
      <c r="L50" s="194">
        <v>-42726</v>
      </c>
      <c r="M50" s="195">
        <v>130454</v>
      </c>
      <c r="N50" s="193">
        <v>16131</v>
      </c>
      <c r="O50" s="193">
        <v>-124518</v>
      </c>
      <c r="P50" s="194">
        <v>-76843</v>
      </c>
      <c r="Q50" s="195">
        <v>-143423</v>
      </c>
      <c r="R50" s="193">
        <v>-254953</v>
      </c>
      <c r="S50" s="193">
        <v>-49645.083569999995</v>
      </c>
      <c r="T50" s="194">
        <v>-109108</v>
      </c>
      <c r="U50" s="195">
        <v>-150716</v>
      </c>
      <c r="V50" s="193">
        <v>-132478</v>
      </c>
      <c r="W50" s="193">
        <v>22414</v>
      </c>
      <c r="X50" s="193">
        <v>-56042</v>
      </c>
      <c r="Y50" s="195">
        <v>81544</v>
      </c>
      <c r="Z50" s="193">
        <v>32353</v>
      </c>
      <c r="AA50" s="193">
        <v>32473</v>
      </c>
      <c r="AB50" s="193">
        <v>73216</v>
      </c>
      <c r="AC50" s="195">
        <v>-2103</v>
      </c>
      <c r="AD50" s="193">
        <v>-97987</v>
      </c>
      <c r="AE50" s="193">
        <v>-152446</v>
      </c>
      <c r="AF50" s="193">
        <v>-123637</v>
      </c>
      <c r="AG50" s="195">
        <v>-104707</v>
      </c>
      <c r="AH50" s="193">
        <v>-160401</v>
      </c>
      <c r="AI50" s="193">
        <v>-69601</v>
      </c>
      <c r="AJ50" s="193">
        <v>-100113</v>
      </c>
      <c r="AK50" s="195">
        <v>3466</v>
      </c>
    </row>
    <row r="51" spans="1:38">
      <c r="B51" s="202" t="s">
        <v>256</v>
      </c>
      <c r="C51" s="193">
        <v>24964</v>
      </c>
      <c r="D51" s="194">
        <v>-2503</v>
      </c>
      <c r="E51" s="195">
        <v>14198</v>
      </c>
      <c r="F51" s="193">
        <v>-5302</v>
      </c>
      <c r="G51" s="193">
        <v>-42865</v>
      </c>
      <c r="H51" s="194">
        <v>-52913</v>
      </c>
      <c r="I51" s="195">
        <v>83114</v>
      </c>
      <c r="J51" s="193">
        <v>67266</v>
      </c>
      <c r="K51" s="193">
        <v>54789</v>
      </c>
      <c r="L51" s="194">
        <v>18872</v>
      </c>
      <c r="M51" s="195">
        <v>116726</v>
      </c>
      <c r="N51" s="193">
        <v>75556</v>
      </c>
      <c r="O51" s="193">
        <v>43102</v>
      </c>
      <c r="P51" s="194">
        <v>46185</v>
      </c>
      <c r="Q51" s="195">
        <v>80688</v>
      </c>
      <c r="R51" s="193">
        <v>-24911</v>
      </c>
      <c r="S51" s="193">
        <v>-77095</v>
      </c>
      <c r="T51" s="194">
        <v>17110</v>
      </c>
      <c r="U51" s="195">
        <v>24727</v>
      </c>
      <c r="V51" s="193">
        <v>24524</v>
      </c>
      <c r="W51" s="193">
        <v>14801</v>
      </c>
      <c r="X51" s="193">
        <v>12849</v>
      </c>
      <c r="Y51" s="195">
        <v>25410</v>
      </c>
      <c r="Z51" s="193">
        <v>18482</v>
      </c>
      <c r="AA51" s="193">
        <v>10631</v>
      </c>
      <c r="AB51" s="193">
        <v>8034</v>
      </c>
      <c r="AC51" s="195">
        <v>32363</v>
      </c>
      <c r="AD51" s="193">
        <v>-5688</v>
      </c>
      <c r="AE51" s="193">
        <v>5011</v>
      </c>
      <c r="AF51" s="193">
        <v>586</v>
      </c>
      <c r="AG51" s="195">
        <v>-4700</v>
      </c>
      <c r="AH51" s="193">
        <v>10680</v>
      </c>
      <c r="AI51" s="193">
        <v>10629</v>
      </c>
      <c r="AJ51" s="193">
        <v>14590</v>
      </c>
      <c r="AK51" s="195">
        <v>2474</v>
      </c>
    </row>
    <row r="52" spans="1:38">
      <c r="B52" s="202" t="s">
        <v>205</v>
      </c>
      <c r="C52" s="193">
        <v>-43828</v>
      </c>
      <c r="D52" s="194">
        <v>-32869</v>
      </c>
      <c r="E52" s="195">
        <v>-172509</v>
      </c>
      <c r="F52" s="193">
        <v>-135839</v>
      </c>
      <c r="G52" s="193">
        <v>-179272</v>
      </c>
      <c r="H52" s="194">
        <v>-91621</v>
      </c>
      <c r="I52" s="195">
        <v>161934</v>
      </c>
      <c r="J52" s="193">
        <v>110021</v>
      </c>
      <c r="K52" s="193">
        <v>72103</v>
      </c>
      <c r="L52" s="194">
        <v>64547</v>
      </c>
      <c r="M52" s="195">
        <v>-4993</v>
      </c>
      <c r="N52" s="193">
        <v>-60756</v>
      </c>
      <c r="O52" s="193">
        <v>-60701</v>
      </c>
      <c r="P52" s="194">
        <v>11172</v>
      </c>
      <c r="Q52" s="195">
        <v>-241183</v>
      </c>
      <c r="R52" s="193">
        <v>-195000</v>
      </c>
      <c r="S52" s="193">
        <v>-207435</v>
      </c>
      <c r="T52" s="194">
        <v>-227481</v>
      </c>
      <c r="U52" s="195">
        <v>2843</v>
      </c>
      <c r="V52" s="193">
        <v>-23288</v>
      </c>
      <c r="W52" s="193">
        <v>-87762</v>
      </c>
      <c r="X52" s="193">
        <v>-49830</v>
      </c>
      <c r="Y52" s="195">
        <v>-18122</v>
      </c>
      <c r="Z52" s="193">
        <v>-12521</v>
      </c>
      <c r="AA52" s="193">
        <v>4658</v>
      </c>
      <c r="AB52" s="193">
        <v>16651</v>
      </c>
      <c r="AC52" s="195">
        <v>-13986</v>
      </c>
      <c r="AD52" s="193">
        <v>-12405</v>
      </c>
      <c r="AE52" s="193">
        <v>-31639</v>
      </c>
      <c r="AF52" s="193">
        <v>752</v>
      </c>
      <c r="AG52" s="195">
        <v>17220</v>
      </c>
      <c r="AH52" s="193">
        <v>7012</v>
      </c>
      <c r="AI52" s="193">
        <v>-49209</v>
      </c>
      <c r="AJ52" s="193">
        <v>9157</v>
      </c>
      <c r="AK52" s="195">
        <v>-6508</v>
      </c>
    </row>
    <row r="53" spans="1:38">
      <c r="B53" s="201" t="s">
        <v>257</v>
      </c>
      <c r="C53" s="193">
        <v>-36603</v>
      </c>
      <c r="D53" s="194">
        <v>-63153</v>
      </c>
      <c r="E53" s="195">
        <v>-20530</v>
      </c>
      <c r="F53" s="193">
        <v>-64741</v>
      </c>
      <c r="G53" s="193">
        <v>-77568</v>
      </c>
      <c r="H53" s="194">
        <v>-55843</v>
      </c>
      <c r="I53" s="195">
        <v>2437</v>
      </c>
      <c r="J53" s="193">
        <v>-15816</v>
      </c>
      <c r="K53" s="193">
        <v>-29376</v>
      </c>
      <c r="L53" s="194">
        <v>-28477</v>
      </c>
      <c r="M53" s="195">
        <v>19758</v>
      </c>
      <c r="N53" s="193">
        <v>16001</v>
      </c>
      <c r="O53" s="193">
        <v>-14654</v>
      </c>
      <c r="P53" s="194">
        <v>-18455</v>
      </c>
      <c r="Q53" s="195">
        <v>-52469</v>
      </c>
      <c r="R53" s="193">
        <v>-4918.5211199999994</v>
      </c>
      <c r="S53" s="193">
        <v>-36824.947809999998</v>
      </c>
      <c r="T53" s="194">
        <v>-40593.706189999997</v>
      </c>
      <c r="U53" s="195">
        <v>34414</v>
      </c>
      <c r="V53" s="193">
        <v>27018</v>
      </c>
      <c r="W53" s="193">
        <v>42245</v>
      </c>
      <c r="X53" s="193">
        <v>-20803</v>
      </c>
      <c r="Y53" s="195">
        <v>-30154</v>
      </c>
      <c r="Z53" s="193">
        <v>-23907</v>
      </c>
      <c r="AA53" s="193">
        <v>24780</v>
      </c>
      <c r="AB53" s="193">
        <v>26007</v>
      </c>
      <c r="AC53" s="195">
        <v>55552</v>
      </c>
      <c r="AD53" s="193">
        <v>66818</v>
      </c>
      <c r="AE53" s="193">
        <v>45072</v>
      </c>
      <c r="AF53" s="193">
        <v>40039</v>
      </c>
      <c r="AG53" s="195">
        <v>7832</v>
      </c>
      <c r="AH53" s="193">
        <v>4357</v>
      </c>
      <c r="AI53" s="193">
        <v>-29183</v>
      </c>
      <c r="AJ53" s="193">
        <v>66375</v>
      </c>
      <c r="AK53" s="195">
        <v>-8626</v>
      </c>
    </row>
    <row r="54" spans="1:38">
      <c r="B54" s="201" t="s">
        <v>216</v>
      </c>
      <c r="C54" s="193">
        <v>-80689</v>
      </c>
      <c r="D54" s="194">
        <v>-44492</v>
      </c>
      <c r="E54" s="195">
        <v>98065</v>
      </c>
      <c r="F54" s="193">
        <v>33460</v>
      </c>
      <c r="G54" s="193">
        <v>23622</v>
      </c>
      <c r="H54" s="194">
        <v>24610</v>
      </c>
      <c r="I54" s="195">
        <v>-41979</v>
      </c>
      <c r="J54" s="193">
        <v>-28892</v>
      </c>
      <c r="K54" s="193">
        <v>-52511</v>
      </c>
      <c r="L54" s="194">
        <v>-9063</v>
      </c>
      <c r="M54" s="195">
        <v>-63467</v>
      </c>
      <c r="N54" s="193">
        <v>-67393</v>
      </c>
      <c r="O54" s="193">
        <v>-79501</v>
      </c>
      <c r="P54" s="194">
        <v>-93444</v>
      </c>
      <c r="Q54" s="195">
        <v>137197</v>
      </c>
      <c r="R54" s="193">
        <v>55990</v>
      </c>
      <c r="S54" s="193">
        <v>34664.083569999995</v>
      </c>
      <c r="T54" s="194">
        <v>73355.299530000004</v>
      </c>
      <c r="U54" s="195">
        <v>30760</v>
      </c>
      <c r="V54" s="193">
        <v>41620</v>
      </c>
      <c r="W54" s="193">
        <v>29128</v>
      </c>
      <c r="X54" s="193">
        <v>-38928</v>
      </c>
      <c r="Y54" s="195">
        <v>-37827</v>
      </c>
      <c r="Z54" s="193">
        <v>-90456</v>
      </c>
      <c r="AA54" s="193">
        <v>-95820</v>
      </c>
      <c r="AB54" s="193">
        <v>-81551</v>
      </c>
      <c r="AC54" s="195">
        <v>-41158</v>
      </c>
      <c r="AD54" s="193">
        <v>-119177</v>
      </c>
      <c r="AE54" s="193">
        <v>-67492</v>
      </c>
      <c r="AF54" s="193">
        <v>-46613</v>
      </c>
      <c r="AG54" s="195">
        <v>-62716</v>
      </c>
      <c r="AH54" s="193">
        <v>-86718</v>
      </c>
      <c r="AI54" s="193">
        <v>-24399</v>
      </c>
      <c r="AJ54" s="193">
        <v>-66177</v>
      </c>
      <c r="AK54" s="195">
        <v>11753</v>
      </c>
    </row>
    <row r="55" spans="1:38">
      <c r="B55" s="201" t="s">
        <v>218</v>
      </c>
      <c r="C55" s="193">
        <v>-46337</v>
      </c>
      <c r="D55" s="194">
        <v>-61074</v>
      </c>
      <c r="E55" s="195">
        <v>38974</v>
      </c>
      <c r="F55" s="193">
        <v>10626</v>
      </c>
      <c r="G55" s="193">
        <v>-1699</v>
      </c>
      <c r="H55" s="194">
        <v>-26035</v>
      </c>
      <c r="I55" s="195">
        <v>-62530</v>
      </c>
      <c r="J55" s="193">
        <v>-48753</v>
      </c>
      <c r="K55" s="193">
        <v>-62791</v>
      </c>
      <c r="L55" s="194">
        <v>-80435</v>
      </c>
      <c r="M55" s="195">
        <v>28344</v>
      </c>
      <c r="N55" s="193">
        <v>-1375</v>
      </c>
      <c r="O55" s="193">
        <v>-30096</v>
      </c>
      <c r="P55" s="194">
        <v>-62859</v>
      </c>
      <c r="Q55" s="195">
        <v>43438</v>
      </c>
      <c r="R55" s="193">
        <v>5399</v>
      </c>
      <c r="S55" s="193">
        <v>-18057</v>
      </c>
      <c r="T55" s="194">
        <v>-47339</v>
      </c>
      <c r="U55" s="195">
        <v>57095</v>
      </c>
      <c r="V55" s="193">
        <v>42429</v>
      </c>
      <c r="W55" s="193">
        <v>28524</v>
      </c>
      <c r="X55" s="193">
        <v>13469</v>
      </c>
      <c r="Y55" s="195">
        <v>-24963</v>
      </c>
      <c r="Z55" s="193">
        <v>-25814</v>
      </c>
      <c r="AA55" s="193">
        <v>-29181</v>
      </c>
      <c r="AB55" s="193">
        <v>-3474</v>
      </c>
      <c r="AC55" s="195">
        <v>-4571</v>
      </c>
      <c r="AD55" s="193">
        <v>-20739</v>
      </c>
      <c r="AE55" s="193">
        <v>-22397</v>
      </c>
      <c r="AF55" s="193">
        <v>1951</v>
      </c>
      <c r="AG55" s="195">
        <v>4263</v>
      </c>
      <c r="AH55" s="193">
        <v>-6418</v>
      </c>
      <c r="AI55" s="193">
        <v>-18338</v>
      </c>
      <c r="AJ55" s="193">
        <v>-7691</v>
      </c>
      <c r="AK55" s="195">
        <v>1996</v>
      </c>
    </row>
    <row r="56" spans="1:38">
      <c r="B56" s="201" t="s">
        <v>258</v>
      </c>
      <c r="C56" s="193">
        <v>-15725</v>
      </c>
      <c r="D56" s="194">
        <v>4096</v>
      </c>
      <c r="E56" s="195">
        <v>-17464</v>
      </c>
      <c r="F56" s="193">
        <v>-9583</v>
      </c>
      <c r="G56" s="193">
        <v>-12850</v>
      </c>
      <c r="H56" s="194">
        <v>10726</v>
      </c>
      <c r="I56" s="195">
        <v>-39474</v>
      </c>
      <c r="J56" s="193">
        <v>-29875</v>
      </c>
      <c r="K56" s="193">
        <v>-31172</v>
      </c>
      <c r="L56" s="194">
        <v>6937</v>
      </c>
      <c r="M56" s="195">
        <v>-19328</v>
      </c>
      <c r="N56" s="193">
        <v>-22147</v>
      </c>
      <c r="O56" s="193">
        <v>-13596</v>
      </c>
      <c r="P56" s="194">
        <v>36855</v>
      </c>
      <c r="Q56" s="195">
        <v>-16637</v>
      </c>
      <c r="R56" s="193">
        <v>23522</v>
      </c>
      <c r="S56" s="193">
        <v>-37086</v>
      </c>
      <c r="T56" s="194">
        <v>-8461</v>
      </c>
      <c r="U56" s="195">
        <v>111501</v>
      </c>
      <c r="V56" s="193">
        <v>114304</v>
      </c>
      <c r="W56" s="193">
        <v>63064</v>
      </c>
      <c r="X56" s="193">
        <v>4234</v>
      </c>
      <c r="Y56" s="195">
        <v>-20585</v>
      </c>
      <c r="Z56" s="193">
        <v>-24702</v>
      </c>
      <c r="AA56" s="193">
        <v>-10220</v>
      </c>
      <c r="AB56" s="193">
        <v>3015</v>
      </c>
      <c r="AC56" s="195">
        <v>-1858</v>
      </c>
      <c r="AD56" s="193">
        <v>10760</v>
      </c>
      <c r="AE56" s="193">
        <v>30347</v>
      </c>
      <c r="AF56" s="193">
        <v>23557</v>
      </c>
      <c r="AG56" s="195">
        <v>-1964</v>
      </c>
      <c r="AH56" s="193">
        <v>8751</v>
      </c>
      <c r="AI56" s="193">
        <v>-251</v>
      </c>
      <c r="AJ56" s="193">
        <v>5645</v>
      </c>
      <c r="AK56" s="195">
        <v>-1888</v>
      </c>
    </row>
    <row r="57" spans="1:38">
      <c r="B57" s="201" t="s">
        <v>219</v>
      </c>
      <c r="C57" s="193">
        <v>-44826</v>
      </c>
      <c r="D57" s="194">
        <v>-20688</v>
      </c>
      <c r="E57" s="195">
        <v>-36321</v>
      </c>
      <c r="F57" s="193">
        <v>-24016</v>
      </c>
      <c r="G57" s="193">
        <v>-10734</v>
      </c>
      <c r="H57" s="194">
        <v>-7207</v>
      </c>
      <c r="I57" s="195">
        <v>-196203</v>
      </c>
      <c r="J57" s="193">
        <v>-126562</v>
      </c>
      <c r="K57" s="193">
        <v>-79318</v>
      </c>
      <c r="L57" s="194">
        <v>-18510</v>
      </c>
      <c r="M57" s="195">
        <v>-339394</v>
      </c>
      <c r="N57" s="193">
        <v>-237248</v>
      </c>
      <c r="O57" s="193">
        <v>-203567</v>
      </c>
      <c r="P57" s="194">
        <v>-109093</v>
      </c>
      <c r="Q57" s="195">
        <v>-122871</v>
      </c>
      <c r="R57" s="193">
        <v>-44480</v>
      </c>
      <c r="S57" s="193">
        <v>-53618</v>
      </c>
      <c r="T57" s="194">
        <v>-12802</v>
      </c>
      <c r="U57" s="195">
        <v>-50906</v>
      </c>
      <c r="V57" s="193">
        <v>74475</v>
      </c>
      <c r="W57" s="193">
        <v>41458</v>
      </c>
      <c r="X57" s="193">
        <v>28340</v>
      </c>
      <c r="Y57" s="195">
        <v>123699</v>
      </c>
      <c r="Z57" s="193">
        <v>107157</v>
      </c>
      <c r="AA57" s="193">
        <v>80224</v>
      </c>
      <c r="AB57" s="193">
        <v>32895</v>
      </c>
      <c r="AC57" s="195">
        <v>96048</v>
      </c>
      <c r="AD57" s="193">
        <v>108920</v>
      </c>
      <c r="AE57" s="193">
        <v>82879</v>
      </c>
      <c r="AF57" s="193">
        <v>50286</v>
      </c>
      <c r="AG57" s="195">
        <v>60026</v>
      </c>
      <c r="AH57" s="193">
        <v>45231</v>
      </c>
      <c r="AI57" s="193">
        <v>36984</v>
      </c>
      <c r="AJ57" s="193">
        <v>16049</v>
      </c>
      <c r="AK57" s="195">
        <v>37219</v>
      </c>
    </row>
    <row r="58" spans="1:38">
      <c r="B58" s="201" t="s">
        <v>259</v>
      </c>
      <c r="C58" s="193">
        <v>-1766</v>
      </c>
      <c r="D58" s="194">
        <v>-1758</v>
      </c>
      <c r="E58" s="195">
        <v>6586</v>
      </c>
      <c r="F58" s="193">
        <v>5844</v>
      </c>
      <c r="G58" s="193">
        <v>4494</v>
      </c>
      <c r="H58" s="194">
        <v>2150</v>
      </c>
      <c r="I58" s="195">
        <v>-8419</v>
      </c>
      <c r="J58" s="193">
        <v>3343</v>
      </c>
      <c r="K58" s="193">
        <v>3459</v>
      </c>
      <c r="L58" s="194">
        <v>9</v>
      </c>
      <c r="M58" s="195">
        <v>18809</v>
      </c>
      <c r="N58" s="193">
        <v>218</v>
      </c>
      <c r="O58" s="193">
        <v>-170</v>
      </c>
      <c r="P58" s="194">
        <v>-468</v>
      </c>
      <c r="Q58" s="195">
        <v>3853</v>
      </c>
      <c r="R58" s="193">
        <v>1879</v>
      </c>
      <c r="S58" s="193">
        <v>845</v>
      </c>
      <c r="T58" s="194">
        <v>956</v>
      </c>
      <c r="U58" s="195">
        <v>-142</v>
      </c>
      <c r="V58" s="193">
        <v>2554</v>
      </c>
      <c r="W58" s="193">
        <v>1924</v>
      </c>
      <c r="X58" s="193">
        <v>1209</v>
      </c>
      <c r="Y58" s="195">
        <v>-5386</v>
      </c>
      <c r="Z58" s="193">
        <v>-252</v>
      </c>
      <c r="AA58" s="193">
        <v>811</v>
      </c>
      <c r="AB58" s="193">
        <v>747</v>
      </c>
      <c r="AC58" s="195">
        <v>-6635</v>
      </c>
      <c r="AD58" s="193">
        <v>-4738</v>
      </c>
      <c r="AE58" s="193">
        <v>-3027</v>
      </c>
      <c r="AF58" s="193">
        <v>-98</v>
      </c>
      <c r="AG58" s="195">
        <v>-478</v>
      </c>
      <c r="AH58" s="193">
        <v>-914</v>
      </c>
      <c r="AI58" s="193">
        <v>-311</v>
      </c>
      <c r="AJ58" s="193">
        <v>-1181</v>
      </c>
      <c r="AK58" s="195">
        <v>1894</v>
      </c>
    </row>
    <row r="59" spans="1:38">
      <c r="B59" s="201" t="s">
        <v>260</v>
      </c>
      <c r="C59" s="193">
        <v>-728.10684760782533</v>
      </c>
      <c r="D59" s="179">
        <v>-26419.106847607825</v>
      </c>
      <c r="E59" s="195">
        <v>-50391</v>
      </c>
      <c r="F59" s="193">
        <v>13514</v>
      </c>
      <c r="G59" s="179">
        <v>37125</v>
      </c>
      <c r="H59" s="439">
        <v>-4417</v>
      </c>
      <c r="I59" s="195">
        <v>-31544</v>
      </c>
      <c r="J59" s="193">
        <v>-8458</v>
      </c>
      <c r="K59" s="193">
        <v>-8729</v>
      </c>
      <c r="L59" s="179">
        <v>-11179</v>
      </c>
      <c r="M59" s="195">
        <v>-42374</v>
      </c>
      <c r="N59" s="193">
        <v>-27843</v>
      </c>
      <c r="O59" s="193">
        <v>-8303</v>
      </c>
      <c r="P59" s="179">
        <v>-14189</v>
      </c>
      <c r="Q59" s="195">
        <v>54714</v>
      </c>
      <c r="R59" s="193">
        <v>24520.521120000001</v>
      </c>
      <c r="S59" s="193">
        <v>-9618.0521899999985</v>
      </c>
      <c r="T59" s="194">
        <v>-3120.2938100000001</v>
      </c>
      <c r="U59" s="195">
        <v>8111</v>
      </c>
      <c r="V59" s="193">
        <v>25028</v>
      </c>
      <c r="W59" s="193">
        <v>24928</v>
      </c>
      <c r="X59" s="193">
        <v>15154</v>
      </c>
      <c r="Y59" s="195">
        <v>25370</v>
      </c>
      <c r="Z59" s="193">
        <v>41663</v>
      </c>
      <c r="AA59" s="193">
        <v>-2449</v>
      </c>
      <c r="AB59" s="193">
        <v>1412</v>
      </c>
      <c r="AC59" s="195">
        <v>-91791</v>
      </c>
      <c r="AD59" s="193">
        <v>-52928</v>
      </c>
      <c r="AE59" s="193">
        <v>-14559</v>
      </c>
      <c r="AF59" s="193">
        <v>-14503</v>
      </c>
      <c r="AG59" s="195">
        <v>-37420</v>
      </c>
      <c r="AH59" s="193">
        <v>-45693</v>
      </c>
      <c r="AI59" s="193">
        <v>-35062</v>
      </c>
      <c r="AJ59" s="193">
        <v>-6891</v>
      </c>
      <c r="AK59" s="195">
        <v>-149</v>
      </c>
    </row>
    <row r="60" spans="1:38">
      <c r="B60" s="201"/>
      <c r="C60" s="240">
        <f t="shared" ref="C60" si="10">SUM(C50:C59)</f>
        <v>-216408.10684760782</v>
      </c>
      <c r="D60" s="241">
        <f t="shared" ref="D60" si="11">SUM(D50:D59)</f>
        <v>-241392.10684760782</v>
      </c>
      <c r="E60" s="242">
        <f t="shared" ref="E60" si="12">SUM(E50:E59)</f>
        <v>-387340</v>
      </c>
      <c r="F60" s="240">
        <f t="shared" ref="F60" si="13">SUM(F50:F59)</f>
        <v>-406290</v>
      </c>
      <c r="G60" s="240">
        <f t="shared" ref="G60" si="14">SUM(G50:G59)</f>
        <v>-436899</v>
      </c>
      <c r="H60" s="241">
        <f t="shared" ref="H60" si="15">SUM(H50:H59)</f>
        <v>-372924</v>
      </c>
      <c r="I60" s="242">
        <f t="shared" ref="I60" si="16">SUM(I50:I59)</f>
        <v>69380</v>
      </c>
      <c r="J60" s="240">
        <f t="shared" ref="J60" si="17">SUM(J50:J59)</f>
        <v>-9944</v>
      </c>
      <c r="K60" s="240">
        <f t="shared" ref="K60" si="18">SUM(K50:K59)</f>
        <v>-69156</v>
      </c>
      <c r="L60" s="241">
        <f t="shared" ref="L60:M60" si="19">SUM(L50:L59)</f>
        <v>-100025</v>
      </c>
      <c r="M60" s="242">
        <f t="shared" si="19"/>
        <v>-155465</v>
      </c>
      <c r="N60" s="240">
        <f>SUM(N50:N59)</f>
        <v>-308856</v>
      </c>
      <c r="O60" s="240">
        <f>SUM(O50:O59)</f>
        <v>-492004</v>
      </c>
      <c r="P60" s="241">
        <f>SUM(P50:P59)</f>
        <v>-281139</v>
      </c>
      <c r="Q60" s="242">
        <v>-256693</v>
      </c>
      <c r="R60" s="240">
        <f>SUM(R50:R59)</f>
        <v>-412952</v>
      </c>
      <c r="S60" s="240">
        <f>SUM(S50:S59)</f>
        <v>-453870</v>
      </c>
      <c r="T60" s="241">
        <f>SUM(T50:T59)</f>
        <v>-357483.70046999998</v>
      </c>
      <c r="U60" s="242">
        <v>67687</v>
      </c>
      <c r="V60" s="240">
        <f t="shared" ref="V60:AK60" si="20">SUM(V50:V59)</f>
        <v>196186</v>
      </c>
      <c r="W60" s="240">
        <f t="shared" si="20"/>
        <v>180724</v>
      </c>
      <c r="X60" s="240">
        <f t="shared" si="20"/>
        <v>-90348</v>
      </c>
      <c r="Y60" s="243">
        <f t="shared" si="20"/>
        <v>118986</v>
      </c>
      <c r="Z60" s="240">
        <f t="shared" si="20"/>
        <v>22003</v>
      </c>
      <c r="AA60" s="240">
        <f t="shared" si="20"/>
        <v>15907</v>
      </c>
      <c r="AB60" s="240">
        <f t="shared" si="20"/>
        <v>76952</v>
      </c>
      <c r="AC60" s="243">
        <f t="shared" si="20"/>
        <v>21861</v>
      </c>
      <c r="AD60" s="244">
        <f t="shared" si="20"/>
        <v>-127164</v>
      </c>
      <c r="AE60" s="244">
        <f t="shared" si="20"/>
        <v>-128251</v>
      </c>
      <c r="AF60" s="244">
        <f t="shared" si="20"/>
        <v>-67680</v>
      </c>
      <c r="AG60" s="243">
        <f t="shared" si="20"/>
        <v>-122644</v>
      </c>
      <c r="AH60" s="244">
        <f t="shared" si="20"/>
        <v>-224113</v>
      </c>
      <c r="AI60" s="244">
        <f t="shared" si="20"/>
        <v>-178741</v>
      </c>
      <c r="AJ60" s="244">
        <f t="shared" si="20"/>
        <v>-70237</v>
      </c>
      <c r="AK60" s="243">
        <f t="shared" si="20"/>
        <v>41631</v>
      </c>
    </row>
    <row r="61" spans="1:38">
      <c r="B61" s="201"/>
      <c r="C61" s="240"/>
      <c r="D61" s="241"/>
      <c r="E61" s="242"/>
      <c r="F61" s="240"/>
      <c r="G61" s="240"/>
      <c r="H61" s="241"/>
      <c r="I61" s="242"/>
      <c r="J61" s="240"/>
      <c r="K61" s="240"/>
      <c r="L61" s="241"/>
      <c r="M61" s="242"/>
      <c r="N61" s="240"/>
      <c r="O61" s="240"/>
      <c r="P61" s="241"/>
      <c r="Q61" s="243"/>
      <c r="R61" s="240"/>
      <c r="S61" s="240"/>
      <c r="T61" s="241"/>
      <c r="U61" s="243"/>
      <c r="V61" s="240"/>
      <c r="W61" s="240"/>
      <c r="X61" s="240"/>
      <c r="Y61" s="243"/>
      <c r="Z61" s="240"/>
      <c r="AA61" s="240"/>
      <c r="AB61" s="240"/>
      <c r="AC61" s="243"/>
      <c r="AD61" s="244"/>
      <c r="AE61" s="244"/>
      <c r="AF61" s="244"/>
      <c r="AG61" s="243"/>
      <c r="AH61" s="244"/>
      <c r="AI61" s="244"/>
      <c r="AJ61" s="244"/>
      <c r="AK61" s="243"/>
    </row>
    <row r="62" spans="1:38" ht="15.75" thickBot="1">
      <c r="A62" s="196"/>
      <c r="B62" s="197" t="s">
        <v>262</v>
      </c>
      <c r="C62" s="198">
        <f t="shared" ref="C62" si="21">C48+C60</f>
        <v>682564.08568508388</v>
      </c>
      <c r="D62" s="199">
        <f t="shared" ref="D62" si="22">D48+D60</f>
        <v>156317.89315239218</v>
      </c>
      <c r="E62" s="200">
        <f>E48+E60</f>
        <v>830832</v>
      </c>
      <c r="F62" s="198">
        <f t="shared" ref="F62" si="23">F48+F60</f>
        <v>377823.99837811291</v>
      </c>
      <c r="G62" s="198">
        <f t="shared" ref="G62" si="24">G48+G60</f>
        <v>83506.566963179735</v>
      </c>
      <c r="H62" s="199">
        <f t="shared" ref="H62" si="25">H48+H60</f>
        <v>-74216</v>
      </c>
      <c r="I62" s="200">
        <f t="shared" ref="I62" si="26">I48+I60</f>
        <v>1543299</v>
      </c>
      <c r="J62" s="198">
        <f t="shared" ref="J62" si="27">J48+J60</f>
        <v>1353807</v>
      </c>
      <c r="K62" s="198">
        <f t="shared" ref="K62" si="28">K48+K60</f>
        <v>921472.00000000023</v>
      </c>
      <c r="L62" s="199">
        <f t="shared" ref="L62:M62" si="29">L48+L60</f>
        <v>440790</v>
      </c>
      <c r="M62" s="200">
        <f t="shared" si="29"/>
        <v>2511081</v>
      </c>
      <c r="N62" s="198">
        <f>N48+N60</f>
        <v>1928236</v>
      </c>
      <c r="O62" s="198">
        <f>O48+O60</f>
        <v>1338651</v>
      </c>
      <c r="P62" s="199">
        <f>P48+P60</f>
        <v>604579</v>
      </c>
      <c r="Q62" s="200">
        <v>2593060</v>
      </c>
      <c r="R62" s="198">
        <f>R48+R60</f>
        <v>1237940</v>
      </c>
      <c r="S62" s="198">
        <f>S48+S60</f>
        <v>632811</v>
      </c>
      <c r="T62" s="199">
        <f>T48+T60</f>
        <v>241721.29953000002</v>
      </c>
      <c r="U62" s="200">
        <v>1146786</v>
      </c>
      <c r="V62" s="198">
        <f t="shared" ref="V62:AE62" si="30">V48+V60</f>
        <v>743079</v>
      </c>
      <c r="W62" s="198">
        <f t="shared" si="30"/>
        <v>387331</v>
      </c>
      <c r="X62" s="198">
        <f t="shared" si="30"/>
        <v>27210</v>
      </c>
      <c r="Y62" s="200">
        <f t="shared" si="30"/>
        <v>571146</v>
      </c>
      <c r="Z62" s="198">
        <f t="shared" si="30"/>
        <v>356239</v>
      </c>
      <c r="AA62" s="198">
        <f t="shared" si="30"/>
        <v>255028</v>
      </c>
      <c r="AB62" s="198">
        <f t="shared" si="30"/>
        <v>221357</v>
      </c>
      <c r="AC62" s="200">
        <f t="shared" si="30"/>
        <v>982533</v>
      </c>
      <c r="AD62" s="198">
        <f t="shared" si="30"/>
        <v>684213</v>
      </c>
      <c r="AE62" s="198">
        <f t="shared" si="30"/>
        <v>391040</v>
      </c>
      <c r="AF62" s="198">
        <v>205504</v>
      </c>
      <c r="AG62" s="200">
        <v>489563</v>
      </c>
      <c r="AH62" s="198">
        <v>251282</v>
      </c>
      <c r="AI62" s="198">
        <v>127003</v>
      </c>
      <c r="AJ62" s="198">
        <v>67979</v>
      </c>
      <c r="AK62" s="200">
        <v>350975</v>
      </c>
      <c r="AL62" s="246"/>
    </row>
    <row r="63" spans="1:38" ht="15" thickTop="1">
      <c r="B63" s="192" t="s">
        <v>263</v>
      </c>
      <c r="C63" s="247">
        <v>-25146</v>
      </c>
      <c r="D63" s="248">
        <v>-429</v>
      </c>
      <c r="E63" s="249">
        <v>-138105</v>
      </c>
      <c r="F63" s="247">
        <v>-113434</v>
      </c>
      <c r="G63" s="247">
        <v>-93641</v>
      </c>
      <c r="H63" s="248">
        <v>-74791</v>
      </c>
      <c r="I63" s="249">
        <v>-478175</v>
      </c>
      <c r="J63" s="247">
        <v>-436551</v>
      </c>
      <c r="K63" s="247">
        <v>-381333</v>
      </c>
      <c r="L63" s="248">
        <v>-333527</v>
      </c>
      <c r="M63" s="249">
        <v>-474754</v>
      </c>
      <c r="N63" s="247">
        <v>-456427</v>
      </c>
      <c r="O63" s="247">
        <v>-264044</v>
      </c>
      <c r="P63" s="248">
        <v>-137046</v>
      </c>
      <c r="Q63" s="249">
        <v>-303159</v>
      </c>
      <c r="R63" s="247">
        <v>-234727</v>
      </c>
      <c r="S63" s="247">
        <v>-175290</v>
      </c>
      <c r="T63" s="248">
        <v>-101970</v>
      </c>
      <c r="U63" s="249">
        <v>-78150</v>
      </c>
      <c r="V63" s="247">
        <v>-47815</v>
      </c>
      <c r="W63" s="247">
        <v>-34905</v>
      </c>
      <c r="X63" s="247">
        <v>-25565</v>
      </c>
      <c r="Y63" s="250">
        <v>-117556</v>
      </c>
      <c r="Z63" s="247">
        <v>-103195</v>
      </c>
      <c r="AA63" s="247">
        <v>-86956</v>
      </c>
      <c r="AB63" s="247">
        <v>-57908</v>
      </c>
      <c r="AC63" s="250">
        <v>-90267</v>
      </c>
      <c r="AD63" s="247">
        <v>-65089</v>
      </c>
      <c r="AE63" s="247">
        <v>-36727</v>
      </c>
      <c r="AF63" s="247">
        <v>-15555</v>
      </c>
      <c r="AG63" s="250">
        <v>-67308</v>
      </c>
      <c r="AH63" s="247">
        <v>-45682</v>
      </c>
      <c r="AI63" s="247">
        <v>-31386</v>
      </c>
      <c r="AJ63" s="247">
        <v>-11015</v>
      </c>
      <c r="AK63" s="250">
        <v>-42098</v>
      </c>
    </row>
    <row r="64" spans="1:38" ht="15.75" thickBot="1">
      <c r="A64" s="196"/>
      <c r="B64" s="197" t="s">
        <v>264</v>
      </c>
      <c r="C64" s="198">
        <f t="shared" ref="C64" si="31">C62+C63</f>
        <v>657418.08568508388</v>
      </c>
      <c r="D64" s="199">
        <f t="shared" ref="D64" si="32">D62+D63</f>
        <v>155888.89315239218</v>
      </c>
      <c r="E64" s="200">
        <f t="shared" ref="E64" si="33">E62+E63</f>
        <v>692727</v>
      </c>
      <c r="F64" s="198">
        <f t="shared" ref="F64" si="34">F62+F63</f>
        <v>264389.99837811291</v>
      </c>
      <c r="G64" s="198">
        <f t="shared" ref="G64" si="35">G62+G63</f>
        <v>-10134.433036820265</v>
      </c>
      <c r="H64" s="199">
        <f t="shared" ref="H64" si="36">H62+H63</f>
        <v>-149007</v>
      </c>
      <c r="I64" s="200">
        <f t="shared" ref="I64" si="37">I62+I63</f>
        <v>1065124</v>
      </c>
      <c r="J64" s="198">
        <f t="shared" ref="J64" si="38">J62+J63</f>
        <v>917256</v>
      </c>
      <c r="K64" s="198">
        <f t="shared" ref="K64" si="39">K62+K63</f>
        <v>540139.00000000023</v>
      </c>
      <c r="L64" s="199">
        <f t="shared" ref="L64" si="40">L62+L63</f>
        <v>107263</v>
      </c>
      <c r="M64" s="200">
        <f>M62+M63</f>
        <v>2036327</v>
      </c>
      <c r="N64" s="198">
        <f t="shared" ref="N64" si="41">N62+N63</f>
        <v>1471809</v>
      </c>
      <c r="O64" s="198">
        <f t="shared" ref="O64" si="42">O62+O63</f>
        <v>1074607</v>
      </c>
      <c r="P64" s="199">
        <f t="shared" ref="P64" si="43">P62+P63</f>
        <v>467533</v>
      </c>
      <c r="Q64" s="200">
        <v>2289901</v>
      </c>
      <c r="R64" s="198">
        <f t="shared" ref="R64:T64" si="44">R62+R63</f>
        <v>1003213</v>
      </c>
      <c r="S64" s="198">
        <f t="shared" si="44"/>
        <v>457521</v>
      </c>
      <c r="T64" s="199">
        <f t="shared" si="44"/>
        <v>139751.29953000002</v>
      </c>
      <c r="U64" s="200">
        <v>1068636</v>
      </c>
      <c r="V64" s="198">
        <f>V62+V63</f>
        <v>695264</v>
      </c>
      <c r="W64" s="198">
        <f>W62+W63</f>
        <v>352426</v>
      </c>
      <c r="X64" s="198">
        <f t="shared" ref="X64" si="45">X62+X63</f>
        <v>1645</v>
      </c>
      <c r="Y64" s="200">
        <f t="shared" ref="Y64" si="46">Y62+Y63</f>
        <v>453590</v>
      </c>
      <c r="Z64" s="198">
        <f t="shared" ref="Z64" si="47">Z62+Z63</f>
        <v>253044</v>
      </c>
      <c r="AA64" s="198">
        <f t="shared" ref="AA64:AE64" si="48">AA62+AA63</f>
        <v>168072</v>
      </c>
      <c r="AB64" s="198">
        <f t="shared" si="48"/>
        <v>163449</v>
      </c>
      <c r="AC64" s="200">
        <f t="shared" si="48"/>
        <v>892266</v>
      </c>
      <c r="AD64" s="198">
        <f t="shared" si="48"/>
        <v>619124</v>
      </c>
      <c r="AE64" s="198">
        <f t="shared" si="48"/>
        <v>354313</v>
      </c>
      <c r="AF64" s="198">
        <v>189949</v>
      </c>
      <c r="AG64" s="200">
        <v>422255</v>
      </c>
      <c r="AH64" s="198">
        <v>205600</v>
      </c>
      <c r="AI64" s="198">
        <v>95617</v>
      </c>
      <c r="AJ64" s="198">
        <v>56964</v>
      </c>
      <c r="AK64" s="200">
        <v>308877</v>
      </c>
    </row>
    <row r="65" spans="1:37" ht="16.5" thickTop="1" thickBot="1">
      <c r="A65" s="196"/>
      <c r="B65" s="197" t="s">
        <v>265</v>
      </c>
      <c r="C65" s="198"/>
      <c r="D65" s="199"/>
      <c r="E65" s="200"/>
      <c r="F65" s="198"/>
      <c r="G65" s="198"/>
      <c r="H65" s="199"/>
      <c r="I65" s="200"/>
      <c r="J65" s="198"/>
      <c r="K65" s="198"/>
      <c r="L65" s="199"/>
      <c r="M65" s="200"/>
      <c r="N65" s="198"/>
      <c r="O65" s="198"/>
      <c r="P65" s="199"/>
      <c r="Q65" s="200"/>
      <c r="R65" s="198"/>
      <c r="S65" s="198"/>
      <c r="T65" s="199"/>
      <c r="U65" s="200"/>
      <c r="V65" s="198"/>
      <c r="W65" s="198"/>
      <c r="X65" s="198"/>
      <c r="Y65" s="200"/>
      <c r="Z65" s="198"/>
      <c r="AA65" s="198"/>
      <c r="AB65" s="198"/>
      <c r="AC65" s="200"/>
      <c r="AD65" s="198"/>
      <c r="AE65" s="198"/>
      <c r="AF65" s="198"/>
      <c r="AG65" s="200"/>
      <c r="AH65" s="198"/>
      <c r="AI65" s="198"/>
      <c r="AJ65" s="198"/>
      <c r="AK65" s="200"/>
    </row>
    <row r="66" spans="1:37" ht="15.75" thickTop="1">
      <c r="A66" s="196"/>
      <c r="B66" s="202" t="s">
        <v>266</v>
      </c>
      <c r="C66" s="193">
        <v>123460</v>
      </c>
      <c r="D66" s="194">
        <v>32538</v>
      </c>
      <c r="E66" s="195">
        <v>63268</v>
      </c>
      <c r="F66" s="193">
        <v>-386335</v>
      </c>
      <c r="G66" s="193">
        <v>314549</v>
      </c>
      <c r="H66" s="194">
        <v>417826</v>
      </c>
      <c r="I66" s="195">
        <v>209138</v>
      </c>
      <c r="J66" s="193">
        <v>285989</v>
      </c>
      <c r="K66" s="193">
        <v>474768</v>
      </c>
      <c r="L66" s="194">
        <v>704706</v>
      </c>
      <c r="M66" s="195">
        <v>279426</v>
      </c>
      <c r="N66" s="193">
        <v>83309</v>
      </c>
      <c r="O66" s="193">
        <v>-239218</v>
      </c>
      <c r="P66" s="194">
        <v>-243495</v>
      </c>
      <c r="Q66" s="195">
        <v>-1102364</v>
      </c>
      <c r="R66" s="193">
        <v>-421388</v>
      </c>
      <c r="S66" s="193">
        <v>-135751</v>
      </c>
      <c r="T66" s="194">
        <v>-13036</v>
      </c>
      <c r="U66" s="195">
        <v>24249</v>
      </c>
      <c r="V66" s="193">
        <v>168864</v>
      </c>
      <c r="W66" s="193">
        <v>198370</v>
      </c>
      <c r="X66" s="193">
        <v>170770</v>
      </c>
      <c r="Y66" s="195">
        <v>446782</v>
      </c>
      <c r="Z66" s="193">
        <v>301934</v>
      </c>
      <c r="AA66" s="193">
        <v>348720</v>
      </c>
      <c r="AB66" s="193">
        <v>109456</v>
      </c>
      <c r="AC66" s="195">
        <v>-336697</v>
      </c>
      <c r="AD66" s="193">
        <v>-280609</v>
      </c>
      <c r="AE66" s="193">
        <v>-449197</v>
      </c>
      <c r="AF66" s="193">
        <v>-521399</v>
      </c>
      <c r="AG66" s="195">
        <v>-218403</v>
      </c>
      <c r="AH66" s="193">
        <v>-258582</v>
      </c>
      <c r="AI66" s="193">
        <v>-83175</v>
      </c>
      <c r="AJ66" s="193">
        <v>-80507</v>
      </c>
      <c r="AK66" s="195">
        <v>12302</v>
      </c>
    </row>
    <row r="67" spans="1:37">
      <c r="B67" s="201" t="s">
        <v>267</v>
      </c>
      <c r="C67" s="193">
        <v>0</v>
      </c>
      <c r="D67" s="194">
        <v>0</v>
      </c>
      <c r="E67" s="195">
        <v>0</v>
      </c>
      <c r="F67" s="193">
        <v>0</v>
      </c>
      <c r="G67" s="193">
        <v>0</v>
      </c>
      <c r="H67" s="194">
        <v>0</v>
      </c>
      <c r="I67" s="195">
        <v>0</v>
      </c>
      <c r="J67" s="193">
        <v>0</v>
      </c>
      <c r="K67" s="193">
        <v>0</v>
      </c>
      <c r="L67" s="194">
        <v>0</v>
      </c>
      <c r="M67" s="195">
        <v>0</v>
      </c>
      <c r="N67" s="193">
        <v>0</v>
      </c>
      <c r="O67" s="193"/>
      <c r="P67" s="194">
        <v>0</v>
      </c>
      <c r="Q67" s="195">
        <v>0</v>
      </c>
      <c r="R67" s="193">
        <v>0</v>
      </c>
      <c r="S67" s="193">
        <v>0</v>
      </c>
      <c r="T67" s="194">
        <v>0</v>
      </c>
      <c r="U67" s="195">
        <v>0</v>
      </c>
      <c r="V67" s="193">
        <v>0</v>
      </c>
      <c r="W67" s="193">
        <v>0</v>
      </c>
      <c r="X67" s="193">
        <v>0</v>
      </c>
      <c r="Y67" s="195">
        <v>0</v>
      </c>
      <c r="Z67" s="193">
        <v>0</v>
      </c>
      <c r="AA67" s="193">
        <v>0</v>
      </c>
      <c r="AB67" s="193">
        <v>0</v>
      </c>
      <c r="AC67" s="195">
        <v>0</v>
      </c>
      <c r="AD67" s="193">
        <v>0</v>
      </c>
      <c r="AE67" s="193">
        <v>0</v>
      </c>
      <c r="AF67" s="193">
        <v>0</v>
      </c>
      <c r="AG67" s="195">
        <v>11668</v>
      </c>
      <c r="AH67" s="193">
        <v>11668</v>
      </c>
      <c r="AI67" s="193">
        <v>11668</v>
      </c>
      <c r="AJ67" s="193">
        <v>11668</v>
      </c>
      <c r="AK67" s="195">
        <v>0</v>
      </c>
    </row>
    <row r="68" spans="1:37">
      <c r="B68" s="201" t="s">
        <v>268</v>
      </c>
      <c r="C68" s="193">
        <v>-539874</v>
      </c>
      <c r="D68" s="194">
        <v>-302574</v>
      </c>
      <c r="E68" s="195">
        <v>-670902</v>
      </c>
      <c r="F68" s="193">
        <v>-412924</v>
      </c>
      <c r="G68" s="193">
        <v>-234434</v>
      </c>
      <c r="H68" s="194">
        <v>-98271</v>
      </c>
      <c r="I68" s="195">
        <v>-412374</v>
      </c>
      <c r="J68" s="193">
        <v>-310733</v>
      </c>
      <c r="K68" s="193">
        <v>-227487</v>
      </c>
      <c r="L68" s="194">
        <v>-91668</v>
      </c>
      <c r="M68" s="195">
        <v>-268492</v>
      </c>
      <c r="N68" s="193">
        <v>-158297</v>
      </c>
      <c r="O68" s="193">
        <v>-62037</v>
      </c>
      <c r="P68" s="194">
        <v>-21079</v>
      </c>
      <c r="Q68" s="195">
        <v>-266310</v>
      </c>
      <c r="R68" s="193">
        <v>-169221</v>
      </c>
      <c r="S68" s="193">
        <v>-102910</v>
      </c>
      <c r="T68" s="194">
        <v>-22153</v>
      </c>
      <c r="U68" s="195">
        <v>-132264</v>
      </c>
      <c r="V68" s="193">
        <v>-90839</v>
      </c>
      <c r="W68" s="193">
        <v>-54903</v>
      </c>
      <c r="X68" s="193">
        <v>-27451</v>
      </c>
      <c r="Y68" s="195">
        <v>-159422</v>
      </c>
      <c r="Z68" s="193">
        <v>-100122</v>
      </c>
      <c r="AA68" s="193">
        <v>-60066</v>
      </c>
      <c r="AB68" s="193">
        <v>-32438</v>
      </c>
      <c r="AC68" s="195">
        <v>-200931</v>
      </c>
      <c r="AD68" s="193">
        <v>-99096</v>
      </c>
      <c r="AE68" s="193">
        <v>-59332</v>
      </c>
      <c r="AF68" s="193">
        <v>-23795</v>
      </c>
      <c r="AG68" s="195">
        <v>-151844</v>
      </c>
      <c r="AH68" s="193">
        <v>-84279</v>
      </c>
      <c r="AI68" s="193">
        <v>-40505</v>
      </c>
      <c r="AJ68" s="193">
        <v>-13061</v>
      </c>
      <c r="AK68" s="195">
        <v>-39754</v>
      </c>
    </row>
    <row r="69" spans="1:37">
      <c r="B69" s="201" t="s">
        <v>285</v>
      </c>
      <c r="C69" s="193">
        <v>0</v>
      </c>
      <c r="D69" s="194">
        <v>0</v>
      </c>
      <c r="E69" s="195">
        <v>0</v>
      </c>
      <c r="F69" s="193">
        <v>0</v>
      </c>
      <c r="G69" s="193">
        <v>0</v>
      </c>
      <c r="H69" s="194">
        <v>0</v>
      </c>
      <c r="I69" s="195">
        <v>0</v>
      </c>
      <c r="J69" s="193">
        <v>0</v>
      </c>
      <c r="K69" s="193">
        <v>0</v>
      </c>
      <c r="L69" s="194">
        <v>0</v>
      </c>
      <c r="M69" s="195">
        <v>0</v>
      </c>
      <c r="N69" s="193">
        <v>0</v>
      </c>
      <c r="O69" s="193">
        <v>0</v>
      </c>
      <c r="P69" s="194">
        <v>0</v>
      </c>
      <c r="Q69" s="195">
        <v>0</v>
      </c>
      <c r="R69" s="193">
        <v>0</v>
      </c>
      <c r="S69" s="193">
        <v>0</v>
      </c>
      <c r="T69" s="194">
        <v>0</v>
      </c>
      <c r="U69" s="195">
        <v>0</v>
      </c>
      <c r="V69" s="193">
        <v>0</v>
      </c>
      <c r="W69" s="193">
        <v>0</v>
      </c>
      <c r="X69" s="193">
        <v>0</v>
      </c>
      <c r="Y69" s="195">
        <v>0</v>
      </c>
      <c r="Z69" s="193">
        <v>0</v>
      </c>
      <c r="AA69" s="193">
        <v>0</v>
      </c>
      <c r="AB69" s="193">
        <v>0</v>
      </c>
      <c r="AC69" s="195">
        <v>1285</v>
      </c>
      <c r="AD69" s="193">
        <v>1285</v>
      </c>
      <c r="AE69" s="193">
        <v>0</v>
      </c>
      <c r="AF69" s="193">
        <v>0</v>
      </c>
      <c r="AG69" s="195">
        <v>1657</v>
      </c>
      <c r="AH69" s="193">
        <v>1657</v>
      </c>
      <c r="AI69" s="193">
        <v>1657</v>
      </c>
      <c r="AJ69" s="193">
        <v>0</v>
      </c>
      <c r="AK69" s="195">
        <v>0</v>
      </c>
    </row>
    <row r="70" spans="1:37">
      <c r="B70" s="201" t="s">
        <v>309</v>
      </c>
      <c r="C70" s="193">
        <v>0</v>
      </c>
      <c r="D70" s="194">
        <v>0</v>
      </c>
      <c r="E70" s="195">
        <v>0</v>
      </c>
      <c r="F70" s="193">
        <v>0</v>
      </c>
      <c r="G70" s="193">
        <v>0</v>
      </c>
      <c r="H70" s="194">
        <v>0</v>
      </c>
      <c r="I70" s="195">
        <v>0</v>
      </c>
      <c r="J70" s="193">
        <v>0</v>
      </c>
      <c r="K70" s="193">
        <v>0</v>
      </c>
      <c r="L70" s="194">
        <v>0</v>
      </c>
      <c r="M70" s="195">
        <v>0</v>
      </c>
      <c r="N70" s="193">
        <v>0</v>
      </c>
      <c r="O70" s="193">
        <v>0</v>
      </c>
      <c r="P70" s="194">
        <v>0</v>
      </c>
      <c r="Q70" s="195">
        <v>0</v>
      </c>
      <c r="R70" s="193">
        <v>0</v>
      </c>
      <c r="S70" s="193">
        <v>0</v>
      </c>
      <c r="T70" s="194">
        <v>0</v>
      </c>
      <c r="U70" s="195">
        <v>0</v>
      </c>
      <c r="V70" s="193">
        <v>0</v>
      </c>
      <c r="W70" s="193">
        <v>0</v>
      </c>
      <c r="X70" s="193">
        <v>0</v>
      </c>
      <c r="Y70" s="195">
        <v>6175</v>
      </c>
      <c r="Z70" s="193">
        <v>0</v>
      </c>
      <c r="AA70" s="193">
        <v>0</v>
      </c>
      <c r="AB70" s="193">
        <v>0</v>
      </c>
      <c r="AC70" s="195">
        <v>22</v>
      </c>
      <c r="AD70" s="193">
        <v>22</v>
      </c>
      <c r="AE70" s="193">
        <v>0</v>
      </c>
      <c r="AF70" s="193">
        <v>0</v>
      </c>
      <c r="AG70" s="195">
        <v>0</v>
      </c>
      <c r="AH70" s="193">
        <v>0</v>
      </c>
      <c r="AI70" s="193">
        <v>0</v>
      </c>
      <c r="AJ70" s="193">
        <v>0</v>
      </c>
      <c r="AK70" s="195">
        <v>0</v>
      </c>
    </row>
    <row r="71" spans="1:37">
      <c r="B71" s="201" t="s">
        <v>270</v>
      </c>
      <c r="C71" s="193">
        <v>0</v>
      </c>
      <c r="D71" s="194">
        <v>0</v>
      </c>
      <c r="E71" s="195">
        <v>0</v>
      </c>
      <c r="F71" s="193">
        <v>0</v>
      </c>
      <c r="G71" s="193">
        <v>0</v>
      </c>
      <c r="H71" s="194">
        <v>0</v>
      </c>
      <c r="I71" s="195">
        <v>0</v>
      </c>
      <c r="J71" s="193">
        <v>0</v>
      </c>
      <c r="K71" s="193">
        <v>0</v>
      </c>
      <c r="L71" s="194">
        <v>0</v>
      </c>
      <c r="M71" s="195">
        <v>0</v>
      </c>
      <c r="N71" s="193">
        <v>0</v>
      </c>
      <c r="O71" s="193">
        <v>0</v>
      </c>
      <c r="P71" s="194">
        <v>0</v>
      </c>
      <c r="Q71" s="195">
        <v>0</v>
      </c>
      <c r="R71" s="193">
        <v>0</v>
      </c>
      <c r="S71" s="193">
        <v>0</v>
      </c>
      <c r="T71" s="194">
        <v>0</v>
      </c>
      <c r="U71" s="195">
        <v>0</v>
      </c>
      <c r="V71" s="193">
        <v>0</v>
      </c>
      <c r="W71" s="193">
        <v>0</v>
      </c>
      <c r="X71" s="193">
        <v>0</v>
      </c>
      <c r="Y71" s="195">
        <v>0</v>
      </c>
      <c r="Z71" s="193">
        <v>0</v>
      </c>
      <c r="AA71" s="193">
        <v>0</v>
      </c>
      <c r="AB71" s="193">
        <v>0</v>
      </c>
      <c r="AC71" s="195">
        <v>0</v>
      </c>
      <c r="AD71" s="193">
        <v>0</v>
      </c>
      <c r="AE71" s="193">
        <v>0</v>
      </c>
      <c r="AF71" s="193">
        <v>0</v>
      </c>
      <c r="AG71" s="195">
        <v>-110000</v>
      </c>
      <c r="AH71" s="193">
        <v>-58500</v>
      </c>
      <c r="AI71" s="193">
        <v>0</v>
      </c>
      <c r="AJ71" s="193">
        <v>0</v>
      </c>
      <c r="AK71" s="195">
        <v>0</v>
      </c>
    </row>
    <row r="72" spans="1:37">
      <c r="B72" s="201" t="s">
        <v>271</v>
      </c>
      <c r="C72" s="193">
        <v>0</v>
      </c>
      <c r="D72" s="194">
        <v>0</v>
      </c>
      <c r="E72" s="195">
        <v>-15000</v>
      </c>
      <c r="F72" s="193">
        <v>0</v>
      </c>
      <c r="G72" s="193">
        <v>0</v>
      </c>
      <c r="H72" s="194">
        <v>0</v>
      </c>
      <c r="I72" s="195">
        <v>0</v>
      </c>
      <c r="J72" s="193">
        <v>0</v>
      </c>
      <c r="K72" s="193">
        <v>0</v>
      </c>
      <c r="L72" s="194">
        <v>0</v>
      </c>
      <c r="M72" s="195">
        <v>-20865</v>
      </c>
      <c r="N72" s="193">
        <v>-14340</v>
      </c>
      <c r="O72" s="193">
        <v>0</v>
      </c>
      <c r="P72" s="194">
        <v>0</v>
      </c>
      <c r="Q72" s="195">
        <v>-35700</v>
      </c>
      <c r="R72" s="193">
        <v>-35700</v>
      </c>
      <c r="S72" s="193">
        <v>-22500</v>
      </c>
      <c r="T72" s="194">
        <v>-8500</v>
      </c>
      <c r="U72" s="195">
        <v>-12500</v>
      </c>
      <c r="V72" s="193">
        <v>-5000</v>
      </c>
      <c r="W72" s="193">
        <v>0</v>
      </c>
      <c r="X72" s="193">
        <v>0</v>
      </c>
      <c r="Y72" s="195">
        <v>0</v>
      </c>
      <c r="Z72" s="193">
        <v>0</v>
      </c>
      <c r="AA72" s="193">
        <v>0</v>
      </c>
      <c r="AB72" s="193">
        <v>0</v>
      </c>
      <c r="AC72" s="195">
        <v>0</v>
      </c>
      <c r="AD72" s="193">
        <v>0</v>
      </c>
      <c r="AE72" s="193">
        <v>0</v>
      </c>
      <c r="AF72" s="193">
        <v>0</v>
      </c>
      <c r="AG72" s="195">
        <v>0</v>
      </c>
      <c r="AH72" s="193">
        <v>0</v>
      </c>
      <c r="AI72" s="193">
        <v>0</v>
      </c>
      <c r="AJ72" s="193">
        <v>0</v>
      </c>
      <c r="AK72" s="195">
        <v>0</v>
      </c>
    </row>
    <row r="73" spans="1:37">
      <c r="B73" s="201" t="s">
        <v>350</v>
      </c>
      <c r="C73" s="193">
        <v>0</v>
      </c>
      <c r="D73" s="194">
        <v>0</v>
      </c>
      <c r="E73" s="195">
        <v>0</v>
      </c>
      <c r="F73" s="193">
        <v>0</v>
      </c>
      <c r="G73" s="193">
        <v>0</v>
      </c>
      <c r="H73" s="194">
        <v>0</v>
      </c>
      <c r="I73" s="195">
        <v>-804</v>
      </c>
      <c r="J73" s="193">
        <v>-804</v>
      </c>
      <c r="K73" s="193">
        <v>-804</v>
      </c>
      <c r="L73" s="194">
        <v>0</v>
      </c>
      <c r="M73" s="195">
        <v>0</v>
      </c>
      <c r="N73" s="193">
        <v>-48396</v>
      </c>
      <c r="O73" s="193">
        <v>0</v>
      </c>
      <c r="P73" s="194">
        <v>0</v>
      </c>
      <c r="Q73" s="195">
        <v>-8769</v>
      </c>
      <c r="R73" s="193">
        <v>-8769</v>
      </c>
      <c r="S73" s="193">
        <v>-8769</v>
      </c>
      <c r="T73" s="194"/>
      <c r="U73" s="195">
        <v>-30547</v>
      </c>
      <c r="V73" s="193"/>
      <c r="W73" s="193"/>
      <c r="X73" s="193"/>
      <c r="Y73" s="195"/>
      <c r="Z73" s="193"/>
      <c r="AA73" s="193"/>
      <c r="AB73" s="193"/>
      <c r="AC73" s="195"/>
      <c r="AD73" s="193"/>
      <c r="AE73" s="193"/>
      <c r="AF73" s="193"/>
      <c r="AG73" s="195"/>
      <c r="AH73" s="193"/>
      <c r="AI73" s="193"/>
      <c r="AJ73" s="193"/>
      <c r="AK73" s="195"/>
    </row>
    <row r="74" spans="1:37">
      <c r="B74" s="201" t="s">
        <v>286</v>
      </c>
      <c r="C74" s="193">
        <v>0</v>
      </c>
      <c r="D74" s="194">
        <v>0</v>
      </c>
      <c r="E74" s="195">
        <v>0</v>
      </c>
      <c r="F74" s="193">
        <v>0</v>
      </c>
      <c r="G74" s="193">
        <v>0</v>
      </c>
      <c r="H74" s="194">
        <v>0</v>
      </c>
      <c r="I74" s="195">
        <v>0</v>
      </c>
      <c r="J74" s="193">
        <v>0</v>
      </c>
      <c r="K74" s="193">
        <v>0</v>
      </c>
      <c r="L74" s="194">
        <v>0</v>
      </c>
      <c r="M74" s="195">
        <v>0</v>
      </c>
      <c r="N74" s="193">
        <v>0</v>
      </c>
      <c r="O74" s="193">
        <v>0</v>
      </c>
      <c r="P74" s="194">
        <v>0</v>
      </c>
      <c r="Q74" s="195">
        <v>0</v>
      </c>
      <c r="R74" s="193">
        <v>0</v>
      </c>
      <c r="S74" s="193">
        <v>0</v>
      </c>
      <c r="T74" s="194">
        <v>0</v>
      </c>
      <c r="U74" s="195">
        <v>0</v>
      </c>
      <c r="V74" s="193">
        <v>-30547</v>
      </c>
      <c r="W74" s="193">
        <v>0</v>
      </c>
      <c r="X74" s="193">
        <v>0</v>
      </c>
      <c r="Y74" s="195">
        <v>0</v>
      </c>
      <c r="Z74" s="193">
        <v>0</v>
      </c>
      <c r="AA74" s="193">
        <v>0</v>
      </c>
      <c r="AB74" s="193">
        <v>0</v>
      </c>
      <c r="AC74" s="195">
        <v>0</v>
      </c>
      <c r="AD74" s="193">
        <v>0</v>
      </c>
      <c r="AE74" s="193">
        <v>0</v>
      </c>
      <c r="AF74" s="193">
        <v>0</v>
      </c>
      <c r="AG74" s="195">
        <v>0</v>
      </c>
      <c r="AH74" s="193">
        <v>0</v>
      </c>
      <c r="AI74" s="193">
        <v>0</v>
      </c>
      <c r="AJ74" s="193">
        <v>0</v>
      </c>
      <c r="AK74" s="195">
        <v>185514</v>
      </c>
    </row>
    <row r="75" spans="1:37">
      <c r="B75" s="201" t="s">
        <v>361</v>
      </c>
      <c r="C75" s="193">
        <v>0</v>
      </c>
      <c r="D75" s="194">
        <v>0</v>
      </c>
      <c r="E75" s="195">
        <v>0</v>
      </c>
      <c r="F75" s="193">
        <v>0</v>
      </c>
      <c r="G75" s="193">
        <v>0</v>
      </c>
      <c r="H75" s="194">
        <v>0</v>
      </c>
      <c r="I75" s="195">
        <v>-3632</v>
      </c>
      <c r="J75" s="193">
        <v>-3632</v>
      </c>
      <c r="K75" s="193">
        <v>-2201</v>
      </c>
      <c r="L75" s="194">
        <v>-132</v>
      </c>
      <c r="M75" s="195">
        <v>-487</v>
      </c>
      <c r="N75" s="193">
        <v>-460</v>
      </c>
      <c r="O75" s="193">
        <v>-329</v>
      </c>
      <c r="P75" s="194">
        <v>-275</v>
      </c>
      <c r="Q75" s="195">
        <v>-1034</v>
      </c>
      <c r="R75" s="193">
        <v>0</v>
      </c>
      <c r="S75" s="193">
        <v>0</v>
      </c>
      <c r="T75" s="194">
        <v>0</v>
      </c>
      <c r="U75" s="195">
        <v>0</v>
      </c>
      <c r="V75" s="193">
        <v>0</v>
      </c>
      <c r="W75" s="193">
        <v>0</v>
      </c>
      <c r="X75" s="193">
        <v>0</v>
      </c>
      <c r="Y75" s="195">
        <v>0</v>
      </c>
      <c r="Z75" s="193">
        <v>0</v>
      </c>
      <c r="AA75" s="193">
        <v>0</v>
      </c>
      <c r="AB75" s="193">
        <v>0</v>
      </c>
      <c r="AC75" s="195">
        <v>0</v>
      </c>
      <c r="AD75" s="193">
        <v>0</v>
      </c>
      <c r="AE75" s="193">
        <v>0</v>
      </c>
      <c r="AF75" s="193">
        <v>0</v>
      </c>
      <c r="AG75" s="195">
        <v>0</v>
      </c>
      <c r="AH75" s="193">
        <v>0</v>
      </c>
      <c r="AI75" s="193">
        <v>0</v>
      </c>
      <c r="AJ75" s="193">
        <v>0</v>
      </c>
      <c r="AK75" s="195">
        <v>0</v>
      </c>
    </row>
    <row r="76" spans="1:37">
      <c r="B76" s="239" t="s">
        <v>400</v>
      </c>
      <c r="C76" s="193">
        <v>0</v>
      </c>
      <c r="D76" s="194">
        <v>0</v>
      </c>
      <c r="E76" s="195">
        <v>0</v>
      </c>
      <c r="F76" s="193">
        <v>0</v>
      </c>
      <c r="G76" s="193">
        <v>0</v>
      </c>
      <c r="H76" s="194">
        <v>0</v>
      </c>
      <c r="I76" s="195">
        <v>0</v>
      </c>
      <c r="J76" s="193">
        <v>0</v>
      </c>
      <c r="K76" s="193">
        <v>0</v>
      </c>
      <c r="L76" s="194">
        <v>0</v>
      </c>
      <c r="M76" s="195">
        <v>-48396</v>
      </c>
      <c r="N76" s="193">
        <v>0</v>
      </c>
      <c r="O76" s="193">
        <v>0</v>
      </c>
      <c r="P76" s="194"/>
      <c r="Q76" s="195">
        <v>0</v>
      </c>
      <c r="R76" s="193">
        <v>0</v>
      </c>
      <c r="S76" s="193">
        <v>0</v>
      </c>
      <c r="T76" s="194">
        <v>0</v>
      </c>
      <c r="U76" s="195">
        <v>0</v>
      </c>
      <c r="V76" s="193">
        <v>0</v>
      </c>
      <c r="W76" s="193">
        <v>0</v>
      </c>
      <c r="X76" s="193">
        <v>0</v>
      </c>
      <c r="Y76" s="195">
        <v>0</v>
      </c>
      <c r="Z76" s="193">
        <v>0</v>
      </c>
      <c r="AA76" s="193">
        <v>0</v>
      </c>
      <c r="AB76" s="193">
        <v>0</v>
      </c>
      <c r="AC76" s="195">
        <v>0</v>
      </c>
      <c r="AD76" s="193">
        <v>0</v>
      </c>
      <c r="AE76" s="193">
        <v>0</v>
      </c>
      <c r="AF76" s="193">
        <v>0</v>
      </c>
      <c r="AG76" s="195">
        <v>0</v>
      </c>
      <c r="AH76" s="193">
        <v>0</v>
      </c>
      <c r="AI76" s="193">
        <v>0</v>
      </c>
      <c r="AJ76" s="193">
        <v>0</v>
      </c>
      <c r="AK76" s="195">
        <v>0</v>
      </c>
    </row>
    <row r="77" spans="1:37" ht="15.75" thickBot="1">
      <c r="A77" s="196"/>
      <c r="B77" s="197" t="s">
        <v>273</v>
      </c>
      <c r="C77" s="198">
        <f t="shared" ref="C77" si="49">SUM(C66:C76)</f>
        <v>-416414</v>
      </c>
      <c r="D77" s="199">
        <f t="shared" ref="D77" si="50">SUM(D66:D76)</f>
        <v>-270036</v>
      </c>
      <c r="E77" s="200">
        <f t="shared" ref="E77" si="51">SUM(E66:E76)</f>
        <v>-622634</v>
      </c>
      <c r="F77" s="198">
        <f t="shared" ref="F77:K77" si="52">SUM(F66:F76)</f>
        <v>-799259</v>
      </c>
      <c r="G77" s="198">
        <f t="shared" si="52"/>
        <v>80115</v>
      </c>
      <c r="H77" s="199">
        <f t="shared" si="52"/>
        <v>319555</v>
      </c>
      <c r="I77" s="200">
        <f t="shared" si="52"/>
        <v>-207672</v>
      </c>
      <c r="J77" s="198">
        <f t="shared" si="52"/>
        <v>-29180</v>
      </c>
      <c r="K77" s="198">
        <f t="shared" si="52"/>
        <v>244276</v>
      </c>
      <c r="L77" s="199">
        <f t="shared" ref="L77" si="53">SUM(L66:L75)</f>
        <v>612906</v>
      </c>
      <c r="M77" s="200">
        <f>SUM(M66:M76)</f>
        <v>-58814</v>
      </c>
      <c r="N77" s="198">
        <f>SUM(N66:N76)</f>
        <v>-138184</v>
      </c>
      <c r="O77" s="198">
        <f>SUM(O66:O76)</f>
        <v>-301584</v>
      </c>
      <c r="P77" s="199">
        <f>SUM(P66:P75)</f>
        <v>-264849</v>
      </c>
      <c r="Q77" s="200">
        <f t="shared" ref="Q77:AE77" si="54">SUM(Q66:Q76)</f>
        <v>-1414177</v>
      </c>
      <c r="R77" s="198">
        <f t="shared" si="54"/>
        <v>-635078</v>
      </c>
      <c r="S77" s="198">
        <f t="shared" si="54"/>
        <v>-269930</v>
      </c>
      <c r="T77" s="199">
        <f t="shared" si="54"/>
        <v>-43689</v>
      </c>
      <c r="U77" s="200">
        <f t="shared" si="54"/>
        <v>-151062</v>
      </c>
      <c r="V77" s="198">
        <f t="shared" si="54"/>
        <v>42478</v>
      </c>
      <c r="W77" s="198">
        <f t="shared" si="54"/>
        <v>143467</v>
      </c>
      <c r="X77" s="198">
        <f t="shared" si="54"/>
        <v>143319</v>
      </c>
      <c r="Y77" s="200">
        <f t="shared" si="54"/>
        <v>293535</v>
      </c>
      <c r="Z77" s="198">
        <f t="shared" si="54"/>
        <v>201812</v>
      </c>
      <c r="AA77" s="198">
        <f t="shared" si="54"/>
        <v>288654</v>
      </c>
      <c r="AB77" s="198">
        <f t="shared" si="54"/>
        <v>77018</v>
      </c>
      <c r="AC77" s="200">
        <f t="shared" si="54"/>
        <v>-536321</v>
      </c>
      <c r="AD77" s="198">
        <f t="shared" si="54"/>
        <v>-378398</v>
      </c>
      <c r="AE77" s="198">
        <f t="shared" si="54"/>
        <v>-508529</v>
      </c>
      <c r="AF77" s="198">
        <v>-545194</v>
      </c>
      <c r="AG77" s="200">
        <v>-466922</v>
      </c>
      <c r="AH77" s="198">
        <v>-388036</v>
      </c>
      <c r="AI77" s="198">
        <v>-110355</v>
      </c>
      <c r="AJ77" s="198">
        <v>-81900</v>
      </c>
      <c r="AK77" s="200">
        <v>158062</v>
      </c>
    </row>
    <row r="78" spans="1:37" ht="16.5" thickTop="1" thickBot="1">
      <c r="A78" s="196"/>
      <c r="B78" s="197" t="s">
        <v>274</v>
      </c>
      <c r="C78" s="198"/>
      <c r="D78" s="199"/>
      <c r="E78" s="200"/>
      <c r="F78" s="198"/>
      <c r="G78" s="198"/>
      <c r="H78" s="199"/>
      <c r="I78" s="200"/>
      <c r="J78" s="198"/>
      <c r="K78" s="198"/>
      <c r="L78" s="199"/>
      <c r="M78" s="200"/>
      <c r="N78" s="198"/>
      <c r="O78" s="198"/>
      <c r="P78" s="199"/>
      <c r="Q78" s="200"/>
      <c r="R78" s="198"/>
      <c r="S78" s="198"/>
      <c r="T78" s="199"/>
      <c r="U78" s="200"/>
      <c r="V78" s="198"/>
      <c r="W78" s="198"/>
      <c r="X78" s="198"/>
      <c r="Y78" s="200"/>
      <c r="Z78" s="198"/>
      <c r="AA78" s="198"/>
      <c r="AB78" s="198"/>
      <c r="AC78" s="200"/>
      <c r="AD78" s="198"/>
      <c r="AE78" s="198"/>
      <c r="AF78" s="198"/>
      <c r="AG78" s="200"/>
      <c r="AH78" s="198"/>
      <c r="AI78" s="198"/>
      <c r="AJ78" s="198"/>
      <c r="AK78" s="200"/>
    </row>
    <row r="79" spans="1:37" ht="15" thickTop="1">
      <c r="B79" s="201" t="s">
        <v>275</v>
      </c>
      <c r="C79" s="193">
        <v>-127493</v>
      </c>
      <c r="D79" s="194">
        <v>-1650</v>
      </c>
      <c r="E79" s="195">
        <v>-1266365</v>
      </c>
      <c r="F79" s="193">
        <v>-631811</v>
      </c>
      <c r="G79" s="193">
        <v>-189312.04584679432</v>
      </c>
      <c r="H79" s="194">
        <v>-2057</v>
      </c>
      <c r="I79" s="195">
        <v>-89995</v>
      </c>
      <c r="J79" s="193">
        <v>-89026</v>
      </c>
      <c r="K79" s="193">
        <v>-81075</v>
      </c>
      <c r="L79" s="194">
        <v>-962</v>
      </c>
      <c r="M79" s="195">
        <v>-128846</v>
      </c>
      <c r="N79" s="193">
        <v>-115847</v>
      </c>
      <c r="O79" s="193">
        <v>-96082</v>
      </c>
      <c r="P79" s="194">
        <v>-82998</v>
      </c>
      <c r="Q79" s="195">
        <v>-1052919</v>
      </c>
      <c r="R79" s="193">
        <v>-326954</v>
      </c>
      <c r="S79" s="193">
        <v>-306440</v>
      </c>
      <c r="T79" s="194">
        <v>-166675</v>
      </c>
      <c r="U79" s="195">
        <v>-228357</v>
      </c>
      <c r="V79" s="193">
        <v>-212713</v>
      </c>
      <c r="W79" s="193">
        <v>-211276</v>
      </c>
      <c r="X79" s="193">
        <v>-56935</v>
      </c>
      <c r="Y79" s="195">
        <v>-868177</v>
      </c>
      <c r="Z79" s="193">
        <v>-754424</v>
      </c>
      <c r="AA79" s="193">
        <v>-710863</v>
      </c>
      <c r="AB79" s="193">
        <v>-271993</v>
      </c>
      <c r="AC79" s="195">
        <v>-736616</v>
      </c>
      <c r="AD79" s="193">
        <v>-611031</v>
      </c>
      <c r="AE79" s="193">
        <v>-349943</v>
      </c>
      <c r="AF79" s="193">
        <v>-90301</v>
      </c>
      <c r="AG79" s="195">
        <v>-469137</v>
      </c>
      <c r="AH79" s="193">
        <v>-325083</v>
      </c>
      <c r="AI79" s="193">
        <v>-285805</v>
      </c>
      <c r="AJ79" s="193">
        <v>-190697</v>
      </c>
      <c r="AK79" s="195">
        <v>-108071</v>
      </c>
    </row>
    <row r="80" spans="1:37">
      <c r="B80" s="201" t="s">
        <v>276</v>
      </c>
      <c r="C80" s="193">
        <v>-177434</v>
      </c>
      <c r="D80" s="194">
        <v>-51794.952167881573</v>
      </c>
      <c r="E80" s="195">
        <v>-353092</v>
      </c>
      <c r="F80" s="193">
        <v>-222078</v>
      </c>
      <c r="G80" s="193">
        <v>-118423</v>
      </c>
      <c r="H80" s="194">
        <v>-1738</v>
      </c>
      <c r="I80" s="195">
        <v>-153800</v>
      </c>
      <c r="J80" s="193">
        <v>-80522</v>
      </c>
      <c r="K80" s="193">
        <v>-79304</v>
      </c>
      <c r="L80" s="194">
        <v>-259</v>
      </c>
      <c r="M80" s="195">
        <v>-145724</v>
      </c>
      <c r="N80" s="193">
        <v>-66510</v>
      </c>
      <c r="O80" s="193">
        <v>-63622</v>
      </c>
      <c r="P80" s="194">
        <v>-5766</v>
      </c>
      <c r="Q80" s="195">
        <v>-75525</v>
      </c>
      <c r="R80" s="193">
        <v>-27029</v>
      </c>
      <c r="S80" s="193">
        <v>-20653</v>
      </c>
      <c r="T80" s="194">
        <v>-6446</v>
      </c>
      <c r="U80" s="195">
        <v>-68743</v>
      </c>
      <c r="V80" s="193">
        <v>-42182</v>
      </c>
      <c r="W80" s="193">
        <v>-30771</v>
      </c>
      <c r="X80" s="193">
        <v>-15373</v>
      </c>
      <c r="Y80" s="195">
        <v>-223890</v>
      </c>
      <c r="Z80" s="193">
        <v>-82990</v>
      </c>
      <c r="AA80" s="193">
        <v>-59793</v>
      </c>
      <c r="AB80" s="193">
        <v>-33344</v>
      </c>
      <c r="AC80" s="195">
        <v>-135521</v>
      </c>
      <c r="AD80" s="193">
        <v>-92107</v>
      </c>
      <c r="AE80" s="193">
        <v>-61286</v>
      </c>
      <c r="AF80" s="193">
        <v>-23119</v>
      </c>
      <c r="AG80" s="195">
        <v>-109583</v>
      </c>
      <c r="AH80" s="193">
        <v>-55839</v>
      </c>
      <c r="AI80" s="193">
        <v>-44044</v>
      </c>
      <c r="AJ80" s="193">
        <v>-9896</v>
      </c>
      <c r="AK80" s="195">
        <v>-82574</v>
      </c>
    </row>
    <row r="81" spans="1:37">
      <c r="B81" s="201" t="s">
        <v>277</v>
      </c>
      <c r="C81" s="193">
        <v>631096</v>
      </c>
      <c r="D81" s="194">
        <v>111288</v>
      </c>
      <c r="E81" s="195">
        <v>1565024</v>
      </c>
      <c r="F81" s="193">
        <v>1350716</v>
      </c>
      <c r="G81" s="193">
        <v>600525</v>
      </c>
      <c r="H81" s="194">
        <v>500000</v>
      </c>
      <c r="I81" s="195">
        <v>750006</v>
      </c>
      <c r="J81" s="193">
        <v>6</v>
      </c>
      <c r="K81" s="193">
        <v>2</v>
      </c>
      <c r="L81" s="194">
        <v>1</v>
      </c>
      <c r="M81" s="195">
        <v>508</v>
      </c>
      <c r="N81" s="193">
        <v>594</v>
      </c>
      <c r="O81" s="193">
        <v>562</v>
      </c>
      <c r="P81" s="194">
        <v>0</v>
      </c>
      <c r="Q81" s="195">
        <v>1050001</v>
      </c>
      <c r="R81" s="193">
        <v>550001</v>
      </c>
      <c r="S81" s="193">
        <v>350001</v>
      </c>
      <c r="T81" s="194">
        <v>0</v>
      </c>
      <c r="U81" s="195">
        <v>263705</v>
      </c>
      <c r="V81" s="193">
        <v>272742</v>
      </c>
      <c r="W81" s="193">
        <v>305290</v>
      </c>
      <c r="X81" s="193">
        <v>141500</v>
      </c>
      <c r="Y81" s="195">
        <v>512653</v>
      </c>
      <c r="Z81" s="193">
        <v>493224</v>
      </c>
      <c r="AA81" s="193">
        <v>454131</v>
      </c>
      <c r="AB81" s="193">
        <v>162981</v>
      </c>
      <c r="AC81" s="195">
        <v>861759</v>
      </c>
      <c r="AD81" s="193">
        <v>792314</v>
      </c>
      <c r="AE81" s="193">
        <v>725480</v>
      </c>
      <c r="AF81" s="193">
        <v>620628</v>
      </c>
      <c r="AG81" s="195">
        <v>714900</v>
      </c>
      <c r="AH81" s="193">
        <v>543080</v>
      </c>
      <c r="AI81" s="193">
        <v>291215</v>
      </c>
      <c r="AJ81" s="193">
        <v>11167</v>
      </c>
      <c r="AK81" s="195">
        <v>3941</v>
      </c>
    </row>
    <row r="82" spans="1:37">
      <c r="B82" s="201" t="s">
        <v>278</v>
      </c>
      <c r="C82" s="193">
        <v>-244526</v>
      </c>
      <c r="D82" s="194">
        <v>-140</v>
      </c>
      <c r="E82" s="195">
        <v>-438648</v>
      </c>
      <c r="F82" s="193">
        <v>-145344</v>
      </c>
      <c r="G82" s="193">
        <v>-145266</v>
      </c>
      <c r="H82" s="194">
        <v>-109465</v>
      </c>
      <c r="I82" s="195">
        <v>-345392</v>
      </c>
      <c r="J82" s="193">
        <v>-192181</v>
      </c>
      <c r="K82" s="193">
        <v>-188155</v>
      </c>
      <c r="L82" s="194">
        <v>-125</v>
      </c>
      <c r="M82" s="195">
        <v>-1355350</v>
      </c>
      <c r="N82" s="193">
        <v>-867247</v>
      </c>
      <c r="O82" s="193">
        <v>-257272</v>
      </c>
      <c r="P82" s="194">
        <v>-13231</v>
      </c>
      <c r="Q82" s="195">
        <v>-1365042</v>
      </c>
      <c r="R82" s="193">
        <v>-645509</v>
      </c>
      <c r="S82" s="193">
        <v>-352710</v>
      </c>
      <c r="T82" s="194">
        <v>-144</v>
      </c>
      <c r="U82" s="195">
        <v>-110562</v>
      </c>
      <c r="V82" s="193">
        <v>-40163</v>
      </c>
      <c r="W82" s="193">
        <v>-40159</v>
      </c>
      <c r="X82" s="193">
        <v>-61</v>
      </c>
      <c r="Y82" s="195">
        <v>-24985</v>
      </c>
      <c r="Z82" s="193">
        <v>-24842</v>
      </c>
      <c r="AA82" s="193">
        <v>-24879</v>
      </c>
      <c r="AB82" s="193">
        <v>-109</v>
      </c>
      <c r="AC82" s="195">
        <v>-206961</v>
      </c>
      <c r="AD82" s="193">
        <v>-89162</v>
      </c>
      <c r="AE82" s="193">
        <v>-89115</v>
      </c>
      <c r="AF82" s="193">
        <v>-106</v>
      </c>
      <c r="AG82" s="195">
        <v>-387365</v>
      </c>
      <c r="AH82" s="193">
        <v>-288944</v>
      </c>
      <c r="AI82" s="193">
        <v>-29199</v>
      </c>
      <c r="AJ82" s="193">
        <v>-1</v>
      </c>
      <c r="AK82" s="195">
        <v>-23838</v>
      </c>
    </row>
    <row r="83" spans="1:37">
      <c r="B83" s="201" t="s">
        <v>339</v>
      </c>
      <c r="C83" s="193">
        <v>-52708</v>
      </c>
      <c r="D83" s="194">
        <v>-24842</v>
      </c>
      <c r="E83" s="195">
        <v>-62223</v>
      </c>
      <c r="F83" s="193">
        <v>-21085</v>
      </c>
      <c r="G83" s="193">
        <v>-17637</v>
      </c>
      <c r="H83" s="194">
        <v>-17637</v>
      </c>
      <c r="I83" s="195">
        <v>-1582</v>
      </c>
      <c r="J83" s="193">
        <v>-1582</v>
      </c>
      <c r="K83" s="193">
        <v>-1582</v>
      </c>
      <c r="L83" s="194">
        <v>0</v>
      </c>
      <c r="M83" s="195">
        <v>-43824</v>
      </c>
      <c r="N83" s="193">
        <v>-43824</v>
      </c>
      <c r="O83" s="193">
        <v>-29400</v>
      </c>
      <c r="P83" s="194">
        <v>0</v>
      </c>
      <c r="Q83" s="195">
        <v>-248</v>
      </c>
      <c r="R83" s="193">
        <v>-248</v>
      </c>
      <c r="S83" s="193">
        <v>-248</v>
      </c>
      <c r="T83" s="194">
        <v>-248</v>
      </c>
      <c r="U83" s="195">
        <v>-144201</v>
      </c>
      <c r="V83" s="193">
        <v>-143019</v>
      </c>
      <c r="W83" s="193">
        <v>-89110</v>
      </c>
      <c r="X83" s="193">
        <v>-76205</v>
      </c>
      <c r="Y83" s="195">
        <v>-112429</v>
      </c>
      <c r="Z83" s="193">
        <v>-102251</v>
      </c>
      <c r="AA83" s="193">
        <v>-52116</v>
      </c>
      <c r="AB83" s="193">
        <v>-23554</v>
      </c>
      <c r="AC83" s="195">
        <v>-18342</v>
      </c>
      <c r="AD83" s="193"/>
      <c r="AE83" s="193"/>
      <c r="AF83" s="193"/>
      <c r="AG83" s="195"/>
      <c r="AH83" s="193"/>
      <c r="AI83" s="193"/>
      <c r="AJ83" s="193"/>
      <c r="AK83" s="195"/>
    </row>
    <row r="84" spans="1:37">
      <c r="B84" s="201" t="s">
        <v>415</v>
      </c>
      <c r="C84" s="193">
        <v>-805</v>
      </c>
      <c r="D84" s="194">
        <v>-395</v>
      </c>
      <c r="E84" s="195">
        <v>-1240</v>
      </c>
      <c r="F84" s="193">
        <v>-789</v>
      </c>
      <c r="G84" s="193">
        <v>-540</v>
      </c>
      <c r="H84" s="194">
        <v>-249</v>
      </c>
      <c r="I84" s="195">
        <v>-190</v>
      </c>
      <c r="J84" s="193">
        <v>0</v>
      </c>
      <c r="K84" s="193">
        <v>0</v>
      </c>
      <c r="L84" s="194">
        <v>0</v>
      </c>
      <c r="M84" s="195">
        <v>0</v>
      </c>
      <c r="N84" s="193">
        <v>0</v>
      </c>
      <c r="O84" s="193">
        <v>0</v>
      </c>
      <c r="P84" s="194">
        <v>0</v>
      </c>
      <c r="Q84" s="195">
        <v>0</v>
      </c>
      <c r="R84" s="193">
        <v>0</v>
      </c>
      <c r="S84" s="193">
        <v>0</v>
      </c>
      <c r="T84" s="194">
        <v>0</v>
      </c>
      <c r="U84" s="195">
        <v>0</v>
      </c>
      <c r="V84" s="193">
        <v>0</v>
      </c>
      <c r="W84" s="193">
        <v>0</v>
      </c>
      <c r="X84" s="193">
        <v>0</v>
      </c>
      <c r="Y84" s="195">
        <v>0</v>
      </c>
      <c r="Z84" s="193">
        <v>0</v>
      </c>
      <c r="AA84" s="193">
        <v>0</v>
      </c>
      <c r="AB84" s="193">
        <v>0</v>
      </c>
      <c r="AC84" s="195">
        <v>0</v>
      </c>
      <c r="AD84" s="193">
        <v>0</v>
      </c>
      <c r="AE84" s="193">
        <v>0</v>
      </c>
      <c r="AF84" s="193">
        <v>0</v>
      </c>
      <c r="AG84" s="195">
        <v>0</v>
      </c>
      <c r="AH84" s="193">
        <v>0</v>
      </c>
      <c r="AI84" s="193">
        <v>0</v>
      </c>
      <c r="AJ84" s="193">
        <v>0</v>
      </c>
      <c r="AK84" s="195">
        <v>0</v>
      </c>
    </row>
    <row r="85" spans="1:37">
      <c r="B85" s="201" t="s">
        <v>416</v>
      </c>
      <c r="C85" s="193">
        <v>-805</v>
      </c>
      <c r="D85" s="194">
        <v>-408</v>
      </c>
      <c r="E85" s="195">
        <v>-1551</v>
      </c>
      <c r="F85" s="193">
        <v>-1232</v>
      </c>
      <c r="G85" s="193">
        <v>-847</v>
      </c>
      <c r="H85" s="194">
        <v>-413</v>
      </c>
      <c r="I85" s="195">
        <v>-184</v>
      </c>
      <c r="J85" s="193">
        <v>0</v>
      </c>
      <c r="K85" s="193">
        <v>0</v>
      </c>
      <c r="L85" s="194">
        <v>0</v>
      </c>
      <c r="M85" s="195">
        <v>0</v>
      </c>
      <c r="N85" s="193">
        <v>0</v>
      </c>
      <c r="O85" s="193">
        <v>0</v>
      </c>
      <c r="P85" s="194">
        <v>0</v>
      </c>
      <c r="Q85" s="195">
        <v>0</v>
      </c>
      <c r="R85" s="193">
        <v>0</v>
      </c>
      <c r="S85" s="193">
        <v>0</v>
      </c>
      <c r="T85" s="194">
        <v>0</v>
      </c>
      <c r="U85" s="195">
        <v>0</v>
      </c>
      <c r="V85" s="193">
        <v>0</v>
      </c>
      <c r="W85" s="193">
        <v>0</v>
      </c>
      <c r="X85" s="193">
        <v>0</v>
      </c>
      <c r="Y85" s="195">
        <v>0</v>
      </c>
      <c r="Z85" s="193">
        <v>0</v>
      </c>
      <c r="AA85" s="193">
        <v>0</v>
      </c>
      <c r="AB85" s="193">
        <v>0</v>
      </c>
      <c r="AC85" s="195">
        <v>0</v>
      </c>
      <c r="AD85" s="193">
        <v>0</v>
      </c>
      <c r="AE85" s="193">
        <v>0</v>
      </c>
      <c r="AF85" s="193">
        <v>0</v>
      </c>
      <c r="AG85" s="195">
        <v>0</v>
      </c>
      <c r="AH85" s="193">
        <v>0</v>
      </c>
      <c r="AI85" s="193">
        <v>0</v>
      </c>
      <c r="AJ85" s="193">
        <v>0</v>
      </c>
      <c r="AK85" s="195">
        <v>0</v>
      </c>
    </row>
    <row r="86" spans="1:37" ht="15">
      <c r="A86" s="196"/>
      <c r="B86" s="201" t="s">
        <v>309</v>
      </c>
      <c r="C86" s="193"/>
      <c r="D86" s="194">
        <v>0</v>
      </c>
      <c r="E86" s="195">
        <v>0</v>
      </c>
      <c r="F86" s="193">
        <v>0</v>
      </c>
      <c r="G86" s="193">
        <v>0</v>
      </c>
      <c r="H86" s="194">
        <v>0</v>
      </c>
      <c r="I86" s="195">
        <v>0</v>
      </c>
      <c r="J86" s="193">
        <v>0</v>
      </c>
      <c r="K86" s="193">
        <v>0</v>
      </c>
      <c r="L86" s="194">
        <v>0</v>
      </c>
      <c r="M86" s="195">
        <v>0</v>
      </c>
      <c r="N86" s="193">
        <v>0</v>
      </c>
      <c r="O86" s="193">
        <v>0</v>
      </c>
      <c r="P86" s="194">
        <v>0</v>
      </c>
      <c r="Q86" s="195">
        <v>0</v>
      </c>
      <c r="R86" s="193">
        <v>0</v>
      </c>
      <c r="S86" s="193">
        <v>0</v>
      </c>
      <c r="T86" s="194">
        <v>0</v>
      </c>
      <c r="U86" s="195">
        <v>0</v>
      </c>
      <c r="V86" s="193">
        <v>0</v>
      </c>
      <c r="W86" s="193">
        <v>0</v>
      </c>
      <c r="X86" s="193">
        <v>0</v>
      </c>
      <c r="Y86" s="195">
        <v>-38152</v>
      </c>
      <c r="Z86" s="193"/>
      <c r="AA86" s="193">
        <v>0</v>
      </c>
      <c r="AB86" s="193">
        <v>0</v>
      </c>
      <c r="AC86" s="195">
        <v>0</v>
      </c>
      <c r="AD86" s="193">
        <v>0</v>
      </c>
      <c r="AE86" s="193">
        <v>0</v>
      </c>
      <c r="AF86" s="193">
        <v>0</v>
      </c>
      <c r="AG86" s="195">
        <v>0</v>
      </c>
      <c r="AH86" s="193">
        <v>0</v>
      </c>
      <c r="AI86" s="193">
        <v>0</v>
      </c>
      <c r="AJ86" s="193">
        <v>1108</v>
      </c>
      <c r="AK86" s="195">
        <v>0</v>
      </c>
    </row>
    <row r="87" spans="1:37" ht="15.75" thickBot="1">
      <c r="A87" s="196"/>
      <c r="B87" s="197" t="s">
        <v>279</v>
      </c>
      <c r="C87" s="198">
        <f t="shared" ref="C87" si="55">SUM(C79:C86)</f>
        <v>27325</v>
      </c>
      <c r="D87" s="199">
        <f t="shared" ref="D87" si="56">SUM(D79:D86)</f>
        <v>32058.047832118427</v>
      </c>
      <c r="E87" s="200">
        <f t="shared" ref="E87" si="57">SUM(E79:E86)</f>
        <v>-558095</v>
      </c>
      <c r="F87" s="198">
        <f t="shared" ref="F87" si="58">SUM(F79:F86)</f>
        <v>328377</v>
      </c>
      <c r="G87" s="198">
        <f t="shared" ref="G87" si="59">SUM(G79:G86)</f>
        <v>128499.95415320568</v>
      </c>
      <c r="H87" s="199">
        <f t="shared" ref="H87" si="60">SUM(H79:H86)</f>
        <v>368441</v>
      </c>
      <c r="I87" s="200">
        <f t="shared" ref="I87" si="61">SUM(I79:I86)</f>
        <v>158863</v>
      </c>
      <c r="J87" s="198">
        <f t="shared" ref="J87" si="62">SUM(J79:J86)</f>
        <v>-363305</v>
      </c>
      <c r="K87" s="198">
        <f t="shared" ref="K87" si="63">SUM(K79:K86)</f>
        <v>-350114</v>
      </c>
      <c r="L87" s="199">
        <f t="shared" ref="L87" si="64">SUM(L79:L86)</f>
        <v>-1345</v>
      </c>
      <c r="M87" s="200">
        <f>SUM(M79:M86)</f>
        <v>-1673236</v>
      </c>
      <c r="N87" s="198">
        <f>SUM(N79:N86)</f>
        <v>-1092834</v>
      </c>
      <c r="O87" s="198">
        <f>SUM(O79:O86)</f>
        <v>-445814</v>
      </c>
      <c r="P87" s="199">
        <f t="shared" ref="P87" si="65">SUM(P79:P86)</f>
        <v>-101995</v>
      </c>
      <c r="Q87" s="200">
        <f t="shared" ref="Q87" si="66">SUM(Q79:Q86)</f>
        <v>-1443733</v>
      </c>
      <c r="R87" s="198">
        <f>SUM(R79:R86)</f>
        <v>-449739</v>
      </c>
      <c r="S87" s="198">
        <f>SUM(S79:S86)</f>
        <v>-330050</v>
      </c>
      <c r="T87" s="199">
        <f t="shared" ref="T87" si="67">SUM(T79:T86)</f>
        <v>-173513</v>
      </c>
      <c r="U87" s="200">
        <f t="shared" ref="U87" si="68">SUM(U79:U86)</f>
        <v>-288158</v>
      </c>
      <c r="V87" s="198">
        <f t="shared" ref="V87:W87" si="69">SUM(V79:V86)</f>
        <v>-165335</v>
      </c>
      <c r="W87" s="198">
        <f t="shared" si="69"/>
        <v>-66026</v>
      </c>
      <c r="X87" s="198">
        <f t="shared" ref="X87" si="70">SUM(X79:X86)</f>
        <v>-7074</v>
      </c>
      <c r="Y87" s="200">
        <f t="shared" ref="Y87" si="71">SUM(Y79:Y86)</f>
        <v>-754980</v>
      </c>
      <c r="Z87" s="198">
        <f t="shared" ref="Z87" si="72">SUM(Z79:Z86)</f>
        <v>-471283</v>
      </c>
      <c r="AA87" s="198">
        <f t="shared" ref="AA87:AE87" si="73">SUM(AA79:AA86)</f>
        <v>-393520</v>
      </c>
      <c r="AB87" s="198">
        <f t="shared" si="73"/>
        <v>-166019</v>
      </c>
      <c r="AC87" s="200">
        <f t="shared" si="73"/>
        <v>-235681</v>
      </c>
      <c r="AD87" s="198">
        <f t="shared" si="73"/>
        <v>14</v>
      </c>
      <c r="AE87" s="198">
        <f t="shared" si="73"/>
        <v>225136</v>
      </c>
      <c r="AF87" s="198">
        <v>507102</v>
      </c>
      <c r="AG87" s="200">
        <v>-251185</v>
      </c>
      <c r="AH87" s="198">
        <v>-126786</v>
      </c>
      <c r="AI87" s="198">
        <v>-67833</v>
      </c>
      <c r="AJ87" s="198">
        <v>-188319</v>
      </c>
      <c r="AK87" s="200">
        <v>-210542</v>
      </c>
    </row>
    <row r="88" spans="1:37" ht="9" customHeight="1" thickTop="1">
      <c r="B88" s="201"/>
      <c r="C88" s="193"/>
      <c r="D88" s="194"/>
      <c r="E88" s="195"/>
      <c r="F88" s="193"/>
      <c r="G88" s="193"/>
      <c r="H88" s="194"/>
      <c r="I88" s="195"/>
      <c r="J88" s="193"/>
      <c r="K88" s="193"/>
      <c r="L88" s="194"/>
      <c r="M88" s="195"/>
      <c r="N88" s="193"/>
      <c r="O88" s="193"/>
      <c r="P88" s="194"/>
      <c r="Q88" s="195"/>
      <c r="R88" s="193"/>
      <c r="S88" s="193"/>
      <c r="T88" s="194"/>
      <c r="U88" s="195"/>
      <c r="V88" s="193"/>
      <c r="W88" s="193"/>
      <c r="X88" s="193"/>
      <c r="Y88" s="195"/>
      <c r="Z88" s="193"/>
      <c r="AA88" s="193"/>
      <c r="AB88" s="193"/>
      <c r="AC88" s="195"/>
      <c r="AD88" s="193"/>
      <c r="AE88" s="193"/>
      <c r="AF88" s="193"/>
      <c r="AG88" s="195"/>
      <c r="AH88" s="193"/>
      <c r="AI88" s="193"/>
      <c r="AJ88" s="193"/>
      <c r="AK88" s="195"/>
    </row>
    <row r="89" spans="1:37" ht="15">
      <c r="A89" s="196"/>
      <c r="B89" s="251" t="s">
        <v>287</v>
      </c>
      <c r="C89" s="211">
        <v>21960.914314916125</v>
      </c>
      <c r="D89" s="212">
        <v>10620</v>
      </c>
      <c r="E89" s="213">
        <v>-9860</v>
      </c>
      <c r="F89" s="211">
        <v>-13867</v>
      </c>
      <c r="G89" s="211">
        <v>-2880</v>
      </c>
      <c r="H89" s="212">
        <v>-5964</v>
      </c>
      <c r="I89" s="213">
        <v>-75233</v>
      </c>
      <c r="J89" s="211">
        <v>-57084</v>
      </c>
      <c r="K89" s="211">
        <v>-41407</v>
      </c>
      <c r="L89" s="212">
        <v>-19482</v>
      </c>
      <c r="M89" s="213">
        <v>-233332</v>
      </c>
      <c r="N89" s="211">
        <v>-156952</v>
      </c>
      <c r="O89" s="211">
        <v>-110728</v>
      </c>
      <c r="P89" s="212">
        <v>-101194</v>
      </c>
      <c r="Q89" s="213">
        <v>-25666</v>
      </c>
      <c r="R89" s="211">
        <v>-18871</v>
      </c>
      <c r="S89" s="211">
        <v>-22043</v>
      </c>
      <c r="T89" s="212">
        <v>-1814</v>
      </c>
      <c r="U89" s="213">
        <v>-6089</v>
      </c>
      <c r="V89" s="211">
        <v>-6682</v>
      </c>
      <c r="W89" s="211">
        <v>11701</v>
      </c>
      <c r="X89" s="211">
        <v>-3043</v>
      </c>
      <c r="Y89" s="213">
        <v>107838</v>
      </c>
      <c r="Z89" s="211">
        <v>-14376</v>
      </c>
      <c r="AA89" s="211">
        <v>-900</v>
      </c>
      <c r="AB89" s="211">
        <v>-7588</v>
      </c>
      <c r="AC89" s="213">
        <v>2719</v>
      </c>
      <c r="AD89" s="211">
        <v>-15366</v>
      </c>
      <c r="AE89" s="211">
        <v>-8645</v>
      </c>
      <c r="AF89" s="211">
        <v>-141</v>
      </c>
      <c r="AG89" s="213">
        <v>-8935</v>
      </c>
      <c r="AH89" s="211">
        <v>-6651</v>
      </c>
      <c r="AI89" s="211">
        <v>-1717</v>
      </c>
      <c r="AJ89" s="211">
        <v>0</v>
      </c>
      <c r="AK89" s="213">
        <v>0</v>
      </c>
    </row>
    <row r="90" spans="1:37" ht="15">
      <c r="A90" s="196"/>
      <c r="B90" s="251" t="s">
        <v>280</v>
      </c>
      <c r="C90" s="211">
        <f t="shared" ref="C90" si="74">C64+C77+C87+C89</f>
        <v>290290</v>
      </c>
      <c r="D90" s="212">
        <f t="shared" ref="D90" si="75">D64+D77+D87+D89</f>
        <v>-71469.059015489387</v>
      </c>
      <c r="E90" s="213">
        <f t="shared" ref="E90" si="76">E64+E77+E87+E89</f>
        <v>-497862</v>
      </c>
      <c r="F90" s="211">
        <f t="shared" ref="F90" si="77">F64+F77+F87+F89</f>
        <v>-220359.00162188709</v>
      </c>
      <c r="G90" s="211">
        <f t="shared" ref="G90" si="78">G64+G77+G87+G89</f>
        <v>195600.52111638541</v>
      </c>
      <c r="H90" s="212">
        <f t="shared" ref="H90" si="79">H64+H77+H87+H89</f>
        <v>533025</v>
      </c>
      <c r="I90" s="213">
        <f t="shared" ref="I90" si="80">I64+I77+I87+I89</f>
        <v>941082</v>
      </c>
      <c r="J90" s="211">
        <f t="shared" ref="J90" si="81">J64+J77+J87+J89</f>
        <v>467687</v>
      </c>
      <c r="K90" s="211">
        <f t="shared" ref="K90" si="82">K64+K77+K87+K89</f>
        <v>392894.00000000023</v>
      </c>
      <c r="L90" s="212">
        <f t="shared" ref="L90:M90" si="83">L64+L77+L87+L89</f>
        <v>699342</v>
      </c>
      <c r="M90" s="213">
        <f t="shared" si="83"/>
        <v>70945</v>
      </c>
      <c r="N90" s="211">
        <f>N64+N77+N87+N89</f>
        <v>83839</v>
      </c>
      <c r="O90" s="211">
        <f>O64+O77+O87+O89</f>
        <v>216481</v>
      </c>
      <c r="P90" s="212">
        <f t="shared" ref="P90" si="84">P64+P77+P87+P89</f>
        <v>-505</v>
      </c>
      <c r="Q90" s="213">
        <f>Q64+Q77+Q87+Q89</f>
        <v>-593675</v>
      </c>
      <c r="R90" s="211">
        <f>R64+R77+R87+R89</f>
        <v>-100475</v>
      </c>
      <c r="S90" s="211">
        <f t="shared" ref="S90:T90" si="85">S64+S77+S87+S89</f>
        <v>-164502</v>
      </c>
      <c r="T90" s="212">
        <f t="shared" si="85"/>
        <v>-79264.700469999982</v>
      </c>
      <c r="U90" s="213">
        <f t="shared" ref="U90" si="86">U64+U77+U87+U89</f>
        <v>623327</v>
      </c>
      <c r="V90" s="211">
        <f t="shared" ref="V90" si="87">V64+V77+V87+V89</f>
        <v>565725</v>
      </c>
      <c r="W90" s="211">
        <f t="shared" ref="W90" si="88">W64+W77+W87+W89</f>
        <v>441568</v>
      </c>
      <c r="X90" s="211">
        <f t="shared" ref="X90" si="89">X64+X77+X87+X89</f>
        <v>134847</v>
      </c>
      <c r="Y90" s="213">
        <f t="shared" ref="Y90" si="90">Y64+Y77+Y87+Y89</f>
        <v>99983</v>
      </c>
      <c r="Z90" s="211">
        <f t="shared" ref="Z90" si="91">Z64+Z77+Z87+Z89</f>
        <v>-30803</v>
      </c>
      <c r="AA90" s="211">
        <f t="shared" ref="AA90:AE90" si="92">AA64+AA77+AA87+AA89</f>
        <v>62306</v>
      </c>
      <c r="AB90" s="211">
        <f t="shared" si="92"/>
        <v>66860</v>
      </c>
      <c r="AC90" s="213">
        <f t="shared" si="92"/>
        <v>122983</v>
      </c>
      <c r="AD90" s="211">
        <f t="shared" si="92"/>
        <v>225374</v>
      </c>
      <c r="AE90" s="211">
        <f t="shared" si="92"/>
        <v>62275</v>
      </c>
      <c r="AF90" s="211">
        <v>151716</v>
      </c>
      <c r="AG90" s="213">
        <v>-304787</v>
      </c>
      <c r="AH90" s="211">
        <v>-315873</v>
      </c>
      <c r="AI90" s="211">
        <v>-84288</v>
      </c>
      <c r="AJ90" s="211">
        <v>-213255</v>
      </c>
      <c r="AK90" s="213">
        <v>256397</v>
      </c>
    </row>
    <row r="91" spans="1:37">
      <c r="B91" s="202" t="s">
        <v>282</v>
      </c>
      <c r="C91" s="193">
        <v>845342</v>
      </c>
      <c r="D91" s="194">
        <v>845342</v>
      </c>
      <c r="E91" s="195">
        <v>1343204</v>
      </c>
      <c r="F91" s="193">
        <v>1343204</v>
      </c>
      <c r="G91" s="193">
        <v>1343204</v>
      </c>
      <c r="H91" s="194">
        <v>1343204</v>
      </c>
      <c r="I91" s="195">
        <v>402122</v>
      </c>
      <c r="J91" s="193">
        <v>402122</v>
      </c>
      <c r="K91" s="193">
        <v>402122</v>
      </c>
      <c r="L91" s="194">
        <v>402122</v>
      </c>
      <c r="M91" s="195">
        <v>331177</v>
      </c>
      <c r="N91" s="193">
        <f>O91</f>
        <v>331177</v>
      </c>
      <c r="O91" s="193">
        <v>331177</v>
      </c>
      <c r="P91" s="194">
        <v>331177</v>
      </c>
      <c r="Q91" s="195">
        <f>R91</f>
        <v>924852</v>
      </c>
      <c r="R91" s="193">
        <v>924852</v>
      </c>
      <c r="S91" s="193">
        <v>924852</v>
      </c>
      <c r="T91" s="194">
        <v>924852</v>
      </c>
      <c r="U91" s="195">
        <f>V91</f>
        <v>301525</v>
      </c>
      <c r="V91" s="193">
        <v>301525</v>
      </c>
      <c r="W91" s="193">
        <v>301525</v>
      </c>
      <c r="X91" s="193">
        <v>301525</v>
      </c>
      <c r="Y91" s="195">
        <f>Z91</f>
        <v>201542</v>
      </c>
      <c r="Z91" s="193">
        <f>AA91</f>
        <v>201542</v>
      </c>
      <c r="AA91" s="193">
        <f>AB91</f>
        <v>201542</v>
      </c>
      <c r="AB91" s="193">
        <v>201542</v>
      </c>
      <c r="AC91" s="195">
        <v>78559</v>
      </c>
      <c r="AD91" s="193">
        <v>78559</v>
      </c>
      <c r="AE91" s="193">
        <v>78559</v>
      </c>
      <c r="AF91" s="193">
        <v>78559</v>
      </c>
      <c r="AG91" s="195">
        <v>383346</v>
      </c>
      <c r="AH91" s="193">
        <v>383346</v>
      </c>
      <c r="AI91" s="193">
        <v>383346</v>
      </c>
      <c r="AJ91" s="193">
        <v>383346</v>
      </c>
      <c r="AK91" s="195">
        <v>126949</v>
      </c>
    </row>
    <row r="92" spans="1:37" ht="15">
      <c r="A92" s="196"/>
      <c r="B92" s="251" t="s">
        <v>281</v>
      </c>
      <c r="C92" s="211">
        <f>C90+C91</f>
        <v>1135632</v>
      </c>
      <c r="D92" s="212">
        <f t="shared" ref="D92" si="93">D90+D91</f>
        <v>773872.94098451058</v>
      </c>
      <c r="E92" s="213">
        <f t="shared" ref="E92" si="94">E90+E91</f>
        <v>845342</v>
      </c>
      <c r="F92" s="211">
        <f>F90+F91</f>
        <v>1122844.9983781129</v>
      </c>
      <c r="G92" s="211">
        <f>G90+G91</f>
        <v>1538804.5211163855</v>
      </c>
      <c r="H92" s="212">
        <f t="shared" ref="H92" si="95">H90+H91</f>
        <v>1876229</v>
      </c>
      <c r="I92" s="213">
        <f t="shared" ref="I92" si="96">I90+I91</f>
        <v>1343204</v>
      </c>
      <c r="J92" s="211">
        <f t="shared" ref="J92" si="97">J90+J91</f>
        <v>869809</v>
      </c>
      <c r="K92" s="211">
        <f t="shared" ref="K92" si="98">K90+K91</f>
        <v>795016.00000000023</v>
      </c>
      <c r="L92" s="212">
        <f t="shared" ref="L92" si="99">L90+L91</f>
        <v>1101464</v>
      </c>
      <c r="M92" s="213">
        <f>M90+M91</f>
        <v>402122</v>
      </c>
      <c r="N92" s="211">
        <f>N90+N91</f>
        <v>415016</v>
      </c>
      <c r="O92" s="211">
        <f>O90+O91</f>
        <v>547658</v>
      </c>
      <c r="P92" s="212">
        <f t="shared" ref="P92" si="100">P90+P91</f>
        <v>330672</v>
      </c>
      <c r="Q92" s="213">
        <f>Q90+Q91</f>
        <v>331177</v>
      </c>
      <c r="R92" s="211">
        <f t="shared" ref="R92:T92" si="101">R90+R91</f>
        <v>824377</v>
      </c>
      <c r="S92" s="211">
        <f t="shared" si="101"/>
        <v>760350</v>
      </c>
      <c r="T92" s="212">
        <f t="shared" si="101"/>
        <v>845587.29952999996</v>
      </c>
      <c r="U92" s="213">
        <f t="shared" ref="U92" si="102">U90+U91</f>
        <v>924852</v>
      </c>
      <c r="V92" s="211">
        <f t="shared" ref="V92" si="103">V90+V91</f>
        <v>867250</v>
      </c>
      <c r="W92" s="211">
        <f t="shared" ref="W92" si="104">W90+W91</f>
        <v>743093</v>
      </c>
      <c r="X92" s="211">
        <f t="shared" ref="X92" si="105">X90+X91</f>
        <v>436372</v>
      </c>
      <c r="Y92" s="213">
        <f t="shared" ref="Y92" si="106">Y90+Y91</f>
        <v>301525</v>
      </c>
      <c r="Z92" s="211">
        <f t="shared" ref="Z92" si="107">Z90+Z91</f>
        <v>170739</v>
      </c>
      <c r="AA92" s="211">
        <f t="shared" ref="AA92:AE92" si="108">AA90+AA91</f>
        <v>263848</v>
      </c>
      <c r="AB92" s="211">
        <f t="shared" si="108"/>
        <v>268402</v>
      </c>
      <c r="AC92" s="213">
        <f t="shared" si="108"/>
        <v>201542</v>
      </c>
      <c r="AD92" s="211">
        <f t="shared" si="108"/>
        <v>303933</v>
      </c>
      <c r="AE92" s="211">
        <f t="shared" si="108"/>
        <v>140834</v>
      </c>
      <c r="AF92" s="211">
        <v>230275</v>
      </c>
      <c r="AG92" s="213">
        <v>78559</v>
      </c>
      <c r="AH92" s="211">
        <v>67473</v>
      </c>
      <c r="AI92" s="211">
        <v>299058</v>
      </c>
      <c r="AJ92" s="211">
        <v>170091</v>
      </c>
      <c r="AK92" s="213">
        <v>383346</v>
      </c>
    </row>
    <row r="93" spans="1:37" ht="12.75">
      <c r="A93" s="252"/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3"/>
      <c r="AF93" s="253"/>
      <c r="AG93" s="252"/>
      <c r="AH93" s="253"/>
      <c r="AI93" s="253"/>
      <c r="AJ93" s="253"/>
      <c r="AK93" s="252"/>
    </row>
    <row r="94" spans="1:37" ht="12.7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4"/>
      <c r="AF94" s="254"/>
      <c r="AG94" s="252"/>
      <c r="AH94" s="254"/>
      <c r="AI94" s="254"/>
      <c r="AJ94" s="254"/>
      <c r="AK94" s="252"/>
    </row>
  </sheetData>
  <mergeCells count="37">
    <mergeCell ref="C10:C11"/>
    <mergeCell ref="E10:E11"/>
    <mergeCell ref="F10:F11"/>
    <mergeCell ref="G10:G11"/>
    <mergeCell ref="I10:I11"/>
    <mergeCell ref="K10:K11"/>
    <mergeCell ref="M10:M11"/>
    <mergeCell ref="H10:H11"/>
    <mergeCell ref="AK10:AK11"/>
    <mergeCell ref="AI10:AI11"/>
    <mergeCell ref="AH10:AH11"/>
    <mergeCell ref="AG10:AG11"/>
    <mergeCell ref="AF10:AF11"/>
    <mergeCell ref="O10:O11"/>
    <mergeCell ref="P10:P11"/>
    <mergeCell ref="J10:J11"/>
    <mergeCell ref="X10:X11"/>
    <mergeCell ref="W10:W11"/>
    <mergeCell ref="Q10:Q11"/>
    <mergeCell ref="N10:N11"/>
    <mergeCell ref="L10:L11"/>
    <mergeCell ref="B7:B8"/>
    <mergeCell ref="B10:B11"/>
    <mergeCell ref="AJ10:AJ11"/>
    <mergeCell ref="AE10:AE11"/>
    <mergeCell ref="AD10:AD11"/>
    <mergeCell ref="AC10:AC11"/>
    <mergeCell ref="AB10:AB11"/>
    <mergeCell ref="AA10:AA11"/>
    <mergeCell ref="Z10:Z11"/>
    <mergeCell ref="Y10:Y11"/>
    <mergeCell ref="V10:V11"/>
    <mergeCell ref="U10:U11"/>
    <mergeCell ref="T10:T11"/>
    <mergeCell ref="S10:S11"/>
    <mergeCell ref="R10:R11"/>
    <mergeCell ref="D10:D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G11:AK11 AG10:AH10 AK10" numberStoredAsText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A2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4" width="9.85546875" style="2" bestFit="1" customWidth="1"/>
    <col min="5" max="5" width="11.5703125" style="2" bestFit="1" customWidth="1"/>
    <col min="6" max="9" width="9.85546875" style="2" bestFit="1" customWidth="1"/>
    <col min="10" max="10" width="11.5703125" style="2" bestFit="1" customWidth="1"/>
    <col min="11" max="14" width="9.85546875" style="2" bestFit="1" customWidth="1"/>
    <col min="15" max="15" width="11.5703125" style="2" bestFit="1" customWidth="1"/>
    <col min="16" max="16" width="9.85546875" style="2" bestFit="1" customWidth="1"/>
    <col min="17" max="19" width="10.7109375" style="2" customWidth="1"/>
    <col min="20" max="22" width="11.5703125" style="2" bestFit="1" customWidth="1"/>
    <col min="23" max="34" width="10.7109375" style="2" customWidth="1"/>
    <col min="35" max="35" width="11.5703125" style="2" bestFit="1" customWidth="1"/>
    <col min="36" max="36" width="11.5703125" style="2" customWidth="1"/>
    <col min="37" max="37" width="11.140625" style="2" customWidth="1"/>
    <col min="38" max="39" width="9.85546875" style="284" bestFit="1" customWidth="1"/>
    <col min="40" max="40" width="10.7109375" style="2" customWidth="1"/>
    <col min="41" max="42" width="9.85546875" style="284" customWidth="1"/>
    <col min="43" max="44" width="9.85546875" style="284" bestFit="1" customWidth="1"/>
    <col min="45" max="45" width="10.7109375" style="2" customWidth="1"/>
    <col min="46" max="46" width="8.7109375" style="2" bestFit="1" customWidth="1"/>
    <col min="47" max="48" width="9.85546875" style="2" bestFit="1" customWidth="1"/>
    <col min="49" max="49" width="9.42578125" style="2" bestFit="1" customWidth="1"/>
    <col min="50" max="50" width="8.28515625" style="2" bestFit="1" customWidth="1"/>
    <col min="51" max="51" width="8.7109375" style="2" bestFit="1" customWidth="1"/>
    <col min="52" max="53" width="8.5703125" style="2" bestFit="1" customWidth="1"/>
    <col min="54" max="16384" width="9.140625" style="2"/>
  </cols>
  <sheetData>
    <row r="1" spans="2:53" s="181" customFormat="1" ht="9" customHeight="1">
      <c r="AL1" s="183"/>
      <c r="AM1" s="183"/>
      <c r="AO1" s="183"/>
      <c r="AP1" s="183"/>
      <c r="AQ1" s="183"/>
      <c r="AR1" s="183"/>
      <c r="AT1" s="255"/>
      <c r="AU1" s="255"/>
      <c r="AV1" s="255"/>
      <c r="AW1" s="255"/>
      <c r="AX1" s="255"/>
      <c r="AY1" s="255"/>
      <c r="AZ1" s="255"/>
      <c r="BA1" s="255"/>
    </row>
    <row r="2" spans="2:53" s="181" customFormat="1" ht="15.75" customHeight="1">
      <c r="AL2" s="183"/>
      <c r="AM2" s="183"/>
      <c r="AO2" s="183"/>
      <c r="AP2" s="183"/>
      <c r="AQ2" s="183"/>
      <c r="AR2" s="183"/>
      <c r="AT2" s="255"/>
      <c r="AU2" s="255"/>
      <c r="AV2" s="255"/>
      <c r="AW2" s="255"/>
      <c r="AX2" s="255"/>
      <c r="AY2" s="255"/>
      <c r="AZ2" s="255"/>
      <c r="BA2" s="255"/>
    </row>
    <row r="3" spans="2:53" s="181" customFormat="1" ht="15.75" customHeight="1">
      <c r="AL3" s="183"/>
      <c r="AM3" s="183"/>
      <c r="AO3" s="183"/>
      <c r="AP3" s="183"/>
      <c r="AQ3" s="183"/>
      <c r="AR3" s="183"/>
      <c r="AT3" s="255"/>
      <c r="AU3" s="255"/>
      <c r="AV3" s="255"/>
      <c r="AW3" s="255"/>
      <c r="AX3" s="255"/>
      <c r="AY3" s="255"/>
      <c r="AZ3" s="255"/>
      <c r="BA3" s="255"/>
    </row>
    <row r="4" spans="2:53" s="181" customFormat="1" ht="15.75" customHeight="1">
      <c r="AL4" s="183"/>
      <c r="AM4" s="183"/>
      <c r="AO4" s="183"/>
      <c r="AP4" s="183"/>
      <c r="AQ4" s="183"/>
      <c r="AR4" s="183"/>
      <c r="AT4" s="255"/>
      <c r="AU4" s="255"/>
      <c r="AV4" s="255"/>
      <c r="AW4" s="255"/>
      <c r="AX4" s="255"/>
      <c r="AY4" s="255"/>
      <c r="AZ4" s="255"/>
      <c r="BA4" s="255"/>
    </row>
    <row r="5" spans="2:53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7"/>
      <c r="AM5" s="257"/>
      <c r="AN5" s="256"/>
      <c r="AO5" s="257"/>
      <c r="AP5" s="257"/>
      <c r="AQ5" s="257"/>
      <c r="AR5" s="257"/>
      <c r="AS5" s="256"/>
    </row>
    <row r="6" spans="2:53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7"/>
      <c r="AM6" s="257"/>
      <c r="AN6" s="256"/>
      <c r="AO6" s="257"/>
      <c r="AP6" s="257"/>
      <c r="AQ6" s="257"/>
      <c r="AR6" s="257"/>
      <c r="AS6" s="256"/>
    </row>
    <row r="7" spans="2:53" s="181" customFormat="1" ht="15" customHeight="1">
      <c r="B7" s="450" t="s">
        <v>371</v>
      </c>
      <c r="C7" s="443"/>
      <c r="D7" s="440"/>
      <c r="E7" s="438"/>
      <c r="F7" s="438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232"/>
      <c r="AM7" s="232"/>
      <c r="AN7" s="189"/>
      <c r="AO7" s="232"/>
      <c r="AP7" s="232"/>
      <c r="AQ7" s="232"/>
      <c r="AR7" s="232"/>
      <c r="AS7" s="189"/>
      <c r="AT7" s="255"/>
      <c r="AU7" s="255"/>
      <c r="AV7" s="255"/>
      <c r="AW7" s="255"/>
      <c r="AX7" s="255"/>
      <c r="AY7" s="255"/>
      <c r="AZ7" s="255"/>
      <c r="BA7" s="255"/>
    </row>
    <row r="8" spans="2:53" s="181" customFormat="1" ht="15" customHeight="1">
      <c r="B8" s="450"/>
      <c r="C8" s="443"/>
      <c r="D8" s="440"/>
      <c r="E8" s="438"/>
      <c r="F8" s="438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232"/>
      <c r="AM8" s="232"/>
      <c r="AN8" s="189"/>
      <c r="AO8" s="232"/>
      <c r="AP8" s="232"/>
      <c r="AQ8" s="232"/>
      <c r="AR8" s="232"/>
      <c r="AS8" s="189"/>
      <c r="AT8" s="255"/>
      <c r="AU8" s="255"/>
      <c r="AV8" s="255"/>
      <c r="AW8" s="255"/>
      <c r="AX8" s="255"/>
      <c r="AY8" s="255"/>
      <c r="AZ8" s="255"/>
      <c r="BA8" s="255"/>
    </row>
    <row r="9" spans="2:53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7"/>
      <c r="AM9" s="257"/>
      <c r="AN9" s="256"/>
      <c r="AO9" s="257"/>
      <c r="AP9" s="257"/>
      <c r="AQ9" s="257"/>
      <c r="AR9" s="257"/>
      <c r="AS9" s="256"/>
    </row>
    <row r="10" spans="2:53" s="259" customFormat="1" ht="15" customHeight="1">
      <c r="B10" s="463" t="s">
        <v>163</v>
      </c>
      <c r="C10" s="465" t="s">
        <v>447</v>
      </c>
      <c r="D10" s="469" t="s">
        <v>444</v>
      </c>
      <c r="E10" s="467">
        <v>2024</v>
      </c>
      <c r="F10" s="465" t="s">
        <v>436</v>
      </c>
      <c r="G10" s="465" t="s">
        <v>432</v>
      </c>
      <c r="H10" s="465" t="s">
        <v>429</v>
      </c>
      <c r="I10" s="469" t="s">
        <v>420</v>
      </c>
      <c r="J10" s="467">
        <v>2023</v>
      </c>
      <c r="K10" s="465" t="s">
        <v>410</v>
      </c>
      <c r="L10" s="465" t="s">
        <v>404</v>
      </c>
      <c r="M10" s="465" t="s">
        <v>401</v>
      </c>
      <c r="N10" s="469" t="s">
        <v>394</v>
      </c>
      <c r="O10" s="467">
        <v>2022</v>
      </c>
      <c r="P10" s="465" t="s">
        <v>391</v>
      </c>
      <c r="Q10" s="465" t="s">
        <v>385</v>
      </c>
      <c r="R10" s="465" t="s">
        <v>365</v>
      </c>
      <c r="S10" s="469" t="s">
        <v>363</v>
      </c>
      <c r="T10" s="467">
        <v>2021</v>
      </c>
      <c r="U10" s="465" t="s">
        <v>357</v>
      </c>
      <c r="V10" s="465" t="s">
        <v>351</v>
      </c>
      <c r="W10" s="465" t="s">
        <v>347</v>
      </c>
      <c r="X10" s="469" t="s">
        <v>344</v>
      </c>
      <c r="Y10" s="467">
        <v>2020</v>
      </c>
      <c r="Z10" s="465" t="s">
        <v>341</v>
      </c>
      <c r="AA10" s="465" t="s">
        <v>337</v>
      </c>
      <c r="AB10" s="465" t="s">
        <v>331</v>
      </c>
      <c r="AC10" s="449" t="s">
        <v>329</v>
      </c>
      <c r="AD10" s="467">
        <v>2019</v>
      </c>
      <c r="AE10" s="465" t="s">
        <v>328</v>
      </c>
      <c r="AF10" s="465" t="s">
        <v>325</v>
      </c>
      <c r="AG10" s="465" t="s">
        <v>315</v>
      </c>
      <c r="AH10" s="465" t="s">
        <v>311</v>
      </c>
      <c r="AI10" s="467">
        <v>2018</v>
      </c>
      <c r="AJ10" s="465" t="s">
        <v>307</v>
      </c>
      <c r="AK10" s="465" t="s">
        <v>164</v>
      </c>
      <c r="AL10" s="465" t="s">
        <v>166</v>
      </c>
      <c r="AM10" s="465" t="s">
        <v>167</v>
      </c>
      <c r="AN10" s="467">
        <v>2017</v>
      </c>
      <c r="AO10" s="465" t="s">
        <v>168</v>
      </c>
      <c r="AP10" s="465" t="s">
        <v>169</v>
      </c>
      <c r="AQ10" s="465" t="s">
        <v>171</v>
      </c>
      <c r="AR10" s="465" t="s">
        <v>172</v>
      </c>
      <c r="AS10" s="467">
        <v>2016</v>
      </c>
      <c r="AT10" s="258"/>
      <c r="AU10" s="258"/>
      <c r="AV10" s="258"/>
      <c r="AW10" s="258"/>
      <c r="AX10" s="258"/>
      <c r="AY10" s="258"/>
      <c r="AZ10" s="258"/>
      <c r="BA10" s="258"/>
    </row>
    <row r="11" spans="2:53" s="259" customFormat="1" ht="15" customHeight="1">
      <c r="B11" s="464"/>
      <c r="C11" s="466"/>
      <c r="D11" s="470"/>
      <c r="E11" s="468"/>
      <c r="F11" s="466"/>
      <c r="G11" s="466"/>
      <c r="H11" s="466"/>
      <c r="I11" s="470"/>
      <c r="J11" s="468"/>
      <c r="K11" s="466"/>
      <c r="L11" s="466"/>
      <c r="M11" s="466"/>
      <c r="N11" s="470"/>
      <c r="O11" s="468"/>
      <c r="P11" s="466"/>
      <c r="Q11" s="466"/>
      <c r="R11" s="466"/>
      <c r="S11" s="470"/>
      <c r="T11" s="468"/>
      <c r="U11" s="466"/>
      <c r="V11" s="466"/>
      <c r="W11" s="466"/>
      <c r="X11" s="470"/>
      <c r="Y11" s="468"/>
      <c r="Z11" s="466"/>
      <c r="AA11" s="466"/>
      <c r="AB11" s="466"/>
      <c r="AC11" s="449"/>
      <c r="AD11" s="468"/>
      <c r="AE11" s="466"/>
      <c r="AF11" s="466"/>
      <c r="AG11" s="466"/>
      <c r="AH11" s="466"/>
      <c r="AI11" s="468"/>
      <c r="AJ11" s="466"/>
      <c r="AK11" s="466"/>
      <c r="AL11" s="466"/>
      <c r="AM11" s="466"/>
      <c r="AN11" s="468"/>
      <c r="AO11" s="466"/>
      <c r="AP11" s="466"/>
      <c r="AQ11" s="466"/>
      <c r="AR11" s="466"/>
      <c r="AS11" s="468"/>
      <c r="AT11" s="258"/>
      <c r="AU11" s="258"/>
      <c r="AV11" s="258"/>
      <c r="AW11" s="258"/>
      <c r="AX11" s="258"/>
      <c r="AY11" s="258"/>
      <c r="AZ11" s="258"/>
      <c r="BA11" s="258"/>
    </row>
    <row r="12" spans="2:53" s="265" customFormat="1" ht="15" customHeight="1">
      <c r="B12" s="260" t="s">
        <v>288</v>
      </c>
      <c r="C12" s="261">
        <v>231502</v>
      </c>
      <c r="D12" s="262">
        <v>150352</v>
      </c>
      <c r="E12" s="263">
        <v>557118</v>
      </c>
      <c r="F12" s="261">
        <v>292736</v>
      </c>
      <c r="G12" s="261">
        <v>118948</v>
      </c>
      <c r="H12" s="261">
        <v>89535</v>
      </c>
      <c r="I12" s="262">
        <v>55899</v>
      </c>
      <c r="J12" s="263">
        <v>791273</v>
      </c>
      <c r="K12" s="261">
        <v>161183</v>
      </c>
      <c r="L12" s="261">
        <v>190793</v>
      </c>
      <c r="M12" s="261">
        <v>186336</v>
      </c>
      <c r="N12" s="262">
        <v>252961</v>
      </c>
      <c r="O12" s="263">
        <v>1334303</v>
      </c>
      <c r="P12" s="261">
        <v>148330</v>
      </c>
      <c r="Q12" s="261">
        <v>197790</v>
      </c>
      <c r="R12" s="261">
        <v>539150</v>
      </c>
      <c r="S12" s="262">
        <v>449030</v>
      </c>
      <c r="T12" s="263">
        <v>2003833</v>
      </c>
      <c r="U12" s="261">
        <v>687996</v>
      </c>
      <c r="V12" s="261">
        <v>788055</v>
      </c>
      <c r="W12" s="261">
        <v>246971</v>
      </c>
      <c r="X12" s="262">
        <v>280811</v>
      </c>
      <c r="Y12" s="263">
        <v>370215</v>
      </c>
      <c r="Z12" s="261">
        <v>289133</v>
      </c>
      <c r="AA12" s="261">
        <v>156276</v>
      </c>
      <c r="AB12" s="261">
        <v>19173</v>
      </c>
      <c r="AC12" s="261">
        <v>-94367</v>
      </c>
      <c r="AD12" s="263">
        <v>172358</v>
      </c>
      <c r="AE12" s="261">
        <v>138071</v>
      </c>
      <c r="AF12" s="261">
        <v>-22317</v>
      </c>
      <c r="AG12" s="261">
        <v>416</v>
      </c>
      <c r="AH12" s="261">
        <v>56189</v>
      </c>
      <c r="AI12" s="263">
        <v>547440</v>
      </c>
      <c r="AJ12" s="261">
        <v>165852</v>
      </c>
      <c r="AK12" s="261">
        <v>146319</v>
      </c>
      <c r="AL12" s="261">
        <v>70750</v>
      </c>
      <c r="AM12" s="261">
        <v>164518</v>
      </c>
      <c r="AN12" s="263">
        <v>306264</v>
      </c>
      <c r="AO12" s="261">
        <v>108318</v>
      </c>
      <c r="AP12" s="261">
        <v>138346</v>
      </c>
      <c r="AQ12" s="261">
        <v>26755</v>
      </c>
      <c r="AR12" s="261">
        <v>32845</v>
      </c>
      <c r="AS12" s="263">
        <v>280836</v>
      </c>
      <c r="AT12" s="264"/>
      <c r="AU12" s="264"/>
      <c r="AV12" s="264"/>
      <c r="AW12" s="264"/>
      <c r="AX12" s="264"/>
      <c r="AY12" s="264"/>
      <c r="AZ12" s="264"/>
      <c r="BA12" s="264"/>
    </row>
    <row r="13" spans="2:53" s="265" customFormat="1" ht="15" customHeight="1">
      <c r="B13" s="266" t="s">
        <v>290</v>
      </c>
      <c r="C13" s="267">
        <v>82614</v>
      </c>
      <c r="D13" s="268">
        <v>72713</v>
      </c>
      <c r="E13" s="269">
        <v>226926</v>
      </c>
      <c r="F13" s="267">
        <v>106877</v>
      </c>
      <c r="G13" s="267">
        <v>36865</v>
      </c>
      <c r="H13" s="267">
        <v>15772</v>
      </c>
      <c r="I13" s="268">
        <v>67413</v>
      </c>
      <c r="J13" s="269">
        <v>374188</v>
      </c>
      <c r="K13" s="267">
        <v>-61290</v>
      </c>
      <c r="L13" s="267">
        <v>58123</v>
      </c>
      <c r="M13" s="267">
        <v>172537</v>
      </c>
      <c r="N13" s="268">
        <v>204818</v>
      </c>
      <c r="O13" s="269">
        <v>717687</v>
      </c>
      <c r="P13" s="267">
        <v>101309</v>
      </c>
      <c r="Q13" s="267">
        <v>73026</v>
      </c>
      <c r="R13" s="267">
        <v>290134</v>
      </c>
      <c r="S13" s="268">
        <v>253220</v>
      </c>
      <c r="T13" s="269">
        <v>1031490</v>
      </c>
      <c r="U13" s="267">
        <v>355070</v>
      </c>
      <c r="V13" s="267">
        <v>322099</v>
      </c>
      <c r="W13" s="267">
        <v>205326</v>
      </c>
      <c r="X13" s="268">
        <v>148995</v>
      </c>
      <c r="Y13" s="269">
        <v>230942</v>
      </c>
      <c r="Z13" s="267">
        <v>105635</v>
      </c>
      <c r="AA13" s="267">
        <v>50484</v>
      </c>
      <c r="AB13" s="267">
        <v>39638</v>
      </c>
      <c r="AC13" s="267">
        <v>35185</v>
      </c>
      <c r="AD13" s="269">
        <v>84252</v>
      </c>
      <c r="AE13" s="267">
        <v>-71996</v>
      </c>
      <c r="AF13" s="267">
        <v>47899</v>
      </c>
      <c r="AG13" s="267">
        <v>56409</v>
      </c>
      <c r="AH13" s="267">
        <v>51939</v>
      </c>
      <c r="AI13" s="269">
        <v>129297</v>
      </c>
      <c r="AJ13" s="267">
        <v>-34131</v>
      </c>
      <c r="AK13" s="267">
        <v>19195</v>
      </c>
      <c r="AL13" s="267">
        <v>64122</v>
      </c>
      <c r="AM13" s="267">
        <v>80111</v>
      </c>
      <c r="AN13" s="269">
        <v>30597</v>
      </c>
      <c r="AO13" s="267">
        <v>-33183</v>
      </c>
      <c r="AP13" s="267">
        <v>13221</v>
      </c>
      <c r="AQ13" s="267">
        <v>36824</v>
      </c>
      <c r="AR13" s="267">
        <v>13735</v>
      </c>
      <c r="AS13" s="269">
        <v>187771</v>
      </c>
      <c r="AT13" s="270"/>
      <c r="AU13" s="270"/>
      <c r="AV13" s="270"/>
      <c r="AW13" s="270"/>
      <c r="AX13" s="270"/>
      <c r="AY13" s="270"/>
      <c r="AZ13" s="270"/>
      <c r="BA13" s="270"/>
    </row>
    <row r="14" spans="2:53" s="265" customFormat="1" ht="15" customHeight="1">
      <c r="B14" s="271" t="s">
        <v>289</v>
      </c>
      <c r="C14" s="267">
        <v>-2340</v>
      </c>
      <c r="D14" s="268">
        <v>32616</v>
      </c>
      <c r="E14" s="269">
        <v>-159025</v>
      </c>
      <c r="F14" s="267">
        <v>-57318</v>
      </c>
      <c r="G14" s="267">
        <v>-25994</v>
      </c>
      <c r="H14" s="267">
        <v>-69673</v>
      </c>
      <c r="I14" s="268">
        <v>-6041</v>
      </c>
      <c r="J14" s="269">
        <v>-185827</v>
      </c>
      <c r="K14" s="267">
        <v>-79726</v>
      </c>
      <c r="L14" s="267">
        <v>-34079</v>
      </c>
      <c r="M14" s="267">
        <v>-47553.999999999993</v>
      </c>
      <c r="N14" s="268">
        <v>-24468</v>
      </c>
      <c r="O14" s="269">
        <v>328268</v>
      </c>
      <c r="P14" s="267">
        <v>-26103</v>
      </c>
      <c r="Q14" s="267">
        <v>316159</v>
      </c>
      <c r="R14" s="267">
        <v>-29896</v>
      </c>
      <c r="S14" s="268">
        <v>68109</v>
      </c>
      <c r="T14" s="269">
        <v>-90835</v>
      </c>
      <c r="U14" s="267">
        <v>46038</v>
      </c>
      <c r="V14" s="267">
        <v>-145825</v>
      </c>
      <c r="W14" s="267">
        <v>-76147</v>
      </c>
      <c r="X14" s="268">
        <v>85099.000000000015</v>
      </c>
      <c r="Y14" s="269">
        <v>147363</v>
      </c>
      <c r="Z14" s="267">
        <v>-37614</v>
      </c>
      <c r="AA14" s="267">
        <v>56703</v>
      </c>
      <c r="AB14" s="267">
        <v>27531</v>
      </c>
      <c r="AC14" s="267">
        <v>100743</v>
      </c>
      <c r="AD14" s="269">
        <v>140921</v>
      </c>
      <c r="AE14" s="267">
        <v>16207</v>
      </c>
      <c r="AF14" s="267">
        <v>91984</v>
      </c>
      <c r="AG14" s="267">
        <v>27020</v>
      </c>
      <c r="AH14" s="267">
        <v>5712</v>
      </c>
      <c r="AI14" s="269">
        <v>153905</v>
      </c>
      <c r="AJ14" s="267">
        <v>3646</v>
      </c>
      <c r="AK14" s="267">
        <v>17829</v>
      </c>
      <c r="AL14" s="267">
        <v>104943</v>
      </c>
      <c r="AM14" s="267">
        <v>27487</v>
      </c>
      <c r="AN14" s="269">
        <v>93836</v>
      </c>
      <c r="AO14" s="267">
        <v>50234</v>
      </c>
      <c r="AP14" s="267">
        <v>-1081</v>
      </c>
      <c r="AQ14" s="267">
        <v>33003</v>
      </c>
      <c r="AR14" s="267">
        <v>11680</v>
      </c>
      <c r="AS14" s="269">
        <v>99759</v>
      </c>
      <c r="AT14" s="270"/>
      <c r="AU14" s="270"/>
      <c r="AV14" s="270"/>
      <c r="AW14" s="270"/>
      <c r="AX14" s="270"/>
      <c r="AY14" s="270"/>
      <c r="AZ14" s="270"/>
      <c r="BA14" s="270"/>
    </row>
    <row r="15" spans="2:53" s="265" customFormat="1" ht="15" customHeight="1">
      <c r="B15" s="271" t="s">
        <v>291</v>
      </c>
      <c r="C15" s="267">
        <v>77412</v>
      </c>
      <c r="D15" s="268">
        <v>79852</v>
      </c>
      <c r="E15" s="269">
        <v>322978</v>
      </c>
      <c r="F15" s="267">
        <v>93684</v>
      </c>
      <c r="G15" s="267">
        <v>78727</v>
      </c>
      <c r="H15" s="267">
        <v>79698</v>
      </c>
      <c r="I15" s="268">
        <v>70868</v>
      </c>
      <c r="J15" s="269">
        <v>246977</v>
      </c>
      <c r="K15" s="267">
        <v>63439</v>
      </c>
      <c r="L15" s="267">
        <v>67689</v>
      </c>
      <c r="M15" s="267">
        <v>59076</v>
      </c>
      <c r="N15" s="268">
        <v>56771</v>
      </c>
      <c r="O15" s="269">
        <v>247296</v>
      </c>
      <c r="P15" s="267">
        <v>63419</v>
      </c>
      <c r="Q15" s="267">
        <v>66815</v>
      </c>
      <c r="R15" s="267">
        <v>61491</v>
      </c>
      <c r="S15" s="268">
        <v>55573</v>
      </c>
      <c r="T15" s="269">
        <v>219354</v>
      </c>
      <c r="U15" s="267">
        <v>63264</v>
      </c>
      <c r="V15" s="267">
        <v>56655</v>
      </c>
      <c r="W15" s="267">
        <v>49621</v>
      </c>
      <c r="X15" s="268">
        <v>49813</v>
      </c>
      <c r="Y15" s="269">
        <v>197951</v>
      </c>
      <c r="Z15" s="267">
        <v>48909</v>
      </c>
      <c r="AA15" s="267">
        <v>51937</v>
      </c>
      <c r="AB15" s="267">
        <v>49889</v>
      </c>
      <c r="AC15" s="267">
        <v>47216</v>
      </c>
      <c r="AD15" s="269">
        <v>183080</v>
      </c>
      <c r="AE15" s="267">
        <v>58480</v>
      </c>
      <c r="AF15" s="267">
        <v>40410</v>
      </c>
      <c r="AG15" s="267">
        <v>41000</v>
      </c>
      <c r="AH15" s="267">
        <v>43191</v>
      </c>
      <c r="AI15" s="269">
        <v>176380</v>
      </c>
      <c r="AJ15" s="267">
        <v>40866</v>
      </c>
      <c r="AK15" s="267">
        <v>62105</v>
      </c>
      <c r="AL15" s="272">
        <v>36589</v>
      </c>
      <c r="AM15" s="272">
        <v>36821</v>
      </c>
      <c r="AN15" s="269">
        <v>200102</v>
      </c>
      <c r="AO15" s="272">
        <v>91531</v>
      </c>
      <c r="AP15" s="272">
        <v>35971</v>
      </c>
      <c r="AQ15" s="272">
        <v>36293</v>
      </c>
      <c r="AR15" s="272">
        <v>36308</v>
      </c>
      <c r="AS15" s="269">
        <v>109611</v>
      </c>
      <c r="AT15" s="270"/>
      <c r="AU15" s="270"/>
      <c r="AV15" s="270"/>
      <c r="AW15" s="270"/>
      <c r="AX15" s="270"/>
      <c r="AY15" s="270"/>
      <c r="AZ15" s="270"/>
      <c r="BA15" s="270"/>
    </row>
    <row r="16" spans="2:53" s="265" customFormat="1" ht="7.5" customHeight="1">
      <c r="B16" s="273"/>
      <c r="C16" s="267"/>
      <c r="D16" s="268"/>
      <c r="E16" s="269"/>
      <c r="F16" s="267"/>
      <c r="G16" s="267"/>
      <c r="H16" s="267"/>
      <c r="I16" s="268"/>
      <c r="J16" s="269"/>
      <c r="K16" s="267"/>
      <c r="L16" s="267"/>
      <c r="M16" s="267"/>
      <c r="N16" s="268"/>
      <c r="O16" s="269"/>
      <c r="P16" s="267"/>
      <c r="Q16" s="267"/>
      <c r="R16" s="267"/>
      <c r="S16" s="268"/>
      <c r="T16" s="269"/>
      <c r="U16" s="267"/>
      <c r="V16" s="267"/>
      <c r="W16" s="267"/>
      <c r="X16" s="268"/>
      <c r="Y16" s="269"/>
      <c r="Z16" s="267"/>
      <c r="AA16" s="267"/>
      <c r="AB16" s="267"/>
      <c r="AC16" s="267"/>
      <c r="AD16" s="269"/>
      <c r="AE16" s="267"/>
      <c r="AF16" s="267"/>
      <c r="AG16" s="267"/>
      <c r="AH16" s="267"/>
      <c r="AI16" s="269"/>
      <c r="AJ16" s="267"/>
      <c r="AK16" s="267"/>
      <c r="AL16" s="267"/>
      <c r="AM16" s="267"/>
      <c r="AN16" s="269"/>
      <c r="AO16" s="267"/>
      <c r="AP16" s="267"/>
      <c r="AQ16" s="267"/>
      <c r="AR16" s="267"/>
      <c r="AS16" s="269"/>
      <c r="AT16" s="270"/>
      <c r="AU16" s="270"/>
      <c r="AV16" s="270"/>
      <c r="AW16" s="270"/>
      <c r="AX16" s="270"/>
      <c r="AY16" s="270"/>
      <c r="AZ16" s="270"/>
      <c r="BA16" s="270"/>
    </row>
    <row r="17" spans="2:53" s="274" customFormat="1" ht="15" customHeight="1">
      <c r="B17" s="260" t="s">
        <v>155</v>
      </c>
      <c r="C17" s="261">
        <f t="shared" ref="C17" si="0">SUM(C12:C16)</f>
        <v>389188</v>
      </c>
      <c r="D17" s="262">
        <f t="shared" ref="D17" si="1">SUM(D12:D16)</f>
        <v>335533</v>
      </c>
      <c r="E17" s="263">
        <f t="shared" ref="E17:F17" si="2">SUM(E12:E16)</f>
        <v>947997</v>
      </c>
      <c r="F17" s="261">
        <f t="shared" si="2"/>
        <v>435979</v>
      </c>
      <c r="G17" s="261">
        <f t="shared" ref="G17" si="3">SUM(G12:G16)</f>
        <v>208546</v>
      </c>
      <c r="H17" s="261">
        <f t="shared" ref="H17" si="4">SUM(H12:H16)</f>
        <v>115332</v>
      </c>
      <c r="I17" s="262">
        <f t="shared" ref="I17" si="5">SUM(I12:I16)</f>
        <v>188139</v>
      </c>
      <c r="J17" s="263">
        <f t="shared" ref="J17:K17" si="6">SUM(J12:J16)</f>
        <v>1226611</v>
      </c>
      <c r="K17" s="261">
        <f t="shared" si="6"/>
        <v>83606</v>
      </c>
      <c r="L17" s="261">
        <f t="shared" ref="L17" si="7">SUM(L12:L16)</f>
        <v>282526</v>
      </c>
      <c r="M17" s="261">
        <f t="shared" ref="M17" si="8">SUM(M12:M16)</f>
        <v>370395</v>
      </c>
      <c r="N17" s="262">
        <f t="shared" ref="N17" si="9">SUM(N12:N16)</f>
        <v>490082</v>
      </c>
      <c r="O17" s="263">
        <f t="shared" ref="O17" si="10">SUM(O12:O16)</f>
        <v>2627554</v>
      </c>
      <c r="P17" s="261">
        <f t="shared" ref="P17" si="11">SUM(P12:P16)</f>
        <v>286955</v>
      </c>
      <c r="Q17" s="261">
        <f t="shared" ref="Q17" si="12">SUM(Q12:Q16)</f>
        <v>653790</v>
      </c>
      <c r="R17" s="261">
        <f t="shared" ref="R17" si="13">SUM(R12:R16)</f>
        <v>860879</v>
      </c>
      <c r="S17" s="262">
        <f t="shared" ref="S17" si="14">SUM(S12:S16)</f>
        <v>825932</v>
      </c>
      <c r="T17" s="263">
        <v>3163842</v>
      </c>
      <c r="U17" s="261">
        <v>1152368</v>
      </c>
      <c r="V17" s="261">
        <f t="shared" ref="V17:AA17" si="15">SUM(V12:V16)</f>
        <v>1020984</v>
      </c>
      <c r="W17" s="261">
        <f t="shared" si="15"/>
        <v>425771</v>
      </c>
      <c r="X17" s="262">
        <f t="shared" si="15"/>
        <v>564718</v>
      </c>
      <c r="Y17" s="263">
        <f t="shared" si="15"/>
        <v>946471</v>
      </c>
      <c r="Z17" s="261">
        <f t="shared" si="15"/>
        <v>406063</v>
      </c>
      <c r="AA17" s="261">
        <f t="shared" si="15"/>
        <v>315400</v>
      </c>
      <c r="AB17" s="261">
        <f t="shared" ref="AB17" si="16">SUM(AB12:AB16)</f>
        <v>136231</v>
      </c>
      <c r="AC17" s="261">
        <f t="shared" ref="AC17" si="17">SUM(AC12:AC16)</f>
        <v>88777</v>
      </c>
      <c r="AD17" s="263">
        <f t="shared" ref="AD17:AK17" si="18">SUM(AD12:AD16)</f>
        <v>580611</v>
      </c>
      <c r="AE17" s="261">
        <f t="shared" si="18"/>
        <v>140762</v>
      </c>
      <c r="AF17" s="261">
        <f t="shared" si="18"/>
        <v>157976</v>
      </c>
      <c r="AG17" s="261">
        <f t="shared" si="18"/>
        <v>124845</v>
      </c>
      <c r="AH17" s="261">
        <f t="shared" si="18"/>
        <v>157031</v>
      </c>
      <c r="AI17" s="263">
        <f t="shared" si="18"/>
        <v>1007022</v>
      </c>
      <c r="AJ17" s="261">
        <f t="shared" si="18"/>
        <v>176233</v>
      </c>
      <c r="AK17" s="261">
        <f t="shared" si="18"/>
        <v>245448</v>
      </c>
      <c r="AL17" s="261">
        <f>SUM(AL12:AL16)</f>
        <v>276404</v>
      </c>
      <c r="AM17" s="261">
        <v>308937</v>
      </c>
      <c r="AN17" s="263">
        <v>630799</v>
      </c>
      <c r="AO17" s="261">
        <v>216900</v>
      </c>
      <c r="AP17" s="261">
        <v>186457</v>
      </c>
      <c r="AQ17" s="261">
        <v>132875</v>
      </c>
      <c r="AR17" s="261">
        <v>94568</v>
      </c>
      <c r="AS17" s="263">
        <v>677977</v>
      </c>
      <c r="AT17" s="264"/>
      <c r="AU17" s="264"/>
      <c r="AV17" s="264"/>
      <c r="AW17" s="264"/>
      <c r="AX17" s="264"/>
      <c r="AY17" s="264"/>
      <c r="AZ17" s="264"/>
      <c r="BA17" s="264"/>
    </row>
    <row r="18" spans="2:53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6"/>
      <c r="AM18" s="276"/>
      <c r="AN18" s="275"/>
      <c r="AO18" s="276"/>
      <c r="AP18" s="276"/>
      <c r="AQ18" s="276"/>
      <c r="AR18" s="276"/>
      <c r="AS18" s="275"/>
      <c r="AT18" s="277"/>
      <c r="AU18" s="277"/>
      <c r="AV18" s="277"/>
      <c r="AW18" s="277"/>
      <c r="AX18" s="277"/>
      <c r="AY18" s="277"/>
      <c r="AZ18" s="277"/>
      <c r="BA18" s="277"/>
    </row>
    <row r="19" spans="2:53" s="265" customFormat="1" ht="14.25">
      <c r="B19" s="278" t="s">
        <v>417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9"/>
      <c r="AM19" s="279"/>
      <c r="AN19" s="278"/>
      <c r="AO19" s="279"/>
      <c r="AP19" s="279"/>
      <c r="AQ19" s="279"/>
      <c r="AR19" s="279"/>
      <c r="AS19" s="278"/>
      <c r="AT19" s="280"/>
      <c r="AY19" s="280"/>
    </row>
    <row r="20" spans="2:53">
      <c r="AL20" s="281"/>
      <c r="AM20" s="281"/>
      <c r="AO20" s="281"/>
      <c r="AP20" s="281"/>
      <c r="AQ20" s="281"/>
      <c r="AR20" s="281"/>
      <c r="AV20" s="85"/>
    </row>
    <row r="21" spans="2:53">
      <c r="AL21" s="282"/>
      <c r="AM21" s="283"/>
      <c r="AV21" s="85"/>
    </row>
    <row r="22" spans="2:53">
      <c r="AL22" s="283"/>
      <c r="AM22" s="283"/>
    </row>
    <row r="23" spans="2:53">
      <c r="AL23" s="283"/>
      <c r="AM23" s="283"/>
      <c r="AT23" s="85"/>
    </row>
    <row r="24" spans="2:53">
      <c r="AL24" s="283"/>
      <c r="AM24" s="283"/>
    </row>
    <row r="25" spans="2:53">
      <c r="AL25" s="283"/>
      <c r="AM25" s="283"/>
    </row>
    <row r="26" spans="2:53">
      <c r="AL26" s="283"/>
      <c r="AM26" s="283"/>
    </row>
  </sheetData>
  <mergeCells count="45">
    <mergeCell ref="S10:S11"/>
    <mergeCell ref="U10:U11"/>
    <mergeCell ref="T10:T11"/>
    <mergeCell ref="E10:E11"/>
    <mergeCell ref="F10:F11"/>
    <mergeCell ref="AA10:AA11"/>
    <mergeCell ref="AB10:AB11"/>
    <mergeCell ref="AC10:AC11"/>
    <mergeCell ref="W10:W11"/>
    <mergeCell ref="V10:V11"/>
    <mergeCell ref="X10:X11"/>
    <mergeCell ref="Z10:Z11"/>
    <mergeCell ref="Y10:Y11"/>
    <mergeCell ref="AL10:AL11"/>
    <mergeCell ref="AR10:AR11"/>
    <mergeCell ref="AN10:AN11"/>
    <mergeCell ref="AD10:AD11"/>
    <mergeCell ref="AE10:AE11"/>
    <mergeCell ref="AK10:AK11"/>
    <mergeCell ref="AG10:AG11"/>
    <mergeCell ref="AF10:AF11"/>
    <mergeCell ref="AI10:AI11"/>
    <mergeCell ref="AH10:AH11"/>
    <mergeCell ref="AJ10:AJ11"/>
    <mergeCell ref="AS10:AS11"/>
    <mergeCell ref="AQ10:AQ11"/>
    <mergeCell ref="AP10:AP11"/>
    <mergeCell ref="AO10:AO11"/>
    <mergeCell ref="AM10:AM11"/>
    <mergeCell ref="B7:B8"/>
    <mergeCell ref="B10:B11"/>
    <mergeCell ref="R10:R11"/>
    <mergeCell ref="Q10:Q11"/>
    <mergeCell ref="O10:O11"/>
    <mergeCell ref="P10:P11"/>
    <mergeCell ref="N10:N11"/>
    <mergeCell ref="M10:M11"/>
    <mergeCell ref="L10:L11"/>
    <mergeCell ref="J10:J11"/>
    <mergeCell ref="K10:K11"/>
    <mergeCell ref="I10:I11"/>
    <mergeCell ref="H10:H11"/>
    <mergeCell ref="G10:G11"/>
    <mergeCell ref="D10:D11"/>
    <mergeCell ref="C10:C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O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.140625" defaultRowHeight="14.25"/>
  <cols>
    <col min="1" max="1" width="1.7109375" style="289" customWidth="1"/>
    <col min="2" max="2" width="57.28515625" style="289" customWidth="1"/>
    <col min="3" max="3" width="11.42578125" style="313" bestFit="1" customWidth="1"/>
    <col min="4" max="6" width="20.7109375" style="313" customWidth="1"/>
    <col min="7" max="7" width="22.42578125" style="313" customWidth="1"/>
    <col min="8" max="10" width="20.7109375" style="313" customWidth="1"/>
    <col min="11" max="11" width="23.28515625" style="313" customWidth="1"/>
    <col min="12" max="12" width="16" style="313" customWidth="1"/>
    <col min="13" max="13" width="17.5703125" style="313" customWidth="1"/>
    <col min="14" max="14" width="22.42578125" style="313" bestFit="1" customWidth="1"/>
    <col min="15" max="15" width="23.140625" style="313" bestFit="1" customWidth="1"/>
    <col min="16" max="16" width="16" style="313" customWidth="1"/>
    <col min="17" max="17" width="17.7109375" style="313" bestFit="1" customWidth="1"/>
    <col min="18" max="18" width="22.42578125" style="313" bestFit="1" customWidth="1"/>
    <col min="19" max="19" width="23.140625" style="313" bestFit="1" customWidth="1"/>
    <col min="20" max="20" width="16.28515625" style="313" bestFit="1" customWidth="1"/>
    <col min="21" max="21" width="17.7109375" style="313" bestFit="1" customWidth="1"/>
    <col min="22" max="22" width="22.42578125" style="313" bestFit="1" customWidth="1"/>
    <col min="23" max="23" width="23.140625" style="313" bestFit="1" customWidth="1"/>
    <col min="24" max="24" width="16.28515625" style="313" bestFit="1" customWidth="1"/>
    <col min="25" max="25" width="17.7109375" style="313" bestFit="1" customWidth="1"/>
    <col min="26" max="26" width="22.42578125" style="313" bestFit="1" customWidth="1"/>
    <col min="27" max="27" width="23.140625" style="313" bestFit="1" customWidth="1"/>
    <col min="28" max="28" width="16.28515625" style="313" bestFit="1" customWidth="1"/>
    <col min="29" max="29" width="17.7109375" style="313" bestFit="1" customWidth="1"/>
    <col min="30" max="30" width="22.42578125" style="313" bestFit="1" customWidth="1"/>
    <col min="31" max="31" width="23.140625" style="313" bestFit="1" customWidth="1"/>
    <col min="32" max="32" width="16.28515625" style="313" bestFit="1" customWidth="1"/>
    <col min="33" max="33" width="17.7109375" style="313" bestFit="1" customWidth="1"/>
    <col min="34" max="34" width="22.42578125" style="313" bestFit="1" customWidth="1"/>
    <col min="35" max="35" width="23.140625" style="313" bestFit="1" customWidth="1"/>
    <col min="36" max="36" width="16.28515625" style="313" bestFit="1" customWidth="1"/>
    <col min="37" max="37" width="17.7109375" style="313" bestFit="1" customWidth="1"/>
    <col min="38" max="38" width="22.42578125" style="313" bestFit="1" customWidth="1"/>
    <col min="39" max="39" width="9.140625" style="289"/>
    <col min="40" max="40" width="13.85546875" style="289" bestFit="1" customWidth="1"/>
    <col min="41" max="16384" width="9.140625" style="289"/>
  </cols>
  <sheetData>
    <row r="1" spans="2:40" s="181" customFormat="1" ht="9" customHeight="1"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</row>
    <row r="2" spans="2:40" s="181" customFormat="1" ht="15.75" customHeight="1"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</row>
    <row r="3" spans="2:40" s="181" customFormat="1" ht="15.75" customHeight="1"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</row>
    <row r="4" spans="2:40" s="181" customFormat="1" ht="15.75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</row>
    <row r="5" spans="2:40" s="255" customFormat="1" ht="15.75" customHeight="1"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181"/>
    </row>
    <row r="6" spans="2:40" s="255" customFormat="1" ht="9" customHeight="1"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</row>
    <row r="7" spans="2:40" s="181" customFormat="1" ht="15" customHeight="1">
      <c r="B7" s="450" t="s">
        <v>370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</row>
    <row r="8" spans="2:40" s="181" customFormat="1" ht="15" customHeight="1">
      <c r="B8" s="450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</row>
    <row r="9" spans="2:40" s="255" customFormat="1" ht="9" customHeight="1"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</row>
    <row r="10" spans="2:40" ht="30" customHeight="1">
      <c r="B10" s="285" t="s">
        <v>377</v>
      </c>
      <c r="C10" s="286" t="s">
        <v>179</v>
      </c>
      <c r="D10" s="287">
        <v>45838</v>
      </c>
      <c r="E10" s="429" t="s">
        <v>446</v>
      </c>
      <c r="F10" s="406" t="s">
        <v>439</v>
      </c>
      <c r="G10" s="286" t="s">
        <v>435</v>
      </c>
      <c r="H10" s="287">
        <v>45473</v>
      </c>
      <c r="I10" s="429" t="s">
        <v>423</v>
      </c>
      <c r="J10" s="406" t="s">
        <v>418</v>
      </c>
      <c r="K10" s="286" t="s">
        <v>407</v>
      </c>
      <c r="L10" s="287">
        <v>45107</v>
      </c>
      <c r="M10" s="429" t="s">
        <v>397</v>
      </c>
      <c r="N10" s="406" t="s">
        <v>393</v>
      </c>
      <c r="O10" s="286" t="s">
        <v>388</v>
      </c>
      <c r="P10" s="287">
        <v>44742</v>
      </c>
      <c r="Q10" s="287">
        <v>44651</v>
      </c>
      <c r="R10" s="288" t="s">
        <v>360</v>
      </c>
      <c r="S10" s="287">
        <v>44469</v>
      </c>
      <c r="T10" s="287">
        <v>44377</v>
      </c>
      <c r="U10" s="287">
        <v>44286</v>
      </c>
      <c r="V10" s="288">
        <v>44196</v>
      </c>
      <c r="W10" s="287">
        <v>44104</v>
      </c>
      <c r="X10" s="287">
        <v>44012</v>
      </c>
      <c r="Y10" s="287">
        <v>43921</v>
      </c>
      <c r="Z10" s="288">
        <v>43830</v>
      </c>
      <c r="AA10" s="287">
        <v>43738</v>
      </c>
      <c r="AB10" s="287">
        <v>43646</v>
      </c>
      <c r="AC10" s="287">
        <v>43555</v>
      </c>
      <c r="AD10" s="288">
        <v>43465</v>
      </c>
      <c r="AE10" s="287">
        <v>43373</v>
      </c>
      <c r="AF10" s="287">
        <v>43281</v>
      </c>
      <c r="AG10" s="287">
        <v>43190</v>
      </c>
      <c r="AH10" s="288">
        <v>43100</v>
      </c>
      <c r="AI10" s="287">
        <v>43008</v>
      </c>
      <c r="AJ10" s="287">
        <v>42916</v>
      </c>
      <c r="AK10" s="287">
        <v>42825</v>
      </c>
      <c r="AL10" s="288">
        <v>42735</v>
      </c>
    </row>
    <row r="11" spans="2:40" s="294" customFormat="1" ht="15" customHeight="1">
      <c r="B11" s="290" t="s">
        <v>292</v>
      </c>
      <c r="C11" s="291"/>
      <c r="D11" s="291">
        <f t="shared" ref="D11" si="0">SUM(D12:D19)</f>
        <v>2532705</v>
      </c>
      <c r="E11" s="291">
        <f>SUM(E12:E19)</f>
        <v>2394536</v>
      </c>
      <c r="F11" s="292">
        <f>SUM(F12:F19)</f>
        <v>2257940</v>
      </c>
      <c r="G11" s="291">
        <f t="shared" ref="G11:H11" si="1">SUM(G12:G19)</f>
        <v>2740027</v>
      </c>
      <c r="H11" s="291">
        <f t="shared" si="1"/>
        <v>2466710</v>
      </c>
      <c r="I11" s="291">
        <f t="shared" ref="I11" si="2">SUM(I12:I19)</f>
        <v>2612087</v>
      </c>
      <c r="J11" s="292">
        <f t="shared" ref="J11" si="3">SUM(J12:J19)</f>
        <v>2051421</v>
      </c>
      <c r="K11" s="291">
        <f t="shared" ref="K11" si="4">SUM(K12:K19)</f>
        <v>1332245</v>
      </c>
      <c r="L11" s="291">
        <f t="shared" ref="L11" si="5">SUM(L12:L19)</f>
        <v>1298608</v>
      </c>
      <c r="M11" s="291">
        <f t="shared" ref="M11" si="6">SUM(M12:M19)</f>
        <v>1428260</v>
      </c>
      <c r="N11" s="292">
        <f t="shared" ref="N11" si="7">SUM(N12:N19)</f>
        <v>1391744</v>
      </c>
      <c r="O11" s="291">
        <f t="shared" ref="O11" si="8">SUM(O12:O19)</f>
        <v>1430547</v>
      </c>
      <c r="P11" s="291">
        <f t="shared" ref="P11" si="9">SUM(P12:P19)</f>
        <v>1415422</v>
      </c>
      <c r="Q11" s="291">
        <f t="shared" ref="Q11" si="10">SUM(Q12:Q19)</f>
        <v>1432500</v>
      </c>
      <c r="R11" s="292">
        <v>1474829</v>
      </c>
      <c r="S11" s="291">
        <f t="shared" ref="S11:T11" si="11">SUM(S12:S19)</f>
        <v>970003</v>
      </c>
      <c r="T11" s="291">
        <f t="shared" si="11"/>
        <v>768559</v>
      </c>
      <c r="U11" s="291">
        <v>557282.59436999995</v>
      </c>
      <c r="V11" s="292">
        <f t="shared" ref="V11" si="12">SUM(V12:V19)</f>
        <v>713540</v>
      </c>
      <c r="W11" s="291">
        <f t="shared" ref="W11" si="13">SUM(W12:W19)</f>
        <v>734665</v>
      </c>
      <c r="X11" s="291">
        <f t="shared" ref="X11" si="14">SUM(X12:X19)</f>
        <v>761384</v>
      </c>
      <c r="Y11" s="291">
        <f t="shared" ref="Y11" si="15">SUM(Y12:Y19)</f>
        <v>761432</v>
      </c>
      <c r="Z11" s="292">
        <f t="shared" ref="Z11:AA11" si="16">SUM(Z12:Z19)</f>
        <v>673529</v>
      </c>
      <c r="AA11" s="291">
        <f t="shared" si="16"/>
        <v>763670</v>
      </c>
      <c r="AB11" s="291">
        <f t="shared" ref="AB11:AF11" si="17">SUM(AB12:AB19)</f>
        <v>769177</v>
      </c>
      <c r="AC11" s="291">
        <f t="shared" si="17"/>
        <v>908037</v>
      </c>
      <c r="AD11" s="292">
        <f t="shared" si="17"/>
        <v>997850</v>
      </c>
      <c r="AE11" s="291">
        <f t="shared" si="17"/>
        <v>1067194</v>
      </c>
      <c r="AF11" s="291">
        <f t="shared" si="17"/>
        <v>1217756</v>
      </c>
      <c r="AG11" s="291">
        <v>1369176</v>
      </c>
      <c r="AH11" s="292">
        <v>778926</v>
      </c>
      <c r="AI11" s="291">
        <v>760693</v>
      </c>
      <c r="AJ11" s="291">
        <v>549462</v>
      </c>
      <c r="AK11" s="291">
        <v>483183</v>
      </c>
      <c r="AL11" s="292">
        <v>597507</v>
      </c>
      <c r="AM11" s="293"/>
      <c r="AN11" s="293"/>
    </row>
    <row r="12" spans="2:40" ht="15" customHeight="1">
      <c r="B12" s="295" t="s">
        <v>317</v>
      </c>
      <c r="C12" s="296" t="s">
        <v>149</v>
      </c>
      <c r="D12" s="296">
        <v>2079597</v>
      </c>
      <c r="E12" s="296">
        <v>2115240</v>
      </c>
      <c r="F12" s="297">
        <v>2089304</v>
      </c>
      <c r="G12" s="296">
        <v>2151302</v>
      </c>
      <c r="H12" s="296">
        <v>1574586</v>
      </c>
      <c r="I12" s="296">
        <v>1809946</v>
      </c>
      <c r="J12" s="297">
        <v>1755548</v>
      </c>
      <c r="K12" s="296">
        <v>1042458</v>
      </c>
      <c r="L12" s="296">
        <v>1008635</v>
      </c>
      <c r="M12" s="296">
        <v>1131625</v>
      </c>
      <c r="N12" s="297">
        <v>1102149</v>
      </c>
      <c r="O12" s="296">
        <v>1137322</v>
      </c>
      <c r="P12" s="296">
        <v>1107311</v>
      </c>
      <c r="Q12" s="296">
        <v>1120772</v>
      </c>
      <c r="R12" s="297">
        <v>1157764</v>
      </c>
      <c r="S12" s="296">
        <v>648566</v>
      </c>
      <c r="T12" s="296">
        <v>630935</v>
      </c>
      <c r="U12" s="296">
        <v>274864.39536999998</v>
      </c>
      <c r="V12" s="297">
        <v>337653</v>
      </c>
      <c r="W12" s="296">
        <v>336700</v>
      </c>
      <c r="X12" s="296">
        <v>334366</v>
      </c>
      <c r="Y12" s="296">
        <v>387846</v>
      </c>
      <c r="Z12" s="297">
        <v>406150</v>
      </c>
      <c r="AA12" s="296">
        <v>458658</v>
      </c>
      <c r="AB12" s="296">
        <v>455104</v>
      </c>
      <c r="AC12" s="296">
        <v>504205</v>
      </c>
      <c r="AD12" s="297">
        <f>151872+356058</f>
        <v>507930</v>
      </c>
      <c r="AE12" s="298">
        <f>207130+348392</f>
        <v>555522</v>
      </c>
      <c r="AF12" s="298">
        <f>202349+353263</f>
        <v>555612</v>
      </c>
      <c r="AG12" s="298">
        <f>257887+344304</f>
        <v>602191</v>
      </c>
      <c r="AH12" s="297">
        <v>252554</v>
      </c>
      <c r="AI12" s="298">
        <v>313913</v>
      </c>
      <c r="AJ12" s="298">
        <v>306299</v>
      </c>
      <c r="AK12" s="298">
        <v>372419</v>
      </c>
      <c r="AL12" s="297">
        <v>361418</v>
      </c>
      <c r="AM12" s="293"/>
      <c r="AN12" s="293"/>
    </row>
    <row r="13" spans="2:40" ht="15" customHeight="1">
      <c r="B13" s="295" t="s">
        <v>355</v>
      </c>
      <c r="C13" s="296" t="s">
        <v>149</v>
      </c>
      <c r="D13" s="296">
        <v>0</v>
      </c>
      <c r="E13" s="296">
        <v>0</v>
      </c>
      <c r="F13" s="297">
        <v>0</v>
      </c>
      <c r="G13" s="296">
        <v>527471</v>
      </c>
      <c r="H13" s="296">
        <v>802520</v>
      </c>
      <c r="I13" s="296">
        <v>777983</v>
      </c>
      <c r="J13" s="297">
        <v>271206</v>
      </c>
      <c r="K13" s="296">
        <v>264436</v>
      </c>
      <c r="L13" s="296">
        <v>256007</v>
      </c>
      <c r="M13" s="296">
        <v>249664</v>
      </c>
      <c r="N13" s="297">
        <v>242631</v>
      </c>
      <c r="O13" s="296">
        <v>233252</v>
      </c>
      <c r="P13" s="296">
        <v>226627</v>
      </c>
      <c r="Q13" s="296">
        <v>217755</v>
      </c>
      <c r="R13" s="297">
        <v>210640</v>
      </c>
      <c r="S13" s="296">
        <v>203782</v>
      </c>
      <c r="T13" s="296">
        <v>0</v>
      </c>
      <c r="U13" s="296">
        <v>0</v>
      </c>
      <c r="V13" s="297">
        <v>0</v>
      </c>
      <c r="W13" s="296">
        <v>0</v>
      </c>
      <c r="X13" s="296">
        <v>0</v>
      </c>
      <c r="Y13" s="296">
        <v>0</v>
      </c>
      <c r="Z13" s="297">
        <v>0</v>
      </c>
      <c r="AA13" s="296">
        <v>0</v>
      </c>
      <c r="AB13" s="296">
        <v>0</v>
      </c>
      <c r="AC13" s="296">
        <v>0</v>
      </c>
      <c r="AD13" s="297">
        <v>0</v>
      </c>
      <c r="AE13" s="298">
        <v>0</v>
      </c>
      <c r="AF13" s="298">
        <v>0</v>
      </c>
      <c r="AG13" s="298">
        <v>0</v>
      </c>
      <c r="AH13" s="297">
        <v>0</v>
      </c>
      <c r="AI13" s="298">
        <v>0</v>
      </c>
      <c r="AJ13" s="298">
        <v>0</v>
      </c>
      <c r="AK13" s="298">
        <v>0</v>
      </c>
      <c r="AL13" s="297">
        <v>0</v>
      </c>
      <c r="AM13" s="293"/>
      <c r="AN13" s="293"/>
    </row>
    <row r="14" spans="2:40" ht="15" customHeight="1">
      <c r="B14" s="295" t="s">
        <v>321</v>
      </c>
      <c r="C14" s="296" t="s">
        <v>149</v>
      </c>
      <c r="D14" s="296">
        <v>0</v>
      </c>
      <c r="E14" s="296">
        <v>0</v>
      </c>
      <c r="F14" s="297">
        <v>0</v>
      </c>
      <c r="G14" s="296">
        <v>0</v>
      </c>
      <c r="H14" s="296">
        <v>0</v>
      </c>
      <c r="I14" s="296">
        <v>0</v>
      </c>
      <c r="J14" s="297">
        <v>0</v>
      </c>
      <c r="K14" s="296">
        <v>0</v>
      </c>
      <c r="L14" s="296">
        <v>0</v>
      </c>
      <c r="M14" s="296">
        <v>12570</v>
      </c>
      <c r="N14" s="297">
        <v>12347</v>
      </c>
      <c r="O14" s="296">
        <v>24893</v>
      </c>
      <c r="P14" s="296">
        <v>37652</v>
      </c>
      <c r="Q14" s="296">
        <v>50297</v>
      </c>
      <c r="R14" s="297">
        <v>62706</v>
      </c>
      <c r="S14" s="296">
        <v>74134</v>
      </c>
      <c r="T14" s="296">
        <v>85362</v>
      </c>
      <c r="U14" s="296">
        <v>226484.19899999999</v>
      </c>
      <c r="V14" s="297">
        <v>316382</v>
      </c>
      <c r="W14" s="296">
        <v>334945</v>
      </c>
      <c r="X14" s="296">
        <v>355711</v>
      </c>
      <c r="Y14" s="296">
        <v>252455</v>
      </c>
      <c r="Z14" s="297">
        <v>196579</v>
      </c>
      <c r="AA14" s="296">
        <v>207692</v>
      </c>
      <c r="AB14" s="296">
        <v>266272</v>
      </c>
      <c r="AC14" s="296">
        <f>334690+18223</f>
        <v>352913</v>
      </c>
      <c r="AD14" s="297">
        <f>338815+69769+9308</f>
        <v>417892</v>
      </c>
      <c r="AE14" s="298">
        <f>340223+98143+9081</f>
        <v>447447</v>
      </c>
      <c r="AF14" s="298">
        <f>389594+161254+18454</f>
        <v>569302</v>
      </c>
      <c r="AG14" s="298">
        <f>466122+196961+18008</f>
        <v>681091</v>
      </c>
      <c r="AH14" s="297">
        <f>351234+69729+27543</f>
        <v>448506</v>
      </c>
      <c r="AI14" s="298">
        <f>253852+110526+26824</f>
        <v>391202</v>
      </c>
      <c r="AJ14" s="298">
        <f>148107+36790</f>
        <v>184897</v>
      </c>
      <c r="AK14" s="298">
        <f>35553+10063</f>
        <v>45616</v>
      </c>
      <c r="AL14" s="297">
        <f>4795+55695</f>
        <v>60490</v>
      </c>
      <c r="AM14" s="293"/>
      <c r="AN14" s="293"/>
    </row>
    <row r="15" spans="2:40" ht="15" customHeight="1">
      <c r="B15" s="295" t="s">
        <v>312</v>
      </c>
      <c r="C15" s="296" t="s">
        <v>150</v>
      </c>
      <c r="D15" s="296">
        <v>27684</v>
      </c>
      <c r="E15" s="296">
        <v>63599</v>
      </c>
      <c r="F15" s="297">
        <v>1185</v>
      </c>
      <c r="G15" s="296">
        <v>46469</v>
      </c>
      <c r="H15" s="296">
        <v>66115</v>
      </c>
      <c r="I15" s="296">
        <v>0</v>
      </c>
      <c r="J15" s="297">
        <v>6</v>
      </c>
      <c r="K15" s="296">
        <v>6</v>
      </c>
      <c r="L15" s="296">
        <v>1</v>
      </c>
      <c r="M15" s="296">
        <v>2</v>
      </c>
      <c r="N15" s="297">
        <v>0</v>
      </c>
      <c r="O15" s="296">
        <v>2</v>
      </c>
      <c r="P15" s="296">
        <v>2</v>
      </c>
      <c r="Q15" s="296">
        <v>1</v>
      </c>
      <c r="R15" s="297">
        <v>2</v>
      </c>
      <c r="S15" s="296">
        <v>2</v>
      </c>
      <c r="T15" s="296">
        <v>1</v>
      </c>
      <c r="U15" s="296">
        <v>2</v>
      </c>
      <c r="V15" s="297">
        <v>1</v>
      </c>
      <c r="W15" s="296">
        <v>0</v>
      </c>
      <c r="X15" s="296">
        <v>2</v>
      </c>
      <c r="Y15" s="296">
        <v>59390</v>
      </c>
      <c r="Z15" s="297">
        <v>6147</v>
      </c>
      <c r="AA15" s="296">
        <v>52943</v>
      </c>
      <c r="AB15" s="296">
        <v>176</v>
      </c>
      <c r="AC15" s="296">
        <v>1784</v>
      </c>
      <c r="AD15" s="297">
        <v>20040</v>
      </c>
      <c r="AE15" s="298">
        <v>26433</v>
      </c>
      <c r="AF15" s="298">
        <v>50728</v>
      </c>
      <c r="AG15" s="298">
        <v>58438</v>
      </c>
      <c r="AH15" s="297">
        <v>47598</v>
      </c>
      <c r="AI15" s="298">
        <f>26541</f>
        <v>26541</v>
      </c>
      <c r="AJ15" s="298">
        <v>29829</v>
      </c>
      <c r="AK15" s="298">
        <v>34034</v>
      </c>
      <c r="AL15" s="297">
        <v>57991</v>
      </c>
      <c r="AM15" s="293"/>
      <c r="AN15" s="293"/>
    </row>
    <row r="16" spans="2:40" ht="15" customHeight="1">
      <c r="B16" s="295" t="s">
        <v>318</v>
      </c>
      <c r="C16" s="296" t="s">
        <v>149</v>
      </c>
      <c r="D16" s="296">
        <v>220522</v>
      </c>
      <c r="E16" s="296">
        <v>13347</v>
      </c>
      <c r="F16" s="297">
        <v>14034</v>
      </c>
      <c r="G16" s="296">
        <v>14785</v>
      </c>
      <c r="H16" s="296">
        <v>23489</v>
      </c>
      <c r="I16" s="296">
        <v>24158</v>
      </c>
      <c r="J16" s="297">
        <v>24661</v>
      </c>
      <c r="K16" s="296">
        <v>25345</v>
      </c>
      <c r="L16" s="296">
        <v>33965</v>
      </c>
      <c r="M16" s="296">
        <v>34399</v>
      </c>
      <c r="N16" s="297">
        <v>34617</v>
      </c>
      <c r="O16" s="296">
        <v>35078</v>
      </c>
      <c r="P16" s="296">
        <v>43830</v>
      </c>
      <c r="Q16" s="296">
        <v>43675</v>
      </c>
      <c r="R16" s="297">
        <v>43717</v>
      </c>
      <c r="S16" s="296">
        <v>43519</v>
      </c>
      <c r="T16" s="296">
        <v>52261</v>
      </c>
      <c r="U16" s="296">
        <v>55932</v>
      </c>
      <c r="V16" s="297">
        <v>59504</v>
      </c>
      <c r="W16" s="296">
        <v>63020</v>
      </c>
      <c r="X16" s="296">
        <v>71305</v>
      </c>
      <c r="Y16" s="296">
        <v>61741</v>
      </c>
      <c r="Z16" s="297">
        <v>64653</v>
      </c>
      <c r="AA16" s="296">
        <v>44377</v>
      </c>
      <c r="AB16" s="296">
        <v>47625</v>
      </c>
      <c r="AC16" s="296">
        <v>49135</v>
      </c>
      <c r="AD16" s="297">
        <v>51988</v>
      </c>
      <c r="AE16" s="298">
        <v>37792</v>
      </c>
      <c r="AF16" s="298">
        <v>42114</v>
      </c>
      <c r="AG16" s="298">
        <v>27456</v>
      </c>
      <c r="AH16" s="297">
        <v>30268</v>
      </c>
      <c r="AI16" s="298">
        <v>29037</v>
      </c>
      <c r="AJ16" s="298">
        <v>28437</v>
      </c>
      <c r="AK16" s="298">
        <v>31114</v>
      </c>
      <c r="AL16" s="297">
        <v>33675</v>
      </c>
      <c r="AM16" s="293"/>
      <c r="AN16" s="293"/>
    </row>
    <row r="17" spans="2:41" ht="15" customHeight="1">
      <c r="B17" s="295" t="s">
        <v>440</v>
      </c>
      <c r="C17" s="296" t="s">
        <v>149</v>
      </c>
      <c r="D17" s="296">
        <v>202023</v>
      </c>
      <c r="E17" s="296">
        <v>202350</v>
      </c>
      <c r="F17" s="297">
        <v>153417</v>
      </c>
      <c r="G17" s="296"/>
      <c r="H17" s="296"/>
      <c r="I17" s="296"/>
      <c r="J17" s="297"/>
      <c r="K17" s="296"/>
      <c r="L17" s="296"/>
      <c r="M17" s="296"/>
      <c r="N17" s="297"/>
      <c r="O17" s="296"/>
      <c r="P17" s="296"/>
      <c r="Q17" s="296"/>
      <c r="R17" s="297"/>
      <c r="S17" s="296"/>
      <c r="T17" s="296"/>
      <c r="U17" s="296"/>
      <c r="V17" s="297"/>
      <c r="W17" s="296"/>
      <c r="X17" s="296"/>
      <c r="Y17" s="296"/>
      <c r="Z17" s="297"/>
      <c r="AA17" s="296"/>
      <c r="AB17" s="296"/>
      <c r="AC17" s="296"/>
      <c r="AD17" s="297"/>
      <c r="AE17" s="298"/>
      <c r="AF17" s="298"/>
      <c r="AG17" s="298"/>
      <c r="AH17" s="297"/>
      <c r="AI17" s="298"/>
      <c r="AJ17" s="298"/>
      <c r="AK17" s="298"/>
      <c r="AL17" s="297"/>
      <c r="AM17" s="293"/>
      <c r="AN17" s="293"/>
    </row>
    <row r="18" spans="2:41" ht="15" customHeight="1">
      <c r="B18" s="295" t="s">
        <v>448</v>
      </c>
      <c r="C18" s="296" t="s">
        <v>149</v>
      </c>
      <c r="D18" s="296">
        <v>2879</v>
      </c>
      <c r="E18" s="296"/>
      <c r="F18" s="297"/>
      <c r="G18" s="296"/>
      <c r="H18" s="296"/>
      <c r="I18" s="296"/>
      <c r="J18" s="297"/>
      <c r="K18" s="296"/>
      <c r="L18" s="296"/>
      <c r="M18" s="296"/>
      <c r="N18" s="297"/>
      <c r="O18" s="296"/>
      <c r="P18" s="296"/>
      <c r="Q18" s="296"/>
      <c r="R18" s="297"/>
      <c r="S18" s="296"/>
      <c r="T18" s="296"/>
      <c r="U18" s="296"/>
      <c r="V18" s="297"/>
      <c r="W18" s="296"/>
      <c r="X18" s="296"/>
      <c r="Y18" s="296"/>
      <c r="Z18" s="297"/>
      <c r="AA18" s="296"/>
      <c r="AB18" s="296"/>
      <c r="AC18" s="296"/>
      <c r="AD18" s="297"/>
      <c r="AE18" s="298"/>
      <c r="AF18" s="298"/>
      <c r="AG18" s="298"/>
      <c r="AH18" s="297"/>
      <c r="AI18" s="298"/>
      <c r="AJ18" s="298"/>
      <c r="AK18" s="298"/>
      <c r="AL18" s="297"/>
      <c r="AM18" s="293"/>
      <c r="AN18" s="293"/>
    </row>
    <row r="19" spans="2:41" ht="15" customHeight="1">
      <c r="B19" s="295" t="s">
        <v>323</v>
      </c>
      <c r="C19" s="296" t="s">
        <v>149</v>
      </c>
      <c r="D19" s="296">
        <v>0</v>
      </c>
      <c r="E19" s="296">
        <v>0</v>
      </c>
      <c r="F19" s="297">
        <v>0</v>
      </c>
      <c r="G19" s="296">
        <v>0</v>
      </c>
      <c r="H19" s="296">
        <v>0</v>
      </c>
      <c r="I19" s="296">
        <v>0</v>
      </c>
      <c r="J19" s="297">
        <v>0</v>
      </c>
      <c r="K19" s="296">
        <v>0</v>
      </c>
      <c r="L19" s="296">
        <v>0</v>
      </c>
      <c r="M19" s="296">
        <v>0</v>
      </c>
      <c r="N19" s="297">
        <v>0</v>
      </c>
      <c r="O19" s="296">
        <v>0</v>
      </c>
      <c r="P19" s="296">
        <v>0</v>
      </c>
      <c r="Q19" s="296">
        <v>0</v>
      </c>
      <c r="R19" s="297">
        <v>0</v>
      </c>
      <c r="S19" s="296">
        <v>0</v>
      </c>
      <c r="T19" s="296">
        <v>0</v>
      </c>
      <c r="U19" s="296">
        <v>0</v>
      </c>
      <c r="V19" s="297">
        <v>0</v>
      </c>
      <c r="W19" s="296">
        <v>0</v>
      </c>
      <c r="X19" s="296">
        <v>0</v>
      </c>
      <c r="Y19" s="296">
        <v>0</v>
      </c>
      <c r="Z19" s="297">
        <v>0</v>
      </c>
      <c r="AA19" s="296">
        <v>0</v>
      </c>
      <c r="AB19" s="296">
        <v>0</v>
      </c>
      <c r="AC19" s="296">
        <v>0</v>
      </c>
      <c r="AD19" s="297">
        <v>0</v>
      </c>
      <c r="AE19" s="298">
        <v>0</v>
      </c>
      <c r="AF19" s="298">
        <v>0</v>
      </c>
      <c r="AG19" s="298">
        <v>0</v>
      </c>
      <c r="AH19" s="297">
        <v>0</v>
      </c>
      <c r="AI19" s="298">
        <v>0</v>
      </c>
      <c r="AJ19" s="298">
        <v>0</v>
      </c>
      <c r="AK19" s="298">
        <v>0</v>
      </c>
      <c r="AL19" s="297">
        <v>83933</v>
      </c>
      <c r="AM19" s="293"/>
      <c r="AN19" s="293"/>
    </row>
    <row r="20" spans="2:41" s="294" customFormat="1" ht="15" customHeight="1">
      <c r="B20" s="260" t="s">
        <v>293</v>
      </c>
      <c r="C20" s="291"/>
      <c r="D20" s="291">
        <f t="shared" ref="D20" si="18">SUM(D21:D24)</f>
        <v>261206</v>
      </c>
      <c r="E20" s="291">
        <f t="shared" ref="E20" si="19">SUM(E21:E24)</f>
        <v>45262</v>
      </c>
      <c r="F20" s="292">
        <f t="shared" ref="F20" si="20">SUM(F21:F24)</f>
        <v>48079</v>
      </c>
      <c r="G20" s="291">
        <f t="shared" ref="G20:H20" si="21">SUM(G21:G24)</f>
        <v>31034</v>
      </c>
      <c r="H20" s="291">
        <f t="shared" si="21"/>
        <v>31347</v>
      </c>
      <c r="I20" s="291">
        <f>SUM(I21:I24)</f>
        <v>0</v>
      </c>
      <c r="J20" s="292">
        <f>SUM(J21:J24)</f>
        <v>0</v>
      </c>
      <c r="K20" s="291">
        <f>SUM(K21:K24)</f>
        <v>0</v>
      </c>
      <c r="L20" s="291">
        <f>SUM(L21:L24)</f>
        <v>0</v>
      </c>
      <c r="M20" s="291">
        <f>SUM(M21:M24)</f>
        <v>0</v>
      </c>
      <c r="N20" s="292">
        <v>0</v>
      </c>
      <c r="O20" s="291">
        <f>SUM(O21:O24)</f>
        <v>580</v>
      </c>
      <c r="P20" s="291">
        <v>0</v>
      </c>
      <c r="Q20" s="291">
        <f>SUM(Q21:Q24)</f>
        <v>0</v>
      </c>
      <c r="R20" s="292">
        <v>0</v>
      </c>
      <c r="S20" s="291">
        <f>SUM(S21:S24)</f>
        <v>0</v>
      </c>
      <c r="T20" s="291">
        <f>SUM(T21:T24)</f>
        <v>0</v>
      </c>
      <c r="U20" s="291">
        <v>0</v>
      </c>
      <c r="V20" s="292">
        <f>SUM(V21:V24)</f>
        <v>0</v>
      </c>
      <c r="W20" s="291">
        <f t="shared" ref="W20" si="22">SUM(W21:W24)</f>
        <v>0</v>
      </c>
      <c r="X20" s="291">
        <f t="shared" ref="X20" si="23">SUM(X21:X24)</f>
        <v>0</v>
      </c>
      <c r="Y20" s="291">
        <f t="shared" ref="Y20" si="24">SUM(Y21:Y24)</f>
        <v>0</v>
      </c>
      <c r="Z20" s="292">
        <f t="shared" ref="Z20:AA20" si="25">SUM(Z21:Z24)</f>
        <v>4019</v>
      </c>
      <c r="AA20" s="291">
        <f t="shared" si="25"/>
        <v>0</v>
      </c>
      <c r="AB20" s="291">
        <f t="shared" ref="AB20:AF20" si="26">SUM(AB21:AB24)</f>
        <v>21601</v>
      </c>
      <c r="AC20" s="291">
        <f t="shared" si="26"/>
        <v>29593</v>
      </c>
      <c r="AD20" s="292">
        <f t="shared" si="26"/>
        <v>29996</v>
      </c>
      <c r="AE20" s="291">
        <f t="shared" si="26"/>
        <v>41445.800000000003</v>
      </c>
      <c r="AF20" s="291">
        <f t="shared" si="26"/>
        <v>60960</v>
      </c>
      <c r="AG20" s="291">
        <v>57988</v>
      </c>
      <c r="AH20" s="292">
        <v>61442</v>
      </c>
      <c r="AI20" s="291">
        <v>64118</v>
      </c>
      <c r="AJ20" s="291">
        <v>49649</v>
      </c>
      <c r="AK20" s="291">
        <v>28294</v>
      </c>
      <c r="AL20" s="292">
        <v>4378</v>
      </c>
      <c r="AM20" s="293"/>
      <c r="AN20" s="299"/>
      <c r="AO20" s="293"/>
    </row>
    <row r="21" spans="2:41" ht="15" customHeight="1">
      <c r="B21" s="295" t="s">
        <v>318</v>
      </c>
      <c r="C21" s="300" t="s">
        <v>151</v>
      </c>
      <c r="D21" s="296">
        <v>0</v>
      </c>
      <c r="E21" s="296">
        <v>0</v>
      </c>
      <c r="F21" s="297">
        <v>0</v>
      </c>
      <c r="G21" s="296">
        <v>0</v>
      </c>
      <c r="H21" s="296">
        <v>0</v>
      </c>
      <c r="I21" s="296">
        <v>0</v>
      </c>
      <c r="J21" s="297">
        <v>0</v>
      </c>
      <c r="K21" s="296">
        <v>0</v>
      </c>
      <c r="L21" s="296">
        <v>0</v>
      </c>
      <c r="M21" s="296">
        <v>0</v>
      </c>
      <c r="N21" s="297">
        <v>0</v>
      </c>
      <c r="O21" s="296">
        <v>0</v>
      </c>
      <c r="P21" s="296">
        <v>0</v>
      </c>
      <c r="Q21" s="296">
        <v>0</v>
      </c>
      <c r="R21" s="297">
        <v>0</v>
      </c>
      <c r="S21" s="296">
        <v>0</v>
      </c>
      <c r="T21" s="296">
        <v>0</v>
      </c>
      <c r="U21" s="296">
        <v>0</v>
      </c>
      <c r="V21" s="297">
        <v>0</v>
      </c>
      <c r="W21" s="296">
        <v>0</v>
      </c>
      <c r="X21" s="296">
        <v>0</v>
      </c>
      <c r="Y21" s="296">
        <v>0</v>
      </c>
      <c r="Z21" s="297">
        <v>0</v>
      </c>
      <c r="AA21" s="298">
        <v>0</v>
      </c>
      <c r="AB21" s="298">
        <v>0</v>
      </c>
      <c r="AC21" s="298">
        <v>0</v>
      </c>
      <c r="AD21" s="297">
        <v>0</v>
      </c>
      <c r="AE21" s="298">
        <v>244.4</v>
      </c>
      <c r="AF21" s="298">
        <v>941</v>
      </c>
      <c r="AG21" s="298">
        <v>1421</v>
      </c>
      <c r="AH21" s="297">
        <v>2020</v>
      </c>
      <c r="AI21" s="298">
        <v>2515</v>
      </c>
      <c r="AJ21" s="298">
        <v>3231</v>
      </c>
      <c r="AK21" s="298">
        <v>3676</v>
      </c>
      <c r="AL21" s="297">
        <v>4378</v>
      </c>
      <c r="AM21" s="293"/>
      <c r="AN21" s="301"/>
      <c r="AO21" s="293"/>
    </row>
    <row r="22" spans="2:41" ht="15" customHeight="1">
      <c r="B22" s="295" t="s">
        <v>428</v>
      </c>
      <c r="C22" s="300" t="s">
        <v>151</v>
      </c>
      <c r="D22" s="296">
        <v>205993</v>
      </c>
      <c r="E22" s="296">
        <v>45262</v>
      </c>
      <c r="F22" s="297">
        <v>48079</v>
      </c>
      <c r="G22" s="296">
        <v>31034</v>
      </c>
      <c r="H22" s="296">
        <v>31347</v>
      </c>
      <c r="I22" s="296"/>
      <c r="J22" s="297"/>
      <c r="K22" s="296"/>
      <c r="L22" s="296"/>
      <c r="M22" s="296"/>
      <c r="N22" s="297"/>
      <c r="O22" s="296"/>
      <c r="P22" s="296"/>
      <c r="Q22" s="296"/>
      <c r="R22" s="297"/>
      <c r="S22" s="296"/>
      <c r="T22" s="296"/>
      <c r="U22" s="296"/>
      <c r="V22" s="297"/>
      <c r="W22" s="296"/>
      <c r="X22" s="296"/>
      <c r="Y22" s="296"/>
      <c r="Z22" s="297"/>
      <c r="AA22" s="298"/>
      <c r="AB22" s="298"/>
      <c r="AC22" s="298"/>
      <c r="AD22" s="297"/>
      <c r="AE22" s="298"/>
      <c r="AF22" s="298"/>
      <c r="AG22" s="298"/>
      <c r="AH22" s="297"/>
      <c r="AI22" s="298"/>
      <c r="AJ22" s="298"/>
      <c r="AK22" s="298"/>
      <c r="AL22" s="297"/>
      <c r="AM22" s="293"/>
      <c r="AN22" s="301"/>
      <c r="AO22" s="293"/>
    </row>
    <row r="23" spans="2:41" ht="15" customHeight="1">
      <c r="B23" s="295" t="s">
        <v>312</v>
      </c>
      <c r="C23" s="300" t="s">
        <v>151</v>
      </c>
      <c r="D23" s="296">
        <v>55213</v>
      </c>
      <c r="E23" s="296">
        <v>0</v>
      </c>
      <c r="F23" s="297">
        <v>0</v>
      </c>
      <c r="G23" s="296">
        <v>0</v>
      </c>
      <c r="H23" s="296">
        <v>0</v>
      </c>
      <c r="I23" s="296">
        <v>0</v>
      </c>
      <c r="J23" s="297">
        <v>0</v>
      </c>
      <c r="K23" s="296">
        <v>0</v>
      </c>
      <c r="L23" s="296">
        <v>0</v>
      </c>
      <c r="M23" s="296">
        <v>0</v>
      </c>
      <c r="N23" s="297">
        <v>0</v>
      </c>
      <c r="O23" s="296">
        <v>580</v>
      </c>
      <c r="P23" s="296">
        <v>0</v>
      </c>
      <c r="Q23" s="296">
        <v>0</v>
      </c>
      <c r="R23" s="297">
        <v>0</v>
      </c>
      <c r="S23" s="296">
        <v>0</v>
      </c>
      <c r="T23" s="296">
        <v>0</v>
      </c>
      <c r="U23" s="296">
        <v>0</v>
      </c>
      <c r="V23" s="297">
        <v>0</v>
      </c>
      <c r="W23" s="296">
        <v>0</v>
      </c>
      <c r="X23" s="296">
        <v>0</v>
      </c>
      <c r="Y23" s="296">
        <v>0</v>
      </c>
      <c r="Z23" s="297">
        <v>4019</v>
      </c>
      <c r="AA23" s="298">
        <v>0</v>
      </c>
      <c r="AB23" s="302">
        <v>21601</v>
      </c>
      <c r="AC23" s="302">
        <v>29593</v>
      </c>
      <c r="AD23" s="297">
        <v>29996</v>
      </c>
      <c r="AE23" s="298">
        <v>41201.4</v>
      </c>
      <c r="AF23" s="298">
        <v>60019</v>
      </c>
      <c r="AG23" s="298">
        <v>56567</v>
      </c>
      <c r="AH23" s="297">
        <v>59422</v>
      </c>
      <c r="AI23" s="298">
        <v>61603</v>
      </c>
      <c r="AJ23" s="298">
        <v>46418</v>
      </c>
      <c r="AK23" s="298">
        <v>23319</v>
      </c>
      <c r="AL23" s="297">
        <v>0</v>
      </c>
      <c r="AM23" s="293"/>
      <c r="AN23" s="299"/>
      <c r="AO23" s="293"/>
    </row>
    <row r="24" spans="2:41" ht="15" customHeight="1">
      <c r="B24" s="295" t="s">
        <v>324</v>
      </c>
      <c r="C24" s="300" t="s">
        <v>151</v>
      </c>
      <c r="D24" s="296">
        <v>0</v>
      </c>
      <c r="E24" s="296">
        <v>0</v>
      </c>
      <c r="F24" s="297">
        <v>0</v>
      </c>
      <c r="G24" s="296">
        <v>0</v>
      </c>
      <c r="H24" s="296">
        <v>0</v>
      </c>
      <c r="I24" s="296">
        <v>0</v>
      </c>
      <c r="J24" s="297">
        <v>0</v>
      </c>
      <c r="K24" s="296">
        <v>0</v>
      </c>
      <c r="L24" s="296">
        <v>0</v>
      </c>
      <c r="M24" s="296">
        <v>0</v>
      </c>
      <c r="N24" s="297">
        <v>0</v>
      </c>
      <c r="O24" s="296">
        <v>0</v>
      </c>
      <c r="P24" s="296">
        <v>0</v>
      </c>
      <c r="Q24" s="296">
        <v>0</v>
      </c>
      <c r="R24" s="297">
        <v>0</v>
      </c>
      <c r="S24" s="296">
        <v>0</v>
      </c>
      <c r="T24" s="296">
        <v>0</v>
      </c>
      <c r="U24" s="296">
        <v>0</v>
      </c>
      <c r="V24" s="297">
        <v>0</v>
      </c>
      <c r="W24" s="296">
        <v>0</v>
      </c>
      <c r="X24" s="296">
        <v>0</v>
      </c>
      <c r="Y24" s="296">
        <v>0</v>
      </c>
      <c r="Z24" s="297">
        <v>0</v>
      </c>
      <c r="AA24" s="298">
        <v>0</v>
      </c>
      <c r="AB24" s="298">
        <v>0</v>
      </c>
      <c r="AC24" s="298">
        <v>0</v>
      </c>
      <c r="AD24" s="297">
        <v>0</v>
      </c>
      <c r="AE24" s="298">
        <v>0</v>
      </c>
      <c r="AF24" s="298">
        <v>0</v>
      </c>
      <c r="AG24" s="298">
        <v>0</v>
      </c>
      <c r="AH24" s="297">
        <v>0</v>
      </c>
      <c r="AI24" s="298">
        <v>0</v>
      </c>
      <c r="AJ24" s="298">
        <v>0</v>
      </c>
      <c r="AK24" s="298">
        <v>1299</v>
      </c>
      <c r="AL24" s="297">
        <v>0</v>
      </c>
      <c r="AM24" s="293"/>
      <c r="AN24" s="303"/>
    </row>
    <row r="25" spans="2:41" s="294" customFormat="1" ht="15" customHeight="1">
      <c r="B25" s="260" t="s">
        <v>294</v>
      </c>
      <c r="C25" s="291"/>
      <c r="D25" s="291">
        <f t="shared" ref="D25" si="27">D20+D11</f>
        <v>2793911</v>
      </c>
      <c r="E25" s="291">
        <f t="shared" ref="E25" si="28">E20+E11</f>
        <v>2439798</v>
      </c>
      <c r="F25" s="292">
        <f t="shared" ref="F25" si="29">F20+F11</f>
        <v>2306019</v>
      </c>
      <c r="G25" s="291">
        <f t="shared" ref="G25:H25" si="30">G20+G11</f>
        <v>2771061</v>
      </c>
      <c r="H25" s="291">
        <f t="shared" si="30"/>
        <v>2498057</v>
      </c>
      <c r="I25" s="291">
        <f t="shared" ref="I25" si="31">I20+I11</f>
        <v>2612087</v>
      </c>
      <c r="J25" s="292">
        <f t="shared" ref="J25" si="32">J20+J11</f>
        <v>2051421</v>
      </c>
      <c r="K25" s="291">
        <f t="shared" ref="K25" si="33">K20+K11</f>
        <v>1332245</v>
      </c>
      <c r="L25" s="291">
        <f t="shared" ref="L25" si="34">L20+L11</f>
        <v>1298608</v>
      </c>
      <c r="M25" s="291">
        <f t="shared" ref="M25" si="35">M20+M11</f>
        <v>1428260</v>
      </c>
      <c r="N25" s="292">
        <f t="shared" ref="N25" si="36">N20+N11</f>
        <v>1391744</v>
      </c>
      <c r="O25" s="291">
        <f t="shared" ref="O25" si="37">O20+O11</f>
        <v>1431127</v>
      </c>
      <c r="P25" s="291">
        <f t="shared" ref="P25" si="38">P20+P11</f>
        <v>1415422</v>
      </c>
      <c r="Q25" s="291">
        <v>1432500</v>
      </c>
      <c r="R25" s="292">
        <v>1474829</v>
      </c>
      <c r="S25" s="291">
        <f t="shared" ref="S25:T25" si="39">S20+S11</f>
        <v>970003</v>
      </c>
      <c r="T25" s="291">
        <f t="shared" si="39"/>
        <v>768559</v>
      </c>
      <c r="U25" s="291">
        <v>557282.59436999995</v>
      </c>
      <c r="V25" s="292">
        <f t="shared" ref="V25" si="40">V20+V11</f>
        <v>713540</v>
      </c>
      <c r="W25" s="291">
        <v>734665</v>
      </c>
      <c r="X25" s="291">
        <f t="shared" ref="X25" si="41">X20+X11</f>
        <v>761384</v>
      </c>
      <c r="Y25" s="291">
        <f t="shared" ref="Y25" si="42">Y20+Y11</f>
        <v>761432</v>
      </c>
      <c r="Z25" s="292">
        <f t="shared" ref="Z25:AA25" si="43">Z20+Z11</f>
        <v>677548</v>
      </c>
      <c r="AA25" s="291">
        <f t="shared" si="43"/>
        <v>763670</v>
      </c>
      <c r="AB25" s="291">
        <f t="shared" ref="AB25:AF25" si="44">AB20+AB11</f>
        <v>790778</v>
      </c>
      <c r="AC25" s="291">
        <f t="shared" si="44"/>
        <v>937630</v>
      </c>
      <c r="AD25" s="292">
        <f t="shared" si="44"/>
        <v>1027846</v>
      </c>
      <c r="AE25" s="291">
        <f t="shared" si="44"/>
        <v>1108639.8</v>
      </c>
      <c r="AF25" s="291">
        <f t="shared" si="44"/>
        <v>1278716</v>
      </c>
      <c r="AG25" s="291">
        <v>1427164</v>
      </c>
      <c r="AH25" s="292">
        <v>840368</v>
      </c>
      <c r="AI25" s="291">
        <v>824811</v>
      </c>
      <c r="AJ25" s="291">
        <v>599111</v>
      </c>
      <c r="AK25" s="291">
        <v>511477</v>
      </c>
      <c r="AL25" s="292">
        <v>601885</v>
      </c>
      <c r="AM25" s="293"/>
      <c r="AN25" s="293"/>
    </row>
    <row r="26" spans="2:41" s="294" customFormat="1" ht="15" customHeight="1">
      <c r="B26" s="260" t="s">
        <v>295</v>
      </c>
      <c r="C26" s="291"/>
      <c r="D26" s="291">
        <f t="shared" ref="D26" si="45">D27+D28</f>
        <v>1751612</v>
      </c>
      <c r="E26" s="291">
        <f t="shared" ref="E26" si="46">E27+E28</f>
        <v>1480775</v>
      </c>
      <c r="F26" s="292">
        <f t="shared" ref="F26" si="47">F27+F28</f>
        <v>1584782</v>
      </c>
      <c r="G26" s="291">
        <f t="shared" ref="G26:H26" si="48">G27+G28</f>
        <v>2311889</v>
      </c>
      <c r="H26" s="291">
        <f t="shared" si="48"/>
        <v>2026965</v>
      </c>
      <c r="I26" s="291">
        <f t="shared" ref="I26" si="49">I27+I28</f>
        <v>2261111</v>
      </c>
      <c r="J26" s="292">
        <f t="shared" ref="J26" si="50">J27+J28</f>
        <v>2145913</v>
      </c>
      <c r="K26" s="291">
        <f t="shared" ref="K26" si="51">K27+K28</f>
        <v>1595667</v>
      </c>
      <c r="L26" s="291">
        <f t="shared" ref="L26" si="52">L27+L28</f>
        <v>1332095</v>
      </c>
      <c r="M26" s="291">
        <f t="shared" ref="M26" si="53">M27+M28</f>
        <v>1408605</v>
      </c>
      <c r="N26" s="292">
        <f>N27+N28</f>
        <v>1413969</v>
      </c>
      <c r="O26" s="291">
        <f t="shared" ref="O26" si="54">O27+O28</f>
        <v>1622980</v>
      </c>
      <c r="P26" s="291">
        <f t="shared" ref="P26" si="55">P27+P28</f>
        <v>2078149</v>
      </c>
      <c r="Q26" s="291">
        <f t="shared" ref="Q26" si="56">Q27+Q28</f>
        <v>1865440</v>
      </c>
      <c r="R26" s="292">
        <v>1622449</v>
      </c>
      <c r="S26" s="291">
        <f>S27+S28</f>
        <v>1434673</v>
      </c>
      <c r="T26" s="291">
        <f>T27+T28</f>
        <v>1085010</v>
      </c>
      <c r="U26" s="291">
        <v>1047531</v>
      </c>
      <c r="V26" s="292">
        <f>V27+V28</f>
        <v>1113760</v>
      </c>
      <c r="W26" s="291">
        <f>W27+W28</f>
        <v>911543</v>
      </c>
      <c r="X26" s="291">
        <f t="shared" ref="X26" si="57">SUM(X27:X28)</f>
        <v>757880</v>
      </c>
      <c r="Y26" s="291">
        <f t="shared" ref="Y26" si="58">SUM(Y27:Y28)</f>
        <v>478759</v>
      </c>
      <c r="Z26" s="292">
        <f t="shared" ref="Z26:AA26" si="59">SUM(Z27:Z28)</f>
        <v>514683</v>
      </c>
      <c r="AA26" s="291">
        <f t="shared" si="59"/>
        <v>528745</v>
      </c>
      <c r="AB26" s="291">
        <f t="shared" ref="AB26:AF26" si="60">SUM(AB27:AB28)</f>
        <v>575066</v>
      </c>
      <c r="AC26" s="291">
        <f t="shared" si="60"/>
        <v>818885</v>
      </c>
      <c r="AD26" s="292">
        <f t="shared" si="60"/>
        <v>861481</v>
      </c>
      <c r="AE26" s="291">
        <f t="shared" si="60"/>
        <v>907785</v>
      </c>
      <c r="AF26" s="291">
        <f t="shared" si="60"/>
        <v>913273</v>
      </c>
      <c r="AG26" s="291">
        <v>1074916</v>
      </c>
      <c r="AH26" s="292">
        <v>401802</v>
      </c>
      <c r="AI26" s="291">
        <v>429024</v>
      </c>
      <c r="AJ26" s="291">
        <v>478844</v>
      </c>
      <c r="AK26" s="291">
        <v>351786</v>
      </c>
      <c r="AL26" s="292">
        <v>479958</v>
      </c>
      <c r="AM26" s="293"/>
      <c r="AN26" s="293"/>
    </row>
    <row r="27" spans="2:41" ht="15" customHeight="1">
      <c r="B27" s="304" t="s">
        <v>296</v>
      </c>
      <c r="C27" s="305"/>
      <c r="D27" s="305">
        <v>1135632</v>
      </c>
      <c r="E27" s="305">
        <f>'[12]02. BP'!C14</f>
        <v>773873</v>
      </c>
      <c r="F27" s="306">
        <v>845342</v>
      </c>
      <c r="G27" s="305">
        <v>1122845</v>
      </c>
      <c r="H27" s="305">
        <v>1538805</v>
      </c>
      <c r="I27" s="305">
        <v>1876229</v>
      </c>
      <c r="J27" s="306">
        <v>1343204</v>
      </c>
      <c r="K27" s="305">
        <v>869809</v>
      </c>
      <c r="L27" s="305">
        <v>795016</v>
      </c>
      <c r="M27" s="305">
        <v>1101464</v>
      </c>
      <c r="N27" s="306">
        <v>402122</v>
      </c>
      <c r="O27" s="305">
        <v>415016</v>
      </c>
      <c r="P27" s="305">
        <v>547658</v>
      </c>
      <c r="Q27" s="305">
        <v>330672</v>
      </c>
      <c r="R27" s="306">
        <v>331177</v>
      </c>
      <c r="S27" s="305">
        <v>824377</v>
      </c>
      <c r="T27" s="305">
        <v>760350</v>
      </c>
      <c r="U27" s="305">
        <v>845587</v>
      </c>
      <c r="V27" s="306">
        <v>924852</v>
      </c>
      <c r="W27" s="305">
        <v>867250</v>
      </c>
      <c r="X27" s="305">
        <v>743093</v>
      </c>
      <c r="Y27" s="305">
        <v>436372</v>
      </c>
      <c r="Z27" s="306">
        <v>301525</v>
      </c>
      <c r="AA27" s="305">
        <v>170739</v>
      </c>
      <c r="AB27" s="305">
        <v>263848</v>
      </c>
      <c r="AC27" s="305">
        <v>268402</v>
      </c>
      <c r="AD27" s="306">
        <v>201542</v>
      </c>
      <c r="AE27" s="305">
        <v>303933</v>
      </c>
      <c r="AF27" s="305">
        <v>140834</v>
      </c>
      <c r="AG27" s="305">
        <v>230275</v>
      </c>
      <c r="AH27" s="306">
        <v>78559</v>
      </c>
      <c r="AI27" s="305">
        <v>67473</v>
      </c>
      <c r="AJ27" s="305">
        <v>299058</v>
      </c>
      <c r="AK27" s="305">
        <v>170091</v>
      </c>
      <c r="AL27" s="306">
        <v>383346</v>
      </c>
      <c r="AM27" s="293"/>
      <c r="AN27" s="293"/>
    </row>
    <row r="28" spans="2:41" ht="15" customHeight="1">
      <c r="B28" s="307" t="s">
        <v>202</v>
      </c>
      <c r="C28" s="308"/>
      <c r="D28" s="403">
        <v>615980</v>
      </c>
      <c r="E28" s="305">
        <f>'[12]02. BP'!C15</f>
        <v>706902</v>
      </c>
      <c r="F28" s="407">
        <v>739440</v>
      </c>
      <c r="G28" s="403">
        <v>1189044</v>
      </c>
      <c r="H28" s="403">
        <v>488160</v>
      </c>
      <c r="I28" s="403">
        <f>376492+8390</f>
        <v>384882</v>
      </c>
      <c r="J28" s="407">
        <v>802709</v>
      </c>
      <c r="K28" s="403">
        <v>725858</v>
      </c>
      <c r="L28" s="403">
        <v>537079</v>
      </c>
      <c r="M28" s="403">
        <v>307141</v>
      </c>
      <c r="N28" s="407">
        <v>1011847</v>
      </c>
      <c r="O28" s="403">
        <v>1207964</v>
      </c>
      <c r="P28" s="308">
        <v>1530491</v>
      </c>
      <c r="Q28" s="308">
        <v>1534768</v>
      </c>
      <c r="R28" s="309">
        <v>1291272</v>
      </c>
      <c r="S28" s="308">
        <v>610296</v>
      </c>
      <c r="T28" s="308">
        <v>324660</v>
      </c>
      <c r="U28" s="308">
        <v>201944</v>
      </c>
      <c r="V28" s="309">
        <v>188908</v>
      </c>
      <c r="W28" s="308">
        <v>44293</v>
      </c>
      <c r="X28" s="308">
        <v>14787</v>
      </c>
      <c r="Y28" s="308">
        <v>42387</v>
      </c>
      <c r="Z28" s="309">
        <v>213158</v>
      </c>
      <c r="AA28" s="308">
        <v>358006</v>
      </c>
      <c r="AB28" s="308">
        <v>311218</v>
      </c>
      <c r="AC28" s="308">
        <v>550483</v>
      </c>
      <c r="AD28" s="309">
        <v>659939</v>
      </c>
      <c r="AE28" s="308">
        <v>603852</v>
      </c>
      <c r="AF28" s="308">
        <v>772439</v>
      </c>
      <c r="AG28" s="308">
        <v>844641</v>
      </c>
      <c r="AH28" s="309">
        <v>323243</v>
      </c>
      <c r="AI28" s="308">
        <v>361551</v>
      </c>
      <c r="AJ28" s="308">
        <v>179786</v>
      </c>
      <c r="AK28" s="308">
        <v>181695</v>
      </c>
      <c r="AL28" s="309">
        <v>96612</v>
      </c>
      <c r="AM28" s="293"/>
      <c r="AN28" s="293"/>
    </row>
    <row r="29" spans="2:41" s="294" customFormat="1" ht="15" customHeight="1">
      <c r="B29" s="260" t="s">
        <v>297</v>
      </c>
      <c r="C29" s="291"/>
      <c r="D29" s="435">
        <f t="shared" ref="D29" si="61">D25-D26</f>
        <v>1042299</v>
      </c>
      <c r="E29" s="435">
        <f t="shared" ref="E29" si="62">E25-E26</f>
        <v>959023</v>
      </c>
      <c r="F29" s="408">
        <f t="shared" ref="F29" si="63">F25-F26</f>
        <v>721237</v>
      </c>
      <c r="G29" s="435">
        <f t="shared" ref="G29:H29" si="64">G25-G26</f>
        <v>459172</v>
      </c>
      <c r="H29" s="435">
        <f t="shared" si="64"/>
        <v>471092</v>
      </c>
      <c r="I29" s="435">
        <f t="shared" ref="I29" si="65">I25-I26</f>
        <v>350976</v>
      </c>
      <c r="J29" s="408">
        <f t="shared" ref="J29" si="66">J25-J26</f>
        <v>-94492</v>
      </c>
      <c r="K29" s="404">
        <f>K25-K26</f>
        <v>-263422</v>
      </c>
      <c r="L29" s="404">
        <f>L25-L26</f>
        <v>-33487</v>
      </c>
      <c r="M29" s="404">
        <f>M25-M26</f>
        <v>19655</v>
      </c>
      <c r="N29" s="408">
        <f>N25-N26</f>
        <v>-22225</v>
      </c>
      <c r="O29" s="404">
        <f>O25-O26</f>
        <v>-191853</v>
      </c>
      <c r="P29" s="291">
        <v>-662164</v>
      </c>
      <c r="Q29" s="291">
        <v>-432940</v>
      </c>
      <c r="R29" s="292">
        <v>-147620</v>
      </c>
      <c r="S29" s="291">
        <v>-464670</v>
      </c>
      <c r="T29" s="291">
        <v>-316451</v>
      </c>
      <c r="U29" s="291">
        <v>-490248.40563000005</v>
      </c>
      <c r="V29" s="292">
        <v>-400220</v>
      </c>
      <c r="W29" s="291">
        <v>-176878</v>
      </c>
      <c r="X29" s="291">
        <f>X25-X26</f>
        <v>3504</v>
      </c>
      <c r="Y29" s="291">
        <f t="shared" ref="Y29" si="67">Y25-Y26</f>
        <v>282673</v>
      </c>
      <c r="Z29" s="292">
        <f t="shared" ref="Z29:AA29" si="68">Z25-Z26</f>
        <v>162865</v>
      </c>
      <c r="AA29" s="291">
        <f t="shared" si="68"/>
        <v>234925</v>
      </c>
      <c r="AB29" s="291">
        <f t="shared" ref="AB29:AF29" si="69">AB25-AB26</f>
        <v>215712</v>
      </c>
      <c r="AC29" s="291">
        <f t="shared" si="69"/>
        <v>118745</v>
      </c>
      <c r="AD29" s="292">
        <f t="shared" si="69"/>
        <v>166365</v>
      </c>
      <c r="AE29" s="291">
        <f t="shared" si="69"/>
        <v>200854.80000000005</v>
      </c>
      <c r="AF29" s="291">
        <f t="shared" si="69"/>
        <v>365443</v>
      </c>
      <c r="AG29" s="291">
        <v>352248</v>
      </c>
      <c r="AH29" s="292">
        <v>438566</v>
      </c>
      <c r="AI29" s="291">
        <v>395787</v>
      </c>
      <c r="AJ29" s="291">
        <v>120267</v>
      </c>
      <c r="AK29" s="291">
        <v>159691</v>
      </c>
      <c r="AL29" s="292">
        <v>121927</v>
      </c>
      <c r="AM29" s="293"/>
      <c r="AN29" s="293"/>
    </row>
    <row r="30" spans="2:41" s="294" customFormat="1" ht="15" customHeight="1">
      <c r="B30" s="260" t="s">
        <v>298</v>
      </c>
      <c r="C30" s="291"/>
      <c r="D30" s="291">
        <v>1369251</v>
      </c>
      <c r="E30" s="291">
        <v>1095391</v>
      </c>
      <c r="F30" s="292">
        <v>947997</v>
      </c>
      <c r="G30" s="291">
        <v>595623</v>
      </c>
      <c r="H30" s="291">
        <v>669605</v>
      </c>
      <c r="I30" s="291">
        <v>924668</v>
      </c>
      <c r="J30" s="292">
        <v>1226611</v>
      </c>
      <c r="K30" s="291">
        <v>1429960</v>
      </c>
      <c r="L30" s="291">
        <v>1801221.0000000002</v>
      </c>
      <c r="M30" s="291">
        <v>2291704</v>
      </c>
      <c r="N30" s="292">
        <v>2627554</v>
      </c>
      <c r="O30" s="291">
        <v>3492968</v>
      </c>
      <c r="P30" s="291">
        <v>3860163</v>
      </c>
      <c r="Q30" s="291">
        <v>3425056</v>
      </c>
      <c r="R30" s="292">
        <v>3163842</v>
      </c>
      <c r="S30" s="291">
        <v>2417536</v>
      </c>
      <c r="T30" s="291">
        <v>1711951</v>
      </c>
      <c r="U30" s="291">
        <v>1422412</v>
      </c>
      <c r="V30" s="292">
        <v>946471</v>
      </c>
      <c r="W30" s="291">
        <v>681170</v>
      </c>
      <c r="X30" s="291">
        <v>523745</v>
      </c>
      <c r="Y30" s="291">
        <v>512357</v>
      </c>
      <c r="Z30" s="292">
        <v>580611</v>
      </c>
      <c r="AA30" s="291">
        <v>616082</v>
      </c>
      <c r="AB30" s="291">
        <v>703557</v>
      </c>
      <c r="AC30" s="291">
        <v>855116</v>
      </c>
      <c r="AD30" s="292">
        <v>1007022</v>
      </c>
      <c r="AE30" s="291">
        <v>1047688</v>
      </c>
      <c r="AF30" s="291" t="e">
        <f>'04. EBITDA'!#REF!+'04. EBITDA'!AP17+'04. EBITDA'!AO17</f>
        <v>#REF!</v>
      </c>
      <c r="AG30" s="291">
        <v>845169</v>
      </c>
      <c r="AH30" s="292">
        <v>630799</v>
      </c>
      <c r="AI30" s="291">
        <v>898023</v>
      </c>
      <c r="AJ30" s="291">
        <v>771523</v>
      </c>
      <c r="AK30" s="291">
        <v>696844</v>
      </c>
      <c r="AL30" s="292">
        <v>677977</v>
      </c>
      <c r="AM30" s="293"/>
      <c r="AN30" s="293"/>
    </row>
    <row r="31" spans="2:41" s="294" customFormat="1" ht="15" customHeight="1">
      <c r="B31" s="260" t="s">
        <v>299</v>
      </c>
      <c r="C31" s="310"/>
      <c r="D31" s="310">
        <f t="shared" ref="D31" si="70">D29/D30</f>
        <v>0.76121835952648564</v>
      </c>
      <c r="E31" s="310">
        <f t="shared" ref="E31" si="71">E29/E30</f>
        <v>0.87550746719664485</v>
      </c>
      <c r="F31" s="311">
        <f t="shared" ref="F31" si="72">F29/F30</f>
        <v>0.7608009308046334</v>
      </c>
      <c r="G31" s="310">
        <f t="shared" ref="G31:H31" si="73">G29/G30</f>
        <v>0.7709104584611407</v>
      </c>
      <c r="H31" s="310">
        <f t="shared" si="73"/>
        <v>0.70353715996744348</v>
      </c>
      <c r="I31" s="310">
        <f t="shared" ref="I31" si="74">I29/I30</f>
        <v>0.37956974827721951</v>
      </c>
      <c r="J31" s="311">
        <f t="shared" ref="J31" si="75">J29/J30</f>
        <v>-7.70350176217236E-2</v>
      </c>
      <c r="K31" s="310">
        <f t="shared" ref="K31" si="76">K29/K30</f>
        <v>-0.18421634171585219</v>
      </c>
      <c r="L31" s="310">
        <f t="shared" ref="L31" si="77">L29/L30</f>
        <v>-1.8591277805444194E-2</v>
      </c>
      <c r="M31" s="310">
        <f t="shared" ref="M31" si="78">M29/M30</f>
        <v>8.5765875523191471E-3</v>
      </c>
      <c r="N31" s="311">
        <f t="shared" ref="N31" si="79">N29/N30</f>
        <v>-8.4584370102384187E-3</v>
      </c>
      <c r="O31" s="310">
        <f t="shared" ref="O31" si="80">O29/O30</f>
        <v>-5.4925496025156832E-2</v>
      </c>
      <c r="P31" s="310">
        <f t="shared" ref="P31" si="81">P29/P30</f>
        <v>-0.17153783402410727</v>
      </c>
      <c r="Q31" s="310">
        <f>Q29/Q30</f>
        <v>-0.12640377266824251</v>
      </c>
      <c r="R31" s="311">
        <v>-4.6658461452879128E-2</v>
      </c>
      <c r="S31" s="310">
        <f>S29/S30</f>
        <v>-0.19220809948641923</v>
      </c>
      <c r="T31" s="310">
        <f>T29/T30</f>
        <v>-0.18484816446265109</v>
      </c>
      <c r="U31" s="310">
        <v>-0.34465991965056542</v>
      </c>
      <c r="V31" s="311">
        <f>V29/V30</f>
        <v>-0.4228550055944662</v>
      </c>
      <c r="W31" s="310">
        <f t="shared" ref="W31" si="82">W29/W30</f>
        <v>-0.2596679243067076</v>
      </c>
      <c r="X31" s="310">
        <f t="shared" ref="X31" si="83">X29/X30</f>
        <v>6.6902786661447843E-3</v>
      </c>
      <c r="Y31" s="310">
        <f t="shared" ref="Y31" si="84">Y29/Y30</f>
        <v>0.55171101400000389</v>
      </c>
      <c r="Z31" s="311">
        <f t="shared" ref="Z31:AA31" si="85">Z29/Z30</f>
        <v>0.28050622533847963</v>
      </c>
      <c r="AA31" s="310">
        <f t="shared" si="85"/>
        <v>0.38132099298470007</v>
      </c>
      <c r="AB31" s="310">
        <f t="shared" ref="AB31:AF31" si="86">AB29/AB30</f>
        <v>0.30660202371662848</v>
      </c>
      <c r="AC31" s="310">
        <f t="shared" si="86"/>
        <v>0.1388642008803484</v>
      </c>
      <c r="AD31" s="311">
        <f t="shared" si="86"/>
        <v>0.16520493097469569</v>
      </c>
      <c r="AE31" s="310">
        <f t="shared" si="86"/>
        <v>0.19171241820083845</v>
      </c>
      <c r="AF31" s="310" t="e">
        <f t="shared" si="86"/>
        <v>#REF!</v>
      </c>
      <c r="AG31" s="310">
        <v>0.42</v>
      </c>
      <c r="AH31" s="311">
        <v>0.7</v>
      </c>
      <c r="AI31" s="310" t="s">
        <v>160</v>
      </c>
      <c r="AJ31" s="310">
        <v>0.16</v>
      </c>
      <c r="AK31" s="310" t="s">
        <v>154</v>
      </c>
      <c r="AL31" s="311" t="s">
        <v>153</v>
      </c>
    </row>
    <row r="32" spans="2:41" ht="15" customHeight="1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</row>
    <row r="33" spans="2:39">
      <c r="B33" s="278" t="s">
        <v>417</v>
      </c>
      <c r="AF33" s="314"/>
      <c r="AJ33" s="314"/>
    </row>
    <row r="34" spans="2:39">
      <c r="B34" s="289" t="s">
        <v>322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</row>
    <row r="36" spans="2:39" s="313" customFormat="1">
      <c r="B36" s="289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6"/>
      <c r="AG36" s="316"/>
      <c r="AH36" s="316"/>
      <c r="AI36" s="316"/>
      <c r="AJ36" s="316"/>
      <c r="AK36" s="316"/>
      <c r="AL36" s="316"/>
      <c r="AM36" s="289"/>
    </row>
    <row r="37" spans="2:39">
      <c r="C37" s="314"/>
      <c r="D37" s="314"/>
      <c r="E37" s="314"/>
      <c r="F37" s="314"/>
      <c r="G37" s="193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7"/>
    </row>
    <row r="38" spans="2:39"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7"/>
    </row>
    <row r="39" spans="2:39">
      <c r="AF39" s="316"/>
    </row>
  </sheetData>
  <sortState xmlns:xlrd2="http://schemas.microsoft.com/office/spreadsheetml/2017/richdata2" ref="B12:AL40">
    <sortCondition descending="1" ref="AJ12:AJ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6E5E-07A3-46C9-BF16-762A2EE15EA5}">
  <sheetPr>
    <tabColor rgb="FF515151"/>
    <pageSetUpPr fitToPage="1"/>
  </sheetPr>
  <dimension ref="B1:X18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4" width="10.7109375" style="2" customWidth="1"/>
    <col min="5" max="5" width="11.5703125" style="2" bestFit="1" customWidth="1"/>
    <col min="6" max="9" width="10.7109375" style="2" customWidth="1"/>
    <col min="10" max="10" width="11.5703125" style="2" bestFit="1" customWidth="1"/>
    <col min="11" max="14" width="10.7109375" style="2" customWidth="1"/>
    <col min="15" max="15" width="11.5703125" style="2" bestFit="1" customWidth="1"/>
    <col min="16" max="19" width="10.7109375" style="2" customWidth="1"/>
    <col min="20" max="20" width="11.5703125" style="2" bestFit="1" customWidth="1"/>
    <col min="21" max="24" width="10.7109375" style="2" customWidth="1"/>
    <col min="25" max="16384" width="9.140625" style="2"/>
  </cols>
  <sheetData>
    <row r="1" spans="2:24" s="181" customFormat="1" ht="9" customHeight="1"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</row>
    <row r="2" spans="2:24" s="181" customFormat="1" ht="15.75" customHeight="1"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</row>
    <row r="3" spans="2:24" s="181" customFormat="1" ht="15.75" customHeight="1"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</row>
    <row r="4" spans="2:24" s="181" customFormat="1" ht="15.75" customHeight="1"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</row>
    <row r="5" spans="2:24" s="255" customFormat="1" ht="15.75" customHeight="1">
      <c r="B5" s="256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</row>
    <row r="6" spans="2:24" s="255" customFormat="1" ht="9" customHeight="1">
      <c r="B6" s="256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</row>
    <row r="7" spans="2:24" s="181" customFormat="1" ht="15" customHeight="1">
      <c r="B7" s="471" t="s">
        <v>427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</row>
    <row r="8" spans="2:24" s="181" customFormat="1" ht="36.950000000000003" customHeight="1">
      <c r="B8" s="450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</row>
    <row r="9" spans="2:24" s="255" customFormat="1" ht="9" customHeight="1">
      <c r="B9" s="256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</row>
    <row r="10" spans="2:24" s="259" customFormat="1" ht="15" customHeight="1">
      <c r="B10" s="463"/>
      <c r="C10" s="465" t="s">
        <v>447</v>
      </c>
      <c r="D10" s="469" t="s">
        <v>444</v>
      </c>
      <c r="E10" s="467">
        <v>2024</v>
      </c>
      <c r="F10" s="465" t="s">
        <v>436</v>
      </c>
      <c r="G10" s="465" t="s">
        <v>432</v>
      </c>
      <c r="H10" s="465" t="s">
        <v>429</v>
      </c>
      <c r="I10" s="469" t="s">
        <v>420</v>
      </c>
      <c r="J10" s="467">
        <v>2023</v>
      </c>
      <c r="K10" s="465" t="s">
        <v>410</v>
      </c>
      <c r="L10" s="465" t="s">
        <v>424</v>
      </c>
      <c r="M10" s="465" t="s">
        <v>401</v>
      </c>
      <c r="N10" s="469" t="s">
        <v>394</v>
      </c>
      <c r="O10" s="467">
        <v>2022</v>
      </c>
      <c r="P10" s="465" t="s">
        <v>391</v>
      </c>
      <c r="Q10" s="465" t="s">
        <v>385</v>
      </c>
      <c r="R10" s="465" t="s">
        <v>365</v>
      </c>
      <c r="S10" s="469" t="s">
        <v>363</v>
      </c>
      <c r="T10" s="467">
        <v>2021</v>
      </c>
      <c r="U10" s="465" t="s">
        <v>357</v>
      </c>
      <c r="V10" s="465" t="s">
        <v>351</v>
      </c>
      <c r="W10" s="465" t="s">
        <v>347</v>
      </c>
      <c r="X10" s="469" t="s">
        <v>344</v>
      </c>
    </row>
    <row r="11" spans="2:24" s="259" customFormat="1" ht="15" customHeight="1">
      <c r="B11" s="464"/>
      <c r="C11" s="466"/>
      <c r="D11" s="470"/>
      <c r="E11" s="468"/>
      <c r="F11" s="466"/>
      <c r="G11" s="466"/>
      <c r="H11" s="466"/>
      <c r="I11" s="470"/>
      <c r="J11" s="468"/>
      <c r="K11" s="466"/>
      <c r="L11" s="466"/>
      <c r="M11" s="466"/>
      <c r="N11" s="470"/>
      <c r="O11" s="468"/>
      <c r="P11" s="466"/>
      <c r="Q11" s="466"/>
      <c r="R11" s="466"/>
      <c r="S11" s="470"/>
      <c r="T11" s="468"/>
      <c r="U11" s="466"/>
      <c r="V11" s="466"/>
      <c r="W11" s="466"/>
      <c r="X11" s="470"/>
    </row>
    <row r="12" spans="2:24" s="265" customFormat="1" ht="15" customHeight="1">
      <c r="B12" s="260" t="s">
        <v>378</v>
      </c>
      <c r="C12" s="413"/>
      <c r="D12" s="430"/>
      <c r="E12" s="412"/>
      <c r="F12" s="413"/>
      <c r="G12" s="413"/>
      <c r="H12" s="413"/>
      <c r="I12" s="430"/>
      <c r="J12" s="412"/>
      <c r="K12" s="413"/>
      <c r="L12" s="413"/>
      <c r="M12" s="413"/>
      <c r="N12" s="430"/>
      <c r="O12" s="412"/>
      <c r="P12" s="413"/>
      <c r="Q12" s="413"/>
      <c r="R12" s="413"/>
      <c r="S12" s="430"/>
      <c r="T12" s="412"/>
      <c r="U12" s="413"/>
      <c r="V12" s="413"/>
      <c r="W12" s="413"/>
      <c r="X12" s="430"/>
    </row>
    <row r="13" spans="2:24" s="265" customFormat="1" ht="15" customHeight="1">
      <c r="B13" s="266" t="s">
        <v>425</v>
      </c>
      <c r="C13" s="405">
        <v>0.82</v>
      </c>
      <c r="D13" s="431">
        <v>0.86</v>
      </c>
      <c r="E13" s="414">
        <v>0.85</v>
      </c>
      <c r="F13" s="405">
        <v>0.85</v>
      </c>
      <c r="G13" s="405">
        <v>0.84</v>
      </c>
      <c r="H13" s="405">
        <v>0.84</v>
      </c>
      <c r="I13" s="431">
        <v>0.88182428046218508</v>
      </c>
      <c r="J13" s="414">
        <v>0.87</v>
      </c>
      <c r="K13" s="405">
        <v>0.85480951396659199</v>
      </c>
      <c r="L13" s="405">
        <v>0.86156162743765985</v>
      </c>
      <c r="M13" s="405">
        <v>0.88422889832497598</v>
      </c>
      <c r="N13" s="431">
        <v>0.8933841034519957</v>
      </c>
      <c r="O13" s="414">
        <v>0.89614467961165056</v>
      </c>
      <c r="P13" s="405">
        <v>0.83833970367243571</v>
      </c>
      <c r="Q13" s="405">
        <v>0.89825637959054461</v>
      </c>
      <c r="R13" s="405">
        <v>0.912562376720367</v>
      </c>
      <c r="S13" s="431">
        <v>0.93647546796116521</v>
      </c>
      <c r="T13" s="414">
        <v>0.87514306796116514</v>
      </c>
      <c r="U13" s="405">
        <v>0.92907269480793586</v>
      </c>
      <c r="V13" s="405">
        <v>0.90986139974672853</v>
      </c>
      <c r="W13" s="405">
        <v>0.72242202677904621</v>
      </c>
      <c r="X13" s="431">
        <v>0.9389430963322547</v>
      </c>
    </row>
    <row r="14" spans="2:24" s="265" customFormat="1" ht="15" customHeight="1">
      <c r="B14" s="271" t="s">
        <v>426</v>
      </c>
      <c r="C14" s="405">
        <v>0.74</v>
      </c>
      <c r="D14" s="431">
        <v>0.66</v>
      </c>
      <c r="E14" s="414">
        <v>0.71</v>
      </c>
      <c r="F14" s="405">
        <v>0.77</v>
      </c>
      <c r="G14" s="405">
        <v>0.67</v>
      </c>
      <c r="H14" s="405">
        <v>0.75</v>
      </c>
      <c r="I14" s="431">
        <v>0.65200699933399942</v>
      </c>
      <c r="J14" s="414">
        <v>0.72589062424242434</v>
      </c>
      <c r="K14" s="405">
        <v>0.69019953919631094</v>
      </c>
      <c r="L14" s="405">
        <v>0.73419769235836629</v>
      </c>
      <c r="M14" s="405">
        <v>0.73835741824841827</v>
      </c>
      <c r="N14" s="431">
        <v>0.74127786094276094</v>
      </c>
      <c r="O14" s="414">
        <v>0.75580061818181821</v>
      </c>
      <c r="P14" s="405">
        <v>0.77946704578392612</v>
      </c>
      <c r="Q14" s="405">
        <v>0.71411110276679846</v>
      </c>
      <c r="R14" s="405">
        <v>0.7843704875124875</v>
      </c>
      <c r="S14" s="431">
        <v>0.74533690673400677</v>
      </c>
      <c r="T14" s="414">
        <v>0.63991814545454551</v>
      </c>
      <c r="U14" s="405">
        <v>0.57401840415019767</v>
      </c>
      <c r="V14" s="405">
        <v>0.71565771212121221</v>
      </c>
      <c r="W14" s="405">
        <v>0.70462891441891451</v>
      </c>
      <c r="X14" s="431">
        <v>0.56442987979797976</v>
      </c>
    </row>
    <row r="15" spans="2:24" s="265" customFormat="1" ht="15" customHeight="1">
      <c r="B15" s="271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</row>
    <row r="16" spans="2:24" s="265" customFormat="1" ht="7.5" customHeight="1">
      <c r="B16" s="273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</row>
    <row r="17" spans="2:24" s="274" customFormat="1" ht="6" customHeight="1">
      <c r="B17" s="27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265" customFormat="1" ht="14.25">
      <c r="B18" s="27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</sheetData>
  <mergeCells count="24">
    <mergeCell ref="B7:B8"/>
    <mergeCell ref="B10:B11"/>
    <mergeCell ref="P10:P11"/>
    <mergeCell ref="N10:N11"/>
    <mergeCell ref="O10:O11"/>
    <mergeCell ref="I10:I11"/>
    <mergeCell ref="J10:J11"/>
    <mergeCell ref="K10:K11"/>
    <mergeCell ref="L10:L11"/>
    <mergeCell ref="M10:M11"/>
    <mergeCell ref="G10:G11"/>
    <mergeCell ref="E10:E11"/>
    <mergeCell ref="F10:F11"/>
    <mergeCell ref="D10:D11"/>
    <mergeCell ref="C10:C11"/>
    <mergeCell ref="X10:X11"/>
    <mergeCell ref="Q10:Q11"/>
    <mergeCell ref="R10:R11"/>
    <mergeCell ref="S10:S11"/>
    <mergeCell ref="H10:H11"/>
    <mergeCell ref="T10:T11"/>
    <mergeCell ref="U10:U11"/>
    <mergeCell ref="V10:V11"/>
    <mergeCell ref="W10:W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E40"/>
  <sheetViews>
    <sheetView showGridLines="0" zoomScale="90" zoomScaleNormal="90" workbookViewId="0"/>
  </sheetViews>
  <sheetFormatPr defaultColWidth="9.140625" defaultRowHeight="12.75"/>
  <cols>
    <col min="1" max="1" width="1.85546875" style="318" customWidth="1"/>
    <col min="2" max="2" width="57.5703125" style="318" bestFit="1" customWidth="1"/>
    <col min="3" max="13" width="10.140625" style="318" bestFit="1" customWidth="1"/>
    <col min="14" max="15" width="12.140625" style="318" bestFit="1" customWidth="1"/>
    <col min="16" max="25" width="10.7109375" style="318" customWidth="1"/>
    <col min="26" max="26" width="12.7109375" style="318" customWidth="1"/>
    <col min="27" max="27" width="10" style="318" customWidth="1"/>
    <col min="28" max="31" width="10" style="357" customWidth="1"/>
    <col min="32" max="16384" width="9.140625" style="318"/>
  </cols>
  <sheetData>
    <row r="1" spans="2:31" s="181" customFormat="1" ht="9" customHeight="1">
      <c r="M1" s="409"/>
      <c r="AB1" s="183"/>
      <c r="AC1" s="183"/>
      <c r="AD1" s="183"/>
      <c r="AE1" s="183"/>
    </row>
    <row r="2" spans="2:31" s="181" customFormat="1" ht="15.75" customHeight="1">
      <c r="M2" s="409"/>
      <c r="AB2" s="183"/>
      <c r="AC2" s="183"/>
      <c r="AD2" s="183"/>
      <c r="AE2" s="183"/>
    </row>
    <row r="3" spans="2:31" s="181" customFormat="1" ht="15.75" customHeight="1">
      <c r="M3" s="409"/>
      <c r="AB3" s="183"/>
      <c r="AC3" s="183"/>
      <c r="AD3" s="183"/>
      <c r="AE3" s="183"/>
    </row>
    <row r="4" spans="2:31" s="181" customFormat="1" ht="15.75" customHeight="1">
      <c r="M4" s="409"/>
      <c r="AB4" s="183"/>
      <c r="AC4" s="183"/>
      <c r="AD4" s="183"/>
      <c r="AE4" s="183"/>
    </row>
    <row r="5" spans="2:31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410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7"/>
      <c r="AC5" s="257"/>
      <c r="AD5" s="257"/>
      <c r="AE5" s="257"/>
    </row>
    <row r="6" spans="2:31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410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7"/>
      <c r="AC6" s="257"/>
      <c r="AD6" s="257"/>
      <c r="AE6" s="257"/>
    </row>
    <row r="7" spans="2:31" s="181" customFormat="1" ht="15" customHeight="1">
      <c r="B7" s="450" t="s">
        <v>379</v>
      </c>
      <c r="C7" s="443"/>
      <c r="D7" s="440"/>
      <c r="E7" s="438"/>
      <c r="F7" s="189"/>
      <c r="G7" s="189"/>
      <c r="H7" s="189"/>
      <c r="I7" s="189"/>
      <c r="J7" s="189"/>
      <c r="K7" s="189"/>
      <c r="L7" s="189"/>
      <c r="M7" s="411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233"/>
      <c r="AB7" s="233"/>
      <c r="AC7" s="233"/>
      <c r="AD7" s="233"/>
      <c r="AE7" s="233"/>
    </row>
    <row r="8" spans="2:31" s="181" customFormat="1" ht="15" customHeight="1">
      <c r="B8" s="450"/>
      <c r="C8" s="443"/>
      <c r="D8" s="440"/>
      <c r="E8" s="438"/>
      <c r="F8" s="189"/>
      <c r="G8" s="189"/>
      <c r="H8" s="189"/>
      <c r="I8" s="189"/>
      <c r="J8" s="189"/>
      <c r="K8" s="189"/>
      <c r="L8" s="189"/>
      <c r="M8" s="411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233"/>
      <c r="AB8" s="233"/>
      <c r="AC8" s="233"/>
      <c r="AD8" s="233"/>
      <c r="AE8" s="233"/>
    </row>
    <row r="9" spans="2:31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410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7"/>
      <c r="AC9" s="257"/>
      <c r="AD9" s="257"/>
      <c r="AE9" s="257"/>
    </row>
    <row r="10" spans="2:31">
      <c r="B10" s="472"/>
      <c r="C10" s="483" t="s">
        <v>450</v>
      </c>
      <c r="D10" s="485" t="s">
        <v>444</v>
      </c>
      <c r="E10" s="475">
        <v>2024</v>
      </c>
      <c r="F10" s="483" t="s">
        <v>433</v>
      </c>
      <c r="G10" s="483" t="s">
        <v>430</v>
      </c>
      <c r="H10" s="485" t="s">
        <v>420</v>
      </c>
      <c r="I10" s="475">
        <v>2023</v>
      </c>
      <c r="J10" s="483" t="s">
        <v>406</v>
      </c>
      <c r="K10" s="483" t="s">
        <v>403</v>
      </c>
      <c r="L10" s="485" t="s">
        <v>394</v>
      </c>
      <c r="M10" s="475">
        <v>2022</v>
      </c>
      <c r="N10" s="483" t="s">
        <v>387</v>
      </c>
      <c r="O10" s="483" t="s">
        <v>367</v>
      </c>
      <c r="P10" s="477" t="s">
        <v>363</v>
      </c>
      <c r="Q10" s="474">
        <v>2021</v>
      </c>
      <c r="R10" s="481" t="s">
        <v>353</v>
      </c>
      <c r="S10" s="479" t="s">
        <v>349</v>
      </c>
      <c r="T10" s="477" t="s">
        <v>344</v>
      </c>
      <c r="U10" s="474">
        <v>2020</v>
      </c>
      <c r="V10" s="481" t="s">
        <v>336</v>
      </c>
      <c r="W10" s="481" t="s">
        <v>332</v>
      </c>
      <c r="X10" s="476" t="s">
        <v>329</v>
      </c>
      <c r="Y10" s="474">
        <v>2019</v>
      </c>
      <c r="Z10" s="474">
        <v>2018</v>
      </c>
      <c r="AA10" s="474">
        <v>2017</v>
      </c>
      <c r="AB10" s="474">
        <v>2016</v>
      </c>
      <c r="AC10" s="474">
        <v>2015</v>
      </c>
      <c r="AD10" s="474">
        <v>2014</v>
      </c>
      <c r="AE10" s="474">
        <v>2013</v>
      </c>
    </row>
    <row r="11" spans="2:31">
      <c r="B11" s="473"/>
      <c r="C11" s="480"/>
      <c r="D11" s="486"/>
      <c r="E11" s="484"/>
      <c r="F11" s="480"/>
      <c r="G11" s="480"/>
      <c r="H11" s="486"/>
      <c r="I11" s="484"/>
      <c r="J11" s="480"/>
      <c r="K11" s="480"/>
      <c r="L11" s="486"/>
      <c r="M11" s="484"/>
      <c r="N11" s="480"/>
      <c r="O11" s="480"/>
      <c r="P11" s="478"/>
      <c r="Q11" s="475"/>
      <c r="R11" s="482"/>
      <c r="S11" s="480"/>
      <c r="T11" s="478"/>
      <c r="U11" s="475"/>
      <c r="V11" s="482"/>
      <c r="W11" s="482"/>
      <c r="X11" s="449"/>
      <c r="Y11" s="475"/>
      <c r="Z11" s="475"/>
      <c r="AA11" s="475"/>
      <c r="AB11" s="475"/>
      <c r="AC11" s="475"/>
      <c r="AD11" s="475"/>
      <c r="AE11" s="475"/>
    </row>
    <row r="12" spans="2:31" s="323" customFormat="1" ht="15" customHeight="1">
      <c r="B12" s="319" t="s">
        <v>300</v>
      </c>
      <c r="C12" s="320">
        <f t="shared" ref="C12" si="0">SUM(C13:C15)</f>
        <v>111739</v>
      </c>
      <c r="D12" s="321">
        <f t="shared" ref="D12" si="1">SUM(D13:D15)</f>
        <v>112215</v>
      </c>
      <c r="E12" s="415">
        <f t="shared" ref="E12" si="2">SUM(E13:E15)</f>
        <v>112723</v>
      </c>
      <c r="F12" s="320">
        <f t="shared" ref="F12" si="3">SUM(F13:F15)</f>
        <v>113567</v>
      </c>
      <c r="G12" s="320">
        <f t="shared" ref="G12" si="4">SUM(G13:G15)</f>
        <v>113600</v>
      </c>
      <c r="H12" s="321">
        <f t="shared" ref="H12" si="5">SUM(H13:H15)</f>
        <v>103254</v>
      </c>
      <c r="I12" s="415">
        <f t="shared" ref="I12" si="6">SUM(I13:I15)</f>
        <v>103529</v>
      </c>
      <c r="J12" s="320">
        <f t="shared" ref="J12" si="7">SUM(J13:J15)</f>
        <v>103529</v>
      </c>
      <c r="K12" s="320">
        <f t="shared" ref="K12" si="8">SUM(K13:K15)</f>
        <v>103477</v>
      </c>
      <c r="L12" s="321">
        <f t="shared" ref="L12" si="9">SUM(L13:L15)</f>
        <v>103499</v>
      </c>
      <c r="M12" s="415">
        <f>SUM(M13:M15)</f>
        <v>103499</v>
      </c>
      <c r="N12" s="320">
        <f t="shared" ref="N12" si="10">SUM(N13:N15)</f>
        <v>103499.06599999999</v>
      </c>
      <c r="O12" s="320">
        <f t="shared" ref="O12" si="11">SUM(O13:O15)</f>
        <v>103505.04800000001</v>
      </c>
      <c r="P12" s="321">
        <f t="shared" ref="P12" si="12">SUM(P13:P15)</f>
        <v>94402.771999999997</v>
      </c>
      <c r="Q12" s="322">
        <v>94402.771999999997</v>
      </c>
      <c r="R12" s="320">
        <f t="shared" ref="R12:T12" si="13">SUM(R13:R15)</f>
        <v>94402.771999999997</v>
      </c>
      <c r="S12" s="320">
        <f t="shared" si="13"/>
        <v>94402.771999999997</v>
      </c>
      <c r="T12" s="321">
        <f t="shared" si="13"/>
        <v>95098.171999999991</v>
      </c>
      <c r="U12" s="322">
        <f>SUM(U13:U15)</f>
        <v>95103.172000000006</v>
      </c>
      <c r="V12" s="320">
        <f>SUM(V13:V15)</f>
        <v>94433.872000000003</v>
      </c>
      <c r="W12" s="320">
        <f>SUM(W13:W15)</f>
        <v>96172.471999999994</v>
      </c>
      <c r="X12" s="320">
        <f>SUM(X13:X15)</f>
        <v>96687.271999999997</v>
      </c>
      <c r="Y12" s="322">
        <f t="shared" ref="Y12" si="14">SUM(Y13:Y15)</f>
        <v>98446.797999999995</v>
      </c>
      <c r="Z12" s="322">
        <f t="shared" ref="Z12" si="15">SUM(Z13:Z15)</f>
        <v>87449.421000000002</v>
      </c>
      <c r="AA12" s="322">
        <v>80629</v>
      </c>
      <c r="AB12" s="322">
        <v>80629</v>
      </c>
      <c r="AC12" s="322">
        <v>80629</v>
      </c>
      <c r="AD12" s="322">
        <f t="shared" ref="AD12:AE12" si="16">SUM(AD13:AD15)</f>
        <v>80629</v>
      </c>
      <c r="AE12" s="322">
        <f t="shared" si="16"/>
        <v>80629</v>
      </c>
    </row>
    <row r="13" spans="2:31" s="328" customFormat="1" ht="15" customHeight="1">
      <c r="B13" s="324" t="s">
        <v>142</v>
      </c>
      <c r="C13" s="325">
        <v>38993</v>
      </c>
      <c r="D13" s="325">
        <v>39017</v>
      </c>
      <c r="E13" s="416">
        <v>39043</v>
      </c>
      <c r="F13" s="325">
        <v>39343</v>
      </c>
      <c r="G13" s="325">
        <v>39345</v>
      </c>
      <c r="H13" s="325">
        <v>35768</v>
      </c>
      <c r="I13" s="416">
        <v>35990</v>
      </c>
      <c r="J13" s="325">
        <v>35990</v>
      </c>
      <c r="K13" s="325">
        <v>35990</v>
      </c>
      <c r="L13" s="325">
        <v>35990</v>
      </c>
      <c r="M13" s="416">
        <v>35990</v>
      </c>
      <c r="N13" s="325">
        <v>35989.866999999998</v>
      </c>
      <c r="O13" s="325">
        <v>36102.167000000001</v>
      </c>
      <c r="P13" s="326">
        <v>33007.97</v>
      </c>
      <c r="Q13" s="327">
        <v>33007.97</v>
      </c>
      <c r="R13" s="325">
        <v>33007.97</v>
      </c>
      <c r="S13" s="325">
        <v>33007.97</v>
      </c>
      <c r="T13" s="326">
        <v>33703.370000000003</v>
      </c>
      <c r="U13" s="327">
        <f>33703370/1000</f>
        <v>33703.370000000003</v>
      </c>
      <c r="V13" s="325">
        <f>33007970/1000</f>
        <v>33007.97</v>
      </c>
      <c r="W13" s="325">
        <v>34257.769999999997</v>
      </c>
      <c r="X13" s="325">
        <v>34350.67</v>
      </c>
      <c r="Y13" s="327">
        <v>34918.67</v>
      </c>
      <c r="Z13" s="327">
        <v>30234.634999999998</v>
      </c>
      <c r="AA13" s="327">
        <v>27752</v>
      </c>
      <c r="AB13" s="327">
        <v>27752</v>
      </c>
      <c r="AC13" s="327">
        <v>27752</v>
      </c>
      <c r="AD13" s="327">
        <v>27752</v>
      </c>
      <c r="AE13" s="327">
        <v>27752</v>
      </c>
    </row>
    <row r="14" spans="2:31" s="328" customFormat="1" ht="15" customHeight="1">
      <c r="B14" s="324" t="s">
        <v>143</v>
      </c>
      <c r="C14" s="329">
        <v>2413</v>
      </c>
      <c r="D14" s="329">
        <v>2430</v>
      </c>
      <c r="E14" s="417">
        <v>2432</v>
      </c>
      <c r="F14" s="329">
        <v>2440</v>
      </c>
      <c r="G14" s="329">
        <v>2440</v>
      </c>
      <c r="H14" s="329">
        <v>2218</v>
      </c>
      <c r="I14" s="417">
        <v>2218</v>
      </c>
      <c r="J14" s="329">
        <v>2218</v>
      </c>
      <c r="K14" s="329">
        <v>2218</v>
      </c>
      <c r="L14" s="329">
        <v>2218</v>
      </c>
      <c r="M14" s="417">
        <v>2218</v>
      </c>
      <c r="N14" s="329">
        <v>2225.3020000000001</v>
      </c>
      <c r="O14" s="329">
        <v>2225.3020000000001</v>
      </c>
      <c r="P14" s="330">
        <v>2034.375</v>
      </c>
      <c r="Q14" s="331">
        <v>2030.2750000000001</v>
      </c>
      <c r="R14" s="329">
        <v>2034.375</v>
      </c>
      <c r="S14" s="329">
        <v>2043.6489999999999</v>
      </c>
      <c r="T14" s="330">
        <v>2428.1909999999998</v>
      </c>
      <c r="U14" s="331">
        <f>2441891/1000</f>
        <v>2441.8910000000001</v>
      </c>
      <c r="V14" s="329">
        <f>2539837/1000</f>
        <v>2539.837</v>
      </c>
      <c r="W14" s="329">
        <v>2611.2370000000001</v>
      </c>
      <c r="X14" s="329">
        <v>2629.9369999999999</v>
      </c>
      <c r="Y14" s="331">
        <v>2719.4369999999999</v>
      </c>
      <c r="Z14" s="331">
        <v>2523.3960000000002</v>
      </c>
      <c r="AA14" s="331">
        <v>2591</v>
      </c>
      <c r="AB14" s="331">
        <v>2591</v>
      </c>
      <c r="AC14" s="331">
        <v>2591</v>
      </c>
      <c r="AD14" s="331">
        <v>2591</v>
      </c>
      <c r="AE14" s="331">
        <v>2591</v>
      </c>
    </row>
    <row r="15" spans="2:31" s="328" customFormat="1" ht="15" customHeight="1">
      <c r="B15" s="332" t="s">
        <v>144</v>
      </c>
      <c r="C15" s="333">
        <v>70333</v>
      </c>
      <c r="D15" s="333">
        <v>70768</v>
      </c>
      <c r="E15" s="418">
        <v>71248</v>
      </c>
      <c r="F15" s="333">
        <v>71784</v>
      </c>
      <c r="G15" s="333">
        <v>71815</v>
      </c>
      <c r="H15" s="333">
        <v>65268</v>
      </c>
      <c r="I15" s="418">
        <v>65321</v>
      </c>
      <c r="J15" s="333">
        <v>65321</v>
      </c>
      <c r="K15" s="333">
        <v>65269</v>
      </c>
      <c r="L15" s="333">
        <v>65291</v>
      </c>
      <c r="M15" s="418">
        <v>65291</v>
      </c>
      <c r="N15" s="333">
        <v>65283.896999999997</v>
      </c>
      <c r="O15" s="333">
        <v>65177.578999999998</v>
      </c>
      <c r="P15" s="334">
        <v>59360.427000000003</v>
      </c>
      <c r="Q15" s="335">
        <v>59364.527000000002</v>
      </c>
      <c r="R15" s="333">
        <v>59360.427000000003</v>
      </c>
      <c r="S15" s="333">
        <v>59351.152999999998</v>
      </c>
      <c r="T15" s="334">
        <v>58966.610999999997</v>
      </c>
      <c r="U15" s="335">
        <f>58957911/1000</f>
        <v>58957.911</v>
      </c>
      <c r="V15" s="333">
        <f>58886065/1000</f>
        <v>58886.065000000002</v>
      </c>
      <c r="W15" s="333">
        <v>59303.464999999997</v>
      </c>
      <c r="X15" s="333">
        <v>59706.665000000001</v>
      </c>
      <c r="Y15" s="335">
        <v>60808.690999999999</v>
      </c>
      <c r="Z15" s="335">
        <v>54691.39</v>
      </c>
      <c r="AA15" s="335">
        <v>50286</v>
      </c>
      <c r="AB15" s="335">
        <v>50286</v>
      </c>
      <c r="AC15" s="335">
        <v>50286</v>
      </c>
      <c r="AD15" s="335">
        <v>50286</v>
      </c>
      <c r="AE15" s="335">
        <v>50286</v>
      </c>
    </row>
    <row r="16" spans="2:31" s="323" customFormat="1" ht="15" customHeight="1">
      <c r="B16" s="319" t="s">
        <v>301</v>
      </c>
      <c r="C16" s="336"/>
      <c r="D16" s="337"/>
      <c r="E16" s="419"/>
      <c r="F16" s="336"/>
      <c r="G16" s="336"/>
      <c r="H16" s="337"/>
      <c r="I16" s="419"/>
      <c r="J16" s="336"/>
      <c r="K16" s="336"/>
      <c r="L16" s="337"/>
      <c r="M16" s="419"/>
      <c r="N16" s="336"/>
      <c r="O16" s="336"/>
      <c r="P16" s="337"/>
      <c r="Q16" s="322"/>
      <c r="R16" s="336"/>
      <c r="S16" s="336"/>
      <c r="T16" s="337"/>
      <c r="U16" s="322"/>
      <c r="V16" s="336"/>
      <c r="W16" s="336"/>
      <c r="X16" s="336"/>
      <c r="Y16" s="322"/>
      <c r="Z16" s="322"/>
      <c r="AA16" s="322"/>
      <c r="AB16" s="322"/>
      <c r="AC16" s="322"/>
      <c r="AD16" s="322"/>
      <c r="AE16" s="322"/>
    </row>
    <row r="17" spans="2:31" s="328" customFormat="1" ht="15" customHeight="1">
      <c r="B17" s="324" t="s">
        <v>142</v>
      </c>
      <c r="C17" s="338">
        <v>52.22</v>
      </c>
      <c r="D17" s="339">
        <v>53</v>
      </c>
      <c r="E17" s="420">
        <v>46.2</v>
      </c>
      <c r="F17" s="338">
        <v>46.7</v>
      </c>
      <c r="G17" s="338">
        <v>47.56</v>
      </c>
      <c r="H17" s="339">
        <v>56.826999999999998</v>
      </c>
      <c r="I17" s="420">
        <v>70.39</v>
      </c>
      <c r="J17" s="338">
        <v>73.72</v>
      </c>
      <c r="K17" s="338">
        <v>74.61</v>
      </c>
      <c r="L17" s="339">
        <v>66.3</v>
      </c>
      <c r="M17" s="420">
        <v>81.96</v>
      </c>
      <c r="N17" s="338">
        <v>85.78</v>
      </c>
      <c r="O17" s="338">
        <v>83.197999999999993</v>
      </c>
      <c r="P17" s="339">
        <v>99.6</v>
      </c>
      <c r="Q17" s="340">
        <v>103.2</v>
      </c>
      <c r="R17" s="338">
        <v>85.77</v>
      </c>
      <c r="S17" s="338">
        <v>103.99</v>
      </c>
      <c r="T17" s="339">
        <v>62.814</v>
      </c>
      <c r="U17" s="340">
        <v>48.9</v>
      </c>
      <c r="V17" s="338">
        <v>34.5</v>
      </c>
      <c r="W17" s="338">
        <v>29.95</v>
      </c>
      <c r="X17" s="338">
        <v>30</v>
      </c>
      <c r="Y17" s="340">
        <v>35.799999999999997</v>
      </c>
      <c r="Z17" s="340">
        <v>37.5</v>
      </c>
      <c r="AA17" s="340">
        <v>16.670000000000002</v>
      </c>
      <c r="AB17" s="340">
        <v>7.5</v>
      </c>
      <c r="AC17" s="340">
        <v>5.89</v>
      </c>
      <c r="AD17" s="340">
        <v>5.08</v>
      </c>
      <c r="AE17" s="340">
        <v>5.53</v>
      </c>
    </row>
    <row r="18" spans="2:31" s="328" customFormat="1" ht="15" customHeight="1">
      <c r="B18" s="324" t="s">
        <v>143</v>
      </c>
      <c r="C18" s="341">
        <v>55.02</v>
      </c>
      <c r="D18" s="342">
        <v>53.01</v>
      </c>
      <c r="E18" s="421">
        <v>48.51</v>
      </c>
      <c r="F18" s="341">
        <v>48</v>
      </c>
      <c r="G18" s="341">
        <v>49.7</v>
      </c>
      <c r="H18" s="342">
        <v>61.573</v>
      </c>
      <c r="I18" s="421">
        <v>78.97</v>
      </c>
      <c r="J18" s="341">
        <v>83.8</v>
      </c>
      <c r="K18" s="341">
        <v>81.62</v>
      </c>
      <c r="L18" s="342">
        <v>89.99</v>
      </c>
      <c r="M18" s="421">
        <v>93.67</v>
      </c>
      <c r="N18" s="341">
        <v>96.3</v>
      </c>
      <c r="O18" s="341">
        <v>92.313999999999993</v>
      </c>
      <c r="P18" s="342">
        <v>101</v>
      </c>
      <c r="Q18" s="340">
        <v>102.9</v>
      </c>
      <c r="R18" s="341">
        <v>79</v>
      </c>
      <c r="S18" s="341">
        <v>101</v>
      </c>
      <c r="T18" s="342">
        <v>66.926000000000002</v>
      </c>
      <c r="U18" s="340">
        <v>48.8</v>
      </c>
      <c r="V18" s="341">
        <v>31</v>
      </c>
      <c r="W18" s="341">
        <v>28.6</v>
      </c>
      <c r="X18" s="341">
        <v>24.5</v>
      </c>
      <c r="Y18" s="340">
        <v>35.950000000000003</v>
      </c>
      <c r="Z18" s="340">
        <v>37.450000000000003</v>
      </c>
      <c r="AA18" s="340">
        <v>16.350000000000001</v>
      </c>
      <c r="AB18" s="340">
        <v>8</v>
      </c>
      <c r="AC18" s="340">
        <v>5.5</v>
      </c>
      <c r="AD18" s="340">
        <v>5.45</v>
      </c>
      <c r="AE18" s="340">
        <v>5.7</v>
      </c>
    </row>
    <row r="19" spans="2:31" s="328" customFormat="1" ht="15" customHeight="1">
      <c r="B19" s="332" t="s">
        <v>144</v>
      </c>
      <c r="C19" s="343">
        <v>58.14</v>
      </c>
      <c r="D19" s="344">
        <v>54.86</v>
      </c>
      <c r="E19" s="422">
        <v>47.78</v>
      </c>
      <c r="F19" s="343">
        <v>46.63</v>
      </c>
      <c r="G19" s="343">
        <v>48.79</v>
      </c>
      <c r="H19" s="344">
        <v>60.618000000000002</v>
      </c>
      <c r="I19" s="422">
        <v>76.59</v>
      </c>
      <c r="J19" s="343">
        <v>81.03</v>
      </c>
      <c r="K19" s="343">
        <v>79.14</v>
      </c>
      <c r="L19" s="344">
        <v>70.05</v>
      </c>
      <c r="M19" s="422">
        <v>88.01</v>
      </c>
      <c r="N19" s="343">
        <v>95.99</v>
      </c>
      <c r="O19" s="343">
        <v>89.786000000000001</v>
      </c>
      <c r="P19" s="344">
        <v>104.05</v>
      </c>
      <c r="Q19" s="345">
        <v>103.24</v>
      </c>
      <c r="R19" s="343">
        <v>79.08</v>
      </c>
      <c r="S19" s="343">
        <v>98.3</v>
      </c>
      <c r="T19" s="344">
        <v>67.003</v>
      </c>
      <c r="U19" s="345">
        <v>51.19</v>
      </c>
      <c r="V19" s="343">
        <v>27.84</v>
      </c>
      <c r="W19" s="343">
        <v>23.94</v>
      </c>
      <c r="X19" s="343">
        <v>24</v>
      </c>
      <c r="Y19" s="345">
        <v>35.71</v>
      </c>
      <c r="Z19" s="345">
        <v>36.86</v>
      </c>
      <c r="AA19" s="345">
        <v>15.85</v>
      </c>
      <c r="AB19" s="345">
        <v>6.85</v>
      </c>
      <c r="AC19" s="345">
        <v>4.33</v>
      </c>
      <c r="AD19" s="345">
        <v>4.43</v>
      </c>
      <c r="AE19" s="345">
        <v>4.79</v>
      </c>
    </row>
    <row r="20" spans="2:31" s="323" customFormat="1" ht="15" customHeight="1">
      <c r="B20" s="319" t="s">
        <v>302</v>
      </c>
      <c r="C20" s="346">
        <f t="shared" ref="C20" si="17">SUM(C21:C23)</f>
        <v>8425.7131378539489</v>
      </c>
      <c r="D20" s="347">
        <f t="shared" ref="D20" si="18">SUM(D21:D23)</f>
        <v>8778.9098196721334</v>
      </c>
      <c r="E20" s="423">
        <f t="shared" ref="E20" si="19">SUM(E21:E23)</f>
        <v>10828.218330677291</v>
      </c>
      <c r="F20" s="346">
        <f t="shared" ref="F20" si="20">SUM(F21:F23)</f>
        <v>11220.34602631579</v>
      </c>
      <c r="G20" s="346">
        <f>SUM(G21:G23)</f>
        <v>11900.917548387097</v>
      </c>
      <c r="H20" s="347">
        <f>SUM(H21:H23)</f>
        <v>13130</v>
      </c>
      <c r="I20" s="423">
        <f>SUM(I21:I23)</f>
        <v>18765.489762096775</v>
      </c>
      <c r="J20" s="346">
        <f>SUM(J21:J23)</f>
        <v>20119</v>
      </c>
      <c r="K20" s="346">
        <f>SUM(K21:K23)</f>
        <v>21079.702782258064</v>
      </c>
      <c r="L20" s="347"/>
      <c r="M20" s="423">
        <f t="shared" ref="M20" si="21">SUM(M21:M23)</f>
        <v>30682.495808</v>
      </c>
      <c r="N20" s="346">
        <f t="shared" ref="N20" si="22">SUM(N21:N23)</f>
        <v>33523.690555555557</v>
      </c>
      <c r="O20" s="346">
        <f t="shared" ref="O20" si="23">SUM(O21:O23)</f>
        <v>38703.060508064518</v>
      </c>
      <c r="P20" s="347">
        <f t="shared" ref="P20" si="24">SUM(P21:P23)</f>
        <v>48051.532129032261</v>
      </c>
      <c r="Q20" s="348">
        <v>36092.925574196815</v>
      </c>
      <c r="R20" s="346">
        <f t="shared" ref="R20:T20" si="25">SUM(R21:R23)</f>
        <v>35258.557586021503</v>
      </c>
      <c r="S20" s="346">
        <f t="shared" si="25"/>
        <v>38019.060680327864</v>
      </c>
      <c r="T20" s="347">
        <f t="shared" si="25"/>
        <v>25093.772566666667</v>
      </c>
      <c r="U20" s="348">
        <f t="shared" ref="U20" si="26">SUM(U21:U23)</f>
        <v>8844.6457911646594</v>
      </c>
      <c r="V20" s="346">
        <f t="shared" ref="V20" si="27">SUM(V21:V23)</f>
        <v>7945.6848510638301</v>
      </c>
      <c r="W20" s="346">
        <f t="shared" ref="W20" si="28">SUM(W21:W23)</f>
        <v>8353.6844238304675</v>
      </c>
      <c r="X20" s="346">
        <f t="shared" ref="X20" si="29">SUM(X21:X23)</f>
        <v>12332.859645161292</v>
      </c>
      <c r="Y20" s="348">
        <f t="shared" ref="Y20" si="30">SUM(Y21:Y23)</f>
        <v>8727</v>
      </c>
      <c r="Z20" s="348">
        <f t="shared" ref="Z20" si="31">SUM(Z21:Z23)</f>
        <v>8083.0644086434577</v>
      </c>
      <c r="AA20" s="348">
        <f t="shared" ref="AA20:AE20" si="32">SUM(AA21:AA23)</f>
        <v>1401.3969999999999</v>
      </c>
      <c r="AB20" s="348">
        <f t="shared" si="32"/>
        <v>129.464</v>
      </c>
      <c r="AC20" s="348">
        <f t="shared" si="32"/>
        <v>199.364</v>
      </c>
      <c r="AD20" s="348">
        <f t="shared" si="32"/>
        <v>231.37199999999999</v>
      </c>
      <c r="AE20" s="348">
        <f t="shared" si="32"/>
        <v>617.50900000000001</v>
      </c>
    </row>
    <row r="21" spans="2:31" s="328" customFormat="1" ht="15" customHeight="1">
      <c r="B21" s="324" t="s">
        <v>142</v>
      </c>
      <c r="C21" s="349">
        <v>301.43081818181815</v>
      </c>
      <c r="D21" s="350">
        <v>312.64460655737702</v>
      </c>
      <c r="E21" s="424">
        <v>546.7988366533865</v>
      </c>
      <c r="F21" s="349">
        <v>542.00884210526317</v>
      </c>
      <c r="G21" s="349">
        <v>623.36575000000005</v>
      </c>
      <c r="H21" s="350">
        <v>734</v>
      </c>
      <c r="I21" s="424">
        <v>1155.3878145161291</v>
      </c>
      <c r="J21" s="349">
        <v>1295</v>
      </c>
      <c r="K21" s="349">
        <v>1529.2059354838709</v>
      </c>
      <c r="L21" s="350">
        <v>1865.4144444444446</v>
      </c>
      <c r="M21" s="424">
        <v>2710.7981519999998</v>
      </c>
      <c r="N21" s="349">
        <v>3001.9816931216933</v>
      </c>
      <c r="O21" s="349">
        <v>3172.2688306451614</v>
      </c>
      <c r="P21" s="350">
        <v>2814.3229677419354</v>
      </c>
      <c r="Q21" s="351">
        <v>3816.2197408906882</v>
      </c>
      <c r="R21" s="349">
        <v>3533.621430107527</v>
      </c>
      <c r="S21" s="349">
        <v>3602.2883606557375</v>
      </c>
      <c r="T21" s="350">
        <v>863.86453333333327</v>
      </c>
      <c r="U21" s="351">
        <v>583.87233734939764</v>
      </c>
      <c r="V21" s="349">
        <v>599.48357978723402</v>
      </c>
      <c r="W21" s="349">
        <v>390.0491300813008</v>
      </c>
      <c r="X21" s="349">
        <v>668.24209677419356</v>
      </c>
      <c r="Y21" s="351">
        <v>2528</v>
      </c>
      <c r="Z21" s="351">
        <v>447.38829387755106</v>
      </c>
      <c r="AA21" s="351">
        <v>162.81399999999999</v>
      </c>
      <c r="AB21" s="351">
        <v>9.94</v>
      </c>
      <c r="AC21" s="351">
        <v>17.103000000000002</v>
      </c>
      <c r="AD21" s="351">
        <v>11.878</v>
      </c>
      <c r="AE21" s="351">
        <v>9.8789999999999996</v>
      </c>
    </row>
    <row r="22" spans="2:31" s="328" customFormat="1" ht="15" customHeight="1">
      <c r="B22" s="324" t="s">
        <v>143</v>
      </c>
      <c r="C22" s="352">
        <v>31.845163934426228</v>
      </c>
      <c r="D22" s="353">
        <v>14.180229508196721</v>
      </c>
      <c r="E22" s="425">
        <v>27.692796812749005</v>
      </c>
      <c r="F22" s="352">
        <v>25.928368421052628</v>
      </c>
      <c r="G22" s="352">
        <v>13.733629032258065</v>
      </c>
      <c r="H22" s="353">
        <v>11</v>
      </c>
      <c r="I22" s="425">
        <v>18.019830645161292</v>
      </c>
      <c r="J22" s="352">
        <v>19</v>
      </c>
      <c r="K22" s="352">
        <v>20.6235</v>
      </c>
      <c r="L22" s="353">
        <v>24.796809523809522</v>
      </c>
      <c r="M22" s="425">
        <v>34.428572000000003</v>
      </c>
      <c r="N22" s="352">
        <v>34.596941798941799</v>
      </c>
      <c r="O22" s="352">
        <v>22.182080645161292</v>
      </c>
      <c r="P22" s="353">
        <v>23.878193548387099</v>
      </c>
      <c r="Q22" s="354">
        <v>73.951173387096773</v>
      </c>
      <c r="R22" s="352">
        <v>69.449107526881718</v>
      </c>
      <c r="S22" s="352">
        <v>90.450286885245902</v>
      </c>
      <c r="T22" s="353">
        <v>65.729733333333343</v>
      </c>
      <c r="U22" s="354">
        <v>47.265598393574301</v>
      </c>
      <c r="V22" s="352">
        <v>46.133813829787236</v>
      </c>
      <c r="W22" s="352">
        <v>47.003131147540984</v>
      </c>
      <c r="X22" s="352">
        <v>63.729129032258065</v>
      </c>
      <c r="Y22" s="354">
        <v>54</v>
      </c>
      <c r="Z22" s="354">
        <v>83.557588235294105</v>
      </c>
      <c r="AA22" s="354">
        <v>43.329000000000001</v>
      </c>
      <c r="AB22" s="354">
        <v>6.0209999999999999</v>
      </c>
      <c r="AC22" s="354">
        <v>9.61</v>
      </c>
      <c r="AD22" s="354">
        <v>26.067</v>
      </c>
      <c r="AE22" s="354">
        <v>157.24799999999999</v>
      </c>
    </row>
    <row r="23" spans="2:31" s="328" customFormat="1" ht="15" customHeight="1">
      <c r="B23" s="324" t="s">
        <v>144</v>
      </c>
      <c r="C23" s="352">
        <v>8092.4371557377044</v>
      </c>
      <c r="D23" s="353">
        <v>8452.084983606559</v>
      </c>
      <c r="E23" s="425">
        <v>10253.726697211156</v>
      </c>
      <c r="F23" s="352">
        <v>10652.408815789475</v>
      </c>
      <c r="G23" s="352">
        <v>11263.818169354839</v>
      </c>
      <c r="H23" s="353">
        <v>12385</v>
      </c>
      <c r="I23" s="425">
        <v>17592.082116935486</v>
      </c>
      <c r="J23" s="352">
        <v>18805</v>
      </c>
      <c r="K23" s="352">
        <v>19529.873346774195</v>
      </c>
      <c r="L23" s="353">
        <v>19482.969714285711</v>
      </c>
      <c r="M23" s="425">
        <v>27937.269084</v>
      </c>
      <c r="N23" s="352">
        <v>30487.111920634921</v>
      </c>
      <c r="O23" s="352">
        <v>35508.609596774193</v>
      </c>
      <c r="P23" s="353">
        <v>45213.330967741938</v>
      </c>
      <c r="Q23" s="354">
        <v>32202.754659919028</v>
      </c>
      <c r="R23" s="352">
        <v>31655.487048387095</v>
      </c>
      <c r="S23" s="352">
        <v>34326.322032786884</v>
      </c>
      <c r="T23" s="353">
        <v>24164.1783</v>
      </c>
      <c r="U23" s="354">
        <v>8213.5078554216871</v>
      </c>
      <c r="V23" s="352">
        <v>7300.0674574468085</v>
      </c>
      <c r="W23" s="352">
        <v>7916.6321626016261</v>
      </c>
      <c r="X23" s="352">
        <v>11600.88841935484</v>
      </c>
      <c r="Y23" s="354">
        <v>6145</v>
      </c>
      <c r="Z23" s="354">
        <v>7552.1185265306121</v>
      </c>
      <c r="AA23" s="354">
        <v>1195.2539999999999</v>
      </c>
      <c r="AB23" s="354">
        <v>113.503</v>
      </c>
      <c r="AC23" s="354">
        <v>172.65100000000001</v>
      </c>
      <c r="AD23" s="354">
        <v>193.42699999999999</v>
      </c>
      <c r="AE23" s="354">
        <v>450.38200000000001</v>
      </c>
    </row>
    <row r="24" spans="2:31" s="323" customFormat="1" ht="15" customHeight="1">
      <c r="B24" s="319" t="s">
        <v>303</v>
      </c>
      <c r="C24" s="320">
        <v>6258138.3448600005</v>
      </c>
      <c r="D24" s="321">
        <v>6079049.4601799995</v>
      </c>
      <c r="E24" s="415">
        <v>5325984.6479000002</v>
      </c>
      <c r="F24" s="320">
        <v>5301722.0783299999</v>
      </c>
      <c r="G24" s="320">
        <v>5496377.1166900005</v>
      </c>
      <c r="H24" s="321">
        <v>6739410.0938299997</v>
      </c>
      <c r="I24" s="415">
        <v>7711471.06917</v>
      </c>
      <c r="J24" s="320">
        <v>8132058.6575399991</v>
      </c>
      <c r="K24" s="320">
        <v>8031665.7886899989</v>
      </c>
      <c r="L24" s="321">
        <v>7159378.5199299995</v>
      </c>
      <c r="M24" s="415">
        <v>8903769.1266300008</v>
      </c>
      <c r="N24" s="320">
        <v>9568107.4998899996</v>
      </c>
      <c r="O24" s="320">
        <v>9061088.7269880008</v>
      </c>
      <c r="P24" s="321">
        <v>9669530.6213499997</v>
      </c>
      <c r="Q24" s="322">
        <v>9744131.5689800009</v>
      </c>
      <c r="R24" s="320">
        <v>7686031.7790600006</v>
      </c>
      <c r="S24" s="320">
        <v>9473125.689199999</v>
      </c>
      <c r="T24" s="321">
        <v>6230492.4308789996</v>
      </c>
      <c r="U24" s="322">
        <v>4785314.5378900003</v>
      </c>
      <c r="V24" s="320">
        <v>2856897.9616</v>
      </c>
      <c r="W24" s="320">
        <v>2520426.5417999998</v>
      </c>
      <c r="X24" s="320">
        <v>2527913.5164999999</v>
      </c>
      <c r="Y24" s="322">
        <v>3519330.5017599999</v>
      </c>
      <c r="Z24" s="322">
        <v>3244224.6281000003</v>
      </c>
      <c r="AA24" s="322">
        <v>1302022</v>
      </c>
      <c r="AB24" s="322">
        <v>573327</v>
      </c>
      <c r="AC24" s="322">
        <v>395448.16000000003</v>
      </c>
      <c r="AD24" s="322">
        <v>377868.08999999997</v>
      </c>
      <c r="AE24" s="322">
        <v>409107.20000000001</v>
      </c>
    </row>
    <row r="25" spans="2:31" s="328" customFormat="1" ht="15" customHeight="1">
      <c r="AB25" s="355"/>
      <c r="AC25" s="355"/>
      <c r="AD25" s="355"/>
      <c r="AE25" s="355"/>
    </row>
    <row r="26" spans="2:31" s="328" customFormat="1" ht="15" customHeight="1">
      <c r="B26" s="356" t="s">
        <v>304</v>
      </c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5"/>
      <c r="AC26" s="355"/>
      <c r="AD26" s="355"/>
      <c r="AE26" s="355"/>
    </row>
    <row r="27" spans="2:31" s="328" customFormat="1" ht="15" customHeight="1">
      <c r="B27" s="356" t="s">
        <v>305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5"/>
      <c r="AC27" s="355"/>
      <c r="AD27" s="355"/>
      <c r="AE27" s="355"/>
    </row>
    <row r="28" spans="2:31" ht="14.25">
      <c r="B28" s="356" t="s">
        <v>306</v>
      </c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</row>
    <row r="30" spans="2:31"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9"/>
      <c r="AC30" s="359"/>
      <c r="AD30" s="359"/>
    </row>
    <row r="31" spans="2:31"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1"/>
      <c r="AC31" s="361"/>
      <c r="AD31" s="361"/>
    </row>
    <row r="32" spans="2:31"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1"/>
      <c r="AC32" s="361"/>
      <c r="AD32" s="361"/>
    </row>
    <row r="33" spans="2:30"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1"/>
      <c r="AC33" s="361"/>
      <c r="AD33" s="361"/>
    </row>
    <row r="34" spans="2:30"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1"/>
      <c r="AC34" s="361"/>
      <c r="AD34" s="361"/>
    </row>
    <row r="35" spans="2:30"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1"/>
      <c r="AC35" s="364"/>
      <c r="AD35" s="361"/>
    </row>
    <row r="36" spans="2:30"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1"/>
      <c r="AC36" s="364"/>
      <c r="AD36" s="361"/>
    </row>
    <row r="37" spans="2:30"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1"/>
      <c r="AC37" s="364"/>
      <c r="AD37" s="361"/>
    </row>
    <row r="38" spans="2:30"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1"/>
      <c r="AC38" s="364"/>
      <c r="AD38" s="361"/>
    </row>
    <row r="39" spans="2:30"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1"/>
      <c r="AC39" s="366"/>
      <c r="AD39" s="361"/>
    </row>
    <row r="40" spans="2:30"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1"/>
      <c r="AC40" s="367"/>
      <c r="AD40" s="361"/>
    </row>
  </sheetData>
  <mergeCells count="31">
    <mergeCell ref="C10:C11"/>
    <mergeCell ref="E10:E11"/>
    <mergeCell ref="H10:H11"/>
    <mergeCell ref="F10:F11"/>
    <mergeCell ref="J10:J11"/>
    <mergeCell ref="I10:I11"/>
    <mergeCell ref="G10:G11"/>
    <mergeCell ref="L10:L11"/>
    <mergeCell ref="AE10:AE11"/>
    <mergeCell ref="AD10:AD11"/>
    <mergeCell ref="Y10:Y11"/>
    <mergeCell ref="W10:W11"/>
    <mergeCell ref="AC10:AC11"/>
    <mergeCell ref="AB10:AB11"/>
    <mergeCell ref="V10:V11"/>
    <mergeCell ref="B7:B8"/>
    <mergeCell ref="B10:B11"/>
    <mergeCell ref="AA10:AA11"/>
    <mergeCell ref="Z10:Z11"/>
    <mergeCell ref="U10:U11"/>
    <mergeCell ref="X10:X11"/>
    <mergeCell ref="T10:T11"/>
    <mergeCell ref="S10:S11"/>
    <mergeCell ref="R10:R11"/>
    <mergeCell ref="Q10:Q11"/>
    <mergeCell ref="P10:P11"/>
    <mergeCell ref="O10:O11"/>
    <mergeCell ref="N10:N11"/>
    <mergeCell ref="M10:M11"/>
    <mergeCell ref="D10:D11"/>
    <mergeCell ref="K10:K11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E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5"/>
  <cols>
    <col min="1" max="1" width="1.7109375" style="181" customWidth="1"/>
    <col min="2" max="2" width="66.7109375" style="181" customWidth="1"/>
    <col min="3" max="4" width="10.5703125" style="181" bestFit="1" customWidth="1"/>
    <col min="5" max="5" width="11.5703125" style="181" bestFit="1" customWidth="1"/>
    <col min="6" max="9" width="10.5703125" style="181" bestFit="1" customWidth="1"/>
    <col min="10" max="10" width="11.5703125" style="181" bestFit="1" customWidth="1"/>
    <col min="11" max="14" width="10.5703125" style="181" bestFit="1" customWidth="1"/>
    <col min="15" max="15" width="11.5703125" style="409" bestFit="1" customWidth="1"/>
    <col min="16" max="16" width="10.5703125" style="409" bestFit="1" customWidth="1"/>
    <col min="17" max="18" width="11.28515625" style="181" bestFit="1" customWidth="1"/>
    <col min="19" max="19" width="10.7109375" style="196" customWidth="1"/>
    <col min="20" max="20" width="11.5703125" style="196" bestFit="1" customWidth="1"/>
    <col min="21" max="24" width="10.7109375" style="196" customWidth="1"/>
    <col min="25" max="25" width="11.5703125" style="196" bestFit="1" customWidth="1"/>
    <col min="26" max="27" width="10.7109375" style="196" customWidth="1"/>
    <col min="28" max="28" width="10.7109375" style="181" customWidth="1"/>
    <col min="29" max="29" width="10.7109375" style="196" customWidth="1"/>
    <col min="30" max="30" width="11.5703125" style="181" bestFit="1" customWidth="1"/>
    <col min="31" max="31" width="10.7109375" style="196" customWidth="1"/>
    <col min="32" max="34" width="10.7109375" style="181" customWidth="1"/>
    <col min="35" max="35" width="11.85546875" style="181" customWidth="1"/>
    <col min="36" max="37" width="10.5703125" style="181" bestFit="1" customWidth="1"/>
    <col min="38" max="40" width="10.5703125" style="183" bestFit="1" customWidth="1"/>
    <col min="41" max="41" width="10.140625" style="183" customWidth="1"/>
    <col min="42" max="51" width="10.5703125" style="183" bestFit="1" customWidth="1"/>
    <col min="52" max="52" width="9.28515625" style="181" customWidth="1"/>
    <col min="53" max="16384" width="9.140625" style="184"/>
  </cols>
  <sheetData>
    <row r="1" spans="1:57" ht="9" customHeight="1"/>
    <row r="5" spans="1:57" ht="1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426"/>
      <c r="P5" s="426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</row>
    <row r="6" spans="1:57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426"/>
      <c r="P6" s="426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</row>
    <row r="7" spans="1:57" ht="15.75" customHeight="1">
      <c r="B7" s="450" t="s">
        <v>380</v>
      </c>
      <c r="C7" s="443"/>
      <c r="D7" s="440"/>
      <c r="E7" s="438"/>
      <c r="F7" s="438"/>
      <c r="G7" s="189"/>
      <c r="H7" s="189"/>
      <c r="I7" s="189"/>
      <c r="J7" s="189"/>
      <c r="K7" s="189"/>
      <c r="L7" s="189"/>
      <c r="M7" s="189"/>
      <c r="N7" s="189"/>
      <c r="O7" s="411"/>
      <c r="P7" s="411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451"/>
      <c r="AM7" s="451"/>
      <c r="AN7" s="451"/>
      <c r="AO7" s="190"/>
      <c r="AP7" s="451"/>
      <c r="AQ7" s="451"/>
      <c r="AR7" s="451"/>
      <c r="AS7" s="451"/>
      <c r="AT7" s="451"/>
      <c r="AU7" s="451"/>
      <c r="AV7" s="451"/>
      <c r="AW7" s="451"/>
      <c r="AX7" s="451"/>
      <c r="AY7" s="451"/>
    </row>
    <row r="8" spans="1:57" ht="15.75" customHeight="1">
      <c r="B8" s="450"/>
      <c r="C8" s="443"/>
      <c r="D8" s="440"/>
      <c r="E8" s="438"/>
      <c r="F8" s="438"/>
      <c r="G8" s="189"/>
      <c r="H8" s="189"/>
      <c r="I8" s="189"/>
      <c r="J8" s="189"/>
      <c r="K8" s="189"/>
      <c r="L8" s="189"/>
      <c r="M8" s="189"/>
      <c r="N8" s="189"/>
      <c r="O8" s="411"/>
      <c r="P8" s="411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451"/>
      <c r="AM8" s="451"/>
      <c r="AN8" s="451"/>
      <c r="AO8" s="190"/>
      <c r="AP8" s="451"/>
      <c r="AQ8" s="451"/>
      <c r="AR8" s="451"/>
      <c r="AS8" s="451"/>
      <c r="AT8" s="451"/>
      <c r="AU8" s="451"/>
      <c r="AV8" s="451"/>
      <c r="AW8" s="451"/>
      <c r="AX8" s="451"/>
      <c r="AY8" s="451"/>
    </row>
    <row r="9" spans="1:57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426"/>
      <c r="P9" s="426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</row>
    <row r="10" spans="1:57" ht="15.75" customHeight="1">
      <c r="A10" s="191"/>
      <c r="B10" s="452" t="s">
        <v>163</v>
      </c>
      <c r="C10" s="449" t="s">
        <v>447</v>
      </c>
      <c r="D10" s="447" t="s">
        <v>444</v>
      </c>
      <c r="E10" s="448" t="s">
        <v>437</v>
      </c>
      <c r="F10" s="449" t="s">
        <v>436</v>
      </c>
      <c r="G10" s="449" t="s">
        <v>432</v>
      </c>
      <c r="H10" s="449" t="s">
        <v>429</v>
      </c>
      <c r="I10" s="447" t="s">
        <v>420</v>
      </c>
      <c r="J10" s="448" t="s">
        <v>409</v>
      </c>
      <c r="K10" s="449" t="s">
        <v>410</v>
      </c>
      <c r="L10" s="449" t="s">
        <v>404</v>
      </c>
      <c r="M10" s="449" t="s">
        <v>401</v>
      </c>
      <c r="N10" s="447" t="s">
        <v>394</v>
      </c>
      <c r="O10" s="448" t="s">
        <v>390</v>
      </c>
      <c r="P10" s="449" t="s">
        <v>391</v>
      </c>
      <c r="Q10" s="449" t="s">
        <v>385</v>
      </c>
      <c r="R10" s="449" t="s">
        <v>365</v>
      </c>
      <c r="S10" s="447" t="s">
        <v>363</v>
      </c>
      <c r="T10" s="448" t="s">
        <v>358</v>
      </c>
      <c r="U10" s="449" t="s">
        <v>357</v>
      </c>
      <c r="V10" s="449" t="s">
        <v>351</v>
      </c>
      <c r="W10" s="449" t="s">
        <v>347</v>
      </c>
      <c r="X10" s="447" t="s">
        <v>344</v>
      </c>
      <c r="Y10" s="448" t="s">
        <v>342</v>
      </c>
      <c r="Z10" s="449" t="s">
        <v>341</v>
      </c>
      <c r="AA10" s="449" t="s">
        <v>337</v>
      </c>
      <c r="AB10" s="449" t="s">
        <v>331</v>
      </c>
      <c r="AC10" s="449" t="s">
        <v>329</v>
      </c>
      <c r="AD10" s="448" t="s">
        <v>327</v>
      </c>
      <c r="AE10" s="449" t="s">
        <v>328</v>
      </c>
      <c r="AF10" s="449" t="s">
        <v>325</v>
      </c>
      <c r="AG10" s="449" t="s">
        <v>315</v>
      </c>
      <c r="AH10" s="449" t="s">
        <v>311</v>
      </c>
      <c r="AI10" s="448" t="s">
        <v>308</v>
      </c>
      <c r="AJ10" s="449" t="s">
        <v>307</v>
      </c>
      <c r="AK10" s="449" t="s">
        <v>164</v>
      </c>
      <c r="AL10" s="449" t="s">
        <v>166</v>
      </c>
      <c r="AM10" s="449" t="s">
        <v>167</v>
      </c>
      <c r="AN10" s="448" t="s">
        <v>161</v>
      </c>
      <c r="AO10" s="449" t="s">
        <v>168</v>
      </c>
      <c r="AP10" s="449" t="s">
        <v>169</v>
      </c>
      <c r="AQ10" s="449" t="s">
        <v>171</v>
      </c>
      <c r="AR10" s="449" t="s">
        <v>172</v>
      </c>
      <c r="AS10" s="448" t="s">
        <v>148</v>
      </c>
      <c r="AT10" s="449" t="s">
        <v>173</v>
      </c>
      <c r="AU10" s="449" t="s">
        <v>174</v>
      </c>
      <c r="AV10" s="449" t="s">
        <v>176</v>
      </c>
      <c r="AW10" s="449" t="s">
        <v>177</v>
      </c>
      <c r="AX10" s="448" t="s">
        <v>146</v>
      </c>
      <c r="AY10" s="448" t="s">
        <v>145</v>
      </c>
      <c r="AZ10" s="487"/>
      <c r="BA10" s="234"/>
      <c r="BB10" s="234"/>
      <c r="BC10" s="234"/>
      <c r="BD10" s="234"/>
      <c r="BE10" s="234"/>
    </row>
    <row r="11" spans="1:57" ht="15.75" customHeight="1">
      <c r="A11" s="191"/>
      <c r="B11" s="452"/>
      <c r="C11" s="449"/>
      <c r="D11" s="447"/>
      <c r="E11" s="448"/>
      <c r="F11" s="449"/>
      <c r="G11" s="449"/>
      <c r="H11" s="449"/>
      <c r="I11" s="447"/>
      <c r="J11" s="448"/>
      <c r="K11" s="449"/>
      <c r="L11" s="449"/>
      <c r="M11" s="449"/>
      <c r="N11" s="447"/>
      <c r="O11" s="448"/>
      <c r="P11" s="449"/>
      <c r="Q11" s="449"/>
      <c r="R11" s="449"/>
      <c r="S11" s="447"/>
      <c r="T11" s="448"/>
      <c r="U11" s="449"/>
      <c r="V11" s="449"/>
      <c r="W11" s="449"/>
      <c r="X11" s="447"/>
      <c r="Y11" s="448"/>
      <c r="Z11" s="449"/>
      <c r="AA11" s="449"/>
      <c r="AB11" s="449"/>
      <c r="AC11" s="449"/>
      <c r="AD11" s="448"/>
      <c r="AE11" s="449"/>
      <c r="AF11" s="449"/>
      <c r="AG11" s="449"/>
      <c r="AH11" s="449"/>
      <c r="AI11" s="448"/>
      <c r="AJ11" s="449"/>
      <c r="AK11" s="449"/>
      <c r="AL11" s="449"/>
      <c r="AM11" s="449"/>
      <c r="AN11" s="448"/>
      <c r="AO11" s="449"/>
      <c r="AP11" s="449"/>
      <c r="AQ11" s="449"/>
      <c r="AR11" s="449"/>
      <c r="AS11" s="448"/>
      <c r="AT11" s="449"/>
      <c r="AU11" s="449"/>
      <c r="AV11" s="449"/>
      <c r="AW11" s="449"/>
      <c r="AX11" s="448"/>
      <c r="AY11" s="448"/>
      <c r="AZ11" s="487"/>
      <c r="BA11" s="234"/>
      <c r="BB11" s="234"/>
      <c r="BC11" s="234"/>
      <c r="BD11" s="234"/>
      <c r="BE11" s="234"/>
    </row>
    <row r="12" spans="1:57" ht="15.75" customHeight="1">
      <c r="B12" s="192" t="s">
        <v>182</v>
      </c>
      <c r="C12" s="193">
        <v>510988</v>
      </c>
      <c r="D12" s="194">
        <v>491566</v>
      </c>
      <c r="E12" s="195">
        <v>1779132</v>
      </c>
      <c r="F12" s="193">
        <v>511244</v>
      </c>
      <c r="G12" s="193">
        <v>442832</v>
      </c>
      <c r="H12" s="193">
        <v>423898</v>
      </c>
      <c r="I12" s="194">
        <v>401158</v>
      </c>
      <c r="J12" s="195">
        <v>1917711</v>
      </c>
      <c r="K12" s="193">
        <v>419067</v>
      </c>
      <c r="L12" s="193">
        <v>425387</v>
      </c>
      <c r="M12" s="193">
        <v>510434</v>
      </c>
      <c r="N12" s="194">
        <v>562823</v>
      </c>
      <c r="O12" s="195">
        <v>2413363</v>
      </c>
      <c r="P12" s="193">
        <v>606651</v>
      </c>
      <c r="Q12" s="193">
        <v>621640</v>
      </c>
      <c r="R12" s="193">
        <v>601563</v>
      </c>
      <c r="S12" s="194">
        <v>583509</v>
      </c>
      <c r="T12" s="195">
        <v>1585647</v>
      </c>
      <c r="U12" s="193">
        <v>495741</v>
      </c>
      <c r="V12" s="193">
        <v>410999</v>
      </c>
      <c r="W12" s="193">
        <v>377691</v>
      </c>
      <c r="X12" s="194">
        <v>301216</v>
      </c>
      <c r="Y12" s="195">
        <v>1124217</v>
      </c>
      <c r="Z12" s="193">
        <v>289491</v>
      </c>
      <c r="AA12" s="193">
        <v>308969</v>
      </c>
      <c r="AB12" s="193">
        <v>277923</v>
      </c>
      <c r="AC12" s="193">
        <v>247834</v>
      </c>
      <c r="AD12" s="195">
        <v>1043565</v>
      </c>
      <c r="AE12" s="193">
        <v>254643</v>
      </c>
      <c r="AF12" s="193">
        <v>239246</v>
      </c>
      <c r="AG12" s="193">
        <v>269489</v>
      </c>
      <c r="AH12" s="193">
        <v>280187</v>
      </c>
      <c r="AI12" s="195">
        <v>1145542</v>
      </c>
      <c r="AJ12" s="193">
        <v>259189</v>
      </c>
      <c r="AK12" s="193">
        <v>303553</v>
      </c>
      <c r="AL12" s="193">
        <v>286150</v>
      </c>
      <c r="AM12" s="193">
        <v>296650</v>
      </c>
      <c r="AN12" s="195">
        <v>984234</v>
      </c>
      <c r="AO12" s="193">
        <v>259247</v>
      </c>
      <c r="AP12" s="193">
        <v>247525</v>
      </c>
      <c r="AQ12" s="193">
        <v>239244</v>
      </c>
      <c r="AR12" s="193">
        <v>238218</v>
      </c>
      <c r="AS12" s="195">
        <v>889706</v>
      </c>
      <c r="AT12" s="193">
        <v>209021</v>
      </c>
      <c r="AU12" s="193">
        <v>223509</v>
      </c>
      <c r="AV12" s="193">
        <v>220425</v>
      </c>
      <c r="AW12" s="193">
        <v>236751</v>
      </c>
      <c r="AX12" s="195">
        <v>858976</v>
      </c>
      <c r="AY12" s="195">
        <v>776483</v>
      </c>
      <c r="AZ12" s="203"/>
    </row>
    <row r="13" spans="1:57" ht="15.75" customHeight="1">
      <c r="B13" s="192" t="s">
        <v>183</v>
      </c>
      <c r="C13" s="193">
        <v>-227964</v>
      </c>
      <c r="D13" s="194">
        <v>-224195</v>
      </c>
      <c r="E13" s="195">
        <v>-839774</v>
      </c>
      <c r="F13" s="193">
        <v>-230185</v>
      </c>
      <c r="G13" s="193">
        <v>-203008</v>
      </c>
      <c r="H13" s="193">
        <v>-204671</v>
      </c>
      <c r="I13" s="194">
        <v>-201910</v>
      </c>
      <c r="J13" s="195">
        <v>-832740</v>
      </c>
      <c r="K13" s="193">
        <v>-226687</v>
      </c>
      <c r="L13" s="193">
        <v>-197273</v>
      </c>
      <c r="M13" s="193">
        <v>-206045</v>
      </c>
      <c r="N13" s="194">
        <v>-202735</v>
      </c>
      <c r="O13" s="195">
        <v>-887242</v>
      </c>
      <c r="P13" s="193">
        <v>-215918</v>
      </c>
      <c r="Q13" s="193">
        <v>-229786</v>
      </c>
      <c r="R13" s="193">
        <v>-219043</v>
      </c>
      <c r="S13" s="194">
        <v>-222495</v>
      </c>
      <c r="T13" s="195">
        <v>-784719</v>
      </c>
      <c r="U13" s="193">
        <v>-230068</v>
      </c>
      <c r="V13" s="193">
        <v>-207688</v>
      </c>
      <c r="W13" s="193">
        <v>-184064</v>
      </c>
      <c r="X13" s="194">
        <v>-162899</v>
      </c>
      <c r="Y13" s="195">
        <v>-630311</v>
      </c>
      <c r="Z13" s="193">
        <v>-167339</v>
      </c>
      <c r="AA13" s="193">
        <v>-163060</v>
      </c>
      <c r="AB13" s="193">
        <v>-145465</v>
      </c>
      <c r="AC13" s="193">
        <v>-154447</v>
      </c>
      <c r="AD13" s="195">
        <v>-596203</v>
      </c>
      <c r="AE13" s="193">
        <v>-163769</v>
      </c>
      <c r="AF13" s="193">
        <v>-139492</v>
      </c>
      <c r="AG13" s="193">
        <v>-140778</v>
      </c>
      <c r="AH13" s="193">
        <v>-152164</v>
      </c>
      <c r="AI13" s="195">
        <v>-485112</v>
      </c>
      <c r="AJ13" s="193">
        <v>-107743</v>
      </c>
      <c r="AK13" s="193">
        <v>-123377</v>
      </c>
      <c r="AL13" s="193">
        <v>-126550</v>
      </c>
      <c r="AM13" s="193">
        <v>-127442</v>
      </c>
      <c r="AN13" s="195">
        <v>-486371</v>
      </c>
      <c r="AO13" s="193">
        <v>-115516</v>
      </c>
      <c r="AP13" s="193">
        <v>-124297</v>
      </c>
      <c r="AQ13" s="193">
        <v>-124501</v>
      </c>
      <c r="AR13" s="193">
        <v>-122057</v>
      </c>
      <c r="AS13" s="195">
        <v>-502216</v>
      </c>
      <c r="AT13" s="193">
        <v>-113800</v>
      </c>
      <c r="AU13" s="193">
        <v>-126092</v>
      </c>
      <c r="AV13" s="193">
        <v>-126842</v>
      </c>
      <c r="AW13" s="193">
        <v>-135482</v>
      </c>
      <c r="AX13" s="195">
        <v>-478026</v>
      </c>
      <c r="AY13" s="195">
        <v>-425820</v>
      </c>
      <c r="AZ13" s="203"/>
    </row>
    <row r="14" spans="1:57" ht="15.75" customHeight="1" thickBot="1">
      <c r="A14" s="196"/>
      <c r="B14" s="197" t="s">
        <v>184</v>
      </c>
      <c r="C14" s="198">
        <f t="shared" ref="C14" si="0">SUM(C12:C13)</f>
        <v>283024</v>
      </c>
      <c r="D14" s="199">
        <f t="shared" ref="D14" si="1">SUM(D12:D13)</f>
        <v>267371</v>
      </c>
      <c r="E14" s="200">
        <f t="shared" ref="E14:F14" si="2">SUM(E12:E13)</f>
        <v>939358</v>
      </c>
      <c r="F14" s="198">
        <f t="shared" si="2"/>
        <v>281059</v>
      </c>
      <c r="G14" s="198">
        <f t="shared" ref="G14" si="3">SUM(G12:G13)</f>
        <v>239824</v>
      </c>
      <c r="H14" s="198">
        <f t="shared" ref="H14" si="4">SUM(H12:H13)</f>
        <v>219227</v>
      </c>
      <c r="I14" s="199">
        <f t="shared" ref="I14" si="5">SUM(I12:I13)</f>
        <v>199248</v>
      </c>
      <c r="J14" s="200">
        <f t="shared" ref="J14:K14" si="6">SUM(J12:J13)</f>
        <v>1084971</v>
      </c>
      <c r="K14" s="198">
        <f t="shared" si="6"/>
        <v>192380</v>
      </c>
      <c r="L14" s="198">
        <f t="shared" ref="L14" si="7">SUM(L12:L13)</f>
        <v>228114</v>
      </c>
      <c r="M14" s="198">
        <f t="shared" ref="M14" si="8">SUM(M12:M13)</f>
        <v>304389</v>
      </c>
      <c r="N14" s="199">
        <f t="shared" ref="N14" si="9">SUM(N12:N13)</f>
        <v>360088</v>
      </c>
      <c r="O14" s="200">
        <f t="shared" ref="O14:P14" si="10">SUM(O12:O13)</f>
        <v>1526121</v>
      </c>
      <c r="P14" s="198">
        <f t="shared" si="10"/>
        <v>390733</v>
      </c>
      <c r="Q14" s="198">
        <f t="shared" ref="Q14" si="11">SUM(Q12:Q13)</f>
        <v>391854</v>
      </c>
      <c r="R14" s="198">
        <f t="shared" ref="R14" si="12">SUM(R12:R13)</f>
        <v>382520</v>
      </c>
      <c r="S14" s="199">
        <f t="shared" ref="S14" si="13">SUM(S12:S13)</f>
        <v>361014</v>
      </c>
      <c r="T14" s="200">
        <v>800928</v>
      </c>
      <c r="U14" s="198">
        <v>265673</v>
      </c>
      <c r="V14" s="198">
        <f t="shared" ref="V14:W14" si="14">SUM(V12:V13)</f>
        <v>203311</v>
      </c>
      <c r="W14" s="198">
        <f t="shared" si="14"/>
        <v>193627</v>
      </c>
      <c r="X14" s="199">
        <f t="shared" ref="X14" si="15">SUM(X12:X13)</f>
        <v>138317</v>
      </c>
      <c r="Y14" s="200">
        <f t="shared" ref="Y14:Z14" si="16">SUM(Y12:Y13)</f>
        <v>493906</v>
      </c>
      <c r="Z14" s="198">
        <f t="shared" si="16"/>
        <v>122152</v>
      </c>
      <c r="AA14" s="198">
        <f t="shared" ref="AA14" si="17">SUM(AA12:AA13)</f>
        <v>145909</v>
      </c>
      <c r="AB14" s="198">
        <f>SUM(AB12:AB13)</f>
        <v>132458</v>
      </c>
      <c r="AC14" s="198">
        <f>SUM(AC12:AC13)</f>
        <v>93387</v>
      </c>
      <c r="AD14" s="200">
        <f t="shared" ref="AD14:AE14" si="18">SUM(AD12:AD13)</f>
        <v>447362</v>
      </c>
      <c r="AE14" s="198">
        <f t="shared" si="18"/>
        <v>90874</v>
      </c>
      <c r="AF14" s="198">
        <f t="shared" ref="AF14:AL14" si="19">SUM(AF12:AF13)</f>
        <v>99754</v>
      </c>
      <c r="AG14" s="198">
        <f t="shared" si="19"/>
        <v>128711</v>
      </c>
      <c r="AH14" s="198">
        <f t="shared" si="19"/>
        <v>128023</v>
      </c>
      <c r="AI14" s="200">
        <f t="shared" si="19"/>
        <v>660430</v>
      </c>
      <c r="AJ14" s="198">
        <f t="shared" si="19"/>
        <v>151446</v>
      </c>
      <c r="AK14" s="198">
        <f t="shared" si="19"/>
        <v>180176</v>
      </c>
      <c r="AL14" s="198">
        <f t="shared" si="19"/>
        <v>159600</v>
      </c>
      <c r="AM14" s="198">
        <v>169208</v>
      </c>
      <c r="AN14" s="200">
        <v>497863</v>
      </c>
      <c r="AO14" s="198">
        <v>143731</v>
      </c>
      <c r="AP14" s="198">
        <v>123228</v>
      </c>
      <c r="AQ14" s="198">
        <v>114743</v>
      </c>
      <c r="AR14" s="198">
        <v>116161</v>
      </c>
      <c r="AS14" s="200">
        <v>387490</v>
      </c>
      <c r="AT14" s="198">
        <v>95221</v>
      </c>
      <c r="AU14" s="198">
        <v>97417</v>
      </c>
      <c r="AV14" s="198">
        <v>93583</v>
      </c>
      <c r="AW14" s="198">
        <v>101269</v>
      </c>
      <c r="AX14" s="200">
        <v>380950</v>
      </c>
      <c r="AY14" s="200">
        <v>350663</v>
      </c>
      <c r="AZ14" s="368"/>
    </row>
    <row r="15" spans="1:57" ht="15.75" customHeight="1" thickTop="1">
      <c r="B15" s="201" t="s">
        <v>185</v>
      </c>
      <c r="C15" s="193">
        <v>-21038</v>
      </c>
      <c r="D15" s="194">
        <v>-22301</v>
      </c>
      <c r="E15" s="195">
        <v>-92442</v>
      </c>
      <c r="F15" s="193">
        <v>-24376</v>
      </c>
      <c r="G15" s="193">
        <v>-21886</v>
      </c>
      <c r="H15" s="193">
        <v>-22722</v>
      </c>
      <c r="I15" s="194">
        <v>-23456</v>
      </c>
      <c r="J15" s="195">
        <v>-105455</v>
      </c>
      <c r="K15" s="193">
        <v>-26486</v>
      </c>
      <c r="L15" s="193">
        <v>-24193</v>
      </c>
      <c r="M15" s="193">
        <v>-30255</v>
      </c>
      <c r="N15" s="194">
        <v>-24521</v>
      </c>
      <c r="O15" s="195">
        <v>-95671</v>
      </c>
      <c r="P15" s="193">
        <v>-24272</v>
      </c>
      <c r="Q15" s="193">
        <v>-25839</v>
      </c>
      <c r="R15" s="193">
        <v>-22814</v>
      </c>
      <c r="S15" s="194">
        <v>-22746</v>
      </c>
      <c r="T15" s="195">
        <v>-67020</v>
      </c>
      <c r="U15" s="193">
        <v>-18836</v>
      </c>
      <c r="V15" s="193">
        <v>-15220</v>
      </c>
      <c r="W15" s="193">
        <v>-18659</v>
      </c>
      <c r="X15" s="194">
        <v>-14305</v>
      </c>
      <c r="Y15" s="195">
        <v>-51689</v>
      </c>
      <c r="Z15" s="193">
        <v>-10956</v>
      </c>
      <c r="AA15" s="193">
        <v>-13126</v>
      </c>
      <c r="AB15" s="193">
        <v>-13591</v>
      </c>
      <c r="AC15" s="193">
        <v>-14016</v>
      </c>
      <c r="AD15" s="195">
        <v>-55740</v>
      </c>
      <c r="AE15" s="193">
        <v>-14786</v>
      </c>
      <c r="AF15" s="193">
        <v>-12123</v>
      </c>
      <c r="AG15" s="193">
        <v>-14535</v>
      </c>
      <c r="AH15" s="193">
        <v>-14295</v>
      </c>
      <c r="AI15" s="195">
        <v>-48340</v>
      </c>
      <c r="AJ15" s="193">
        <v>-12749</v>
      </c>
      <c r="AK15" s="193">
        <v>-11985</v>
      </c>
      <c r="AL15" s="193">
        <v>-10933</v>
      </c>
      <c r="AM15" s="193">
        <v>-12673</v>
      </c>
      <c r="AN15" s="195">
        <v>-58361</v>
      </c>
      <c r="AO15" s="193">
        <v>-14005.6</v>
      </c>
      <c r="AP15" s="193">
        <v>-14859</v>
      </c>
      <c r="AQ15" s="193">
        <v>-14353.3</v>
      </c>
      <c r="AR15" s="193">
        <v>-15143.4</v>
      </c>
      <c r="AS15" s="195">
        <v>-58995</v>
      </c>
      <c r="AT15" s="193">
        <v>-13739</v>
      </c>
      <c r="AU15" s="193">
        <v>-15238</v>
      </c>
      <c r="AV15" s="193">
        <v>-13824</v>
      </c>
      <c r="AW15" s="193">
        <v>-16194</v>
      </c>
      <c r="AX15" s="195">
        <v>-73409</v>
      </c>
      <c r="AY15" s="195">
        <v>-83791</v>
      </c>
      <c r="AZ15" s="203"/>
    </row>
    <row r="16" spans="1:57" ht="15.75" customHeight="1">
      <c r="B16" s="201" t="s">
        <v>186</v>
      </c>
      <c r="C16" s="193">
        <v>-47011</v>
      </c>
      <c r="D16" s="194">
        <v>-43624</v>
      </c>
      <c r="E16" s="195">
        <v>-264979</v>
      </c>
      <c r="F16" s="193">
        <v>-79693</v>
      </c>
      <c r="G16" s="193">
        <v>-63960</v>
      </c>
      <c r="H16" s="193">
        <v>-63309</v>
      </c>
      <c r="I16" s="194">
        <v>-58017</v>
      </c>
      <c r="J16" s="195">
        <v>-248632</v>
      </c>
      <c r="K16" s="193">
        <v>-76170</v>
      </c>
      <c r="L16" s="193">
        <v>-61685</v>
      </c>
      <c r="M16" s="193">
        <v>-56443</v>
      </c>
      <c r="N16" s="194">
        <v>-54334</v>
      </c>
      <c r="O16" s="195">
        <v>-262873</v>
      </c>
      <c r="P16" s="193">
        <v>-81347</v>
      </c>
      <c r="Q16" s="193">
        <v>-92658</v>
      </c>
      <c r="R16" s="193">
        <v>-46401</v>
      </c>
      <c r="S16" s="194">
        <v>-42467</v>
      </c>
      <c r="T16" s="195">
        <v>-179253</v>
      </c>
      <c r="U16" s="193">
        <v>-64882</v>
      </c>
      <c r="V16" s="193">
        <v>-40857</v>
      </c>
      <c r="W16" s="193">
        <v>-39347</v>
      </c>
      <c r="X16" s="194">
        <v>-34167</v>
      </c>
      <c r="Y16" s="195">
        <v>-208511</v>
      </c>
      <c r="Z16" s="193">
        <v>-55521</v>
      </c>
      <c r="AA16" s="193">
        <v>-42717</v>
      </c>
      <c r="AB16" s="193">
        <v>-38216</v>
      </c>
      <c r="AC16" s="193">
        <v>-72057</v>
      </c>
      <c r="AD16" s="195">
        <v>-150739</v>
      </c>
      <c r="AE16" s="193">
        <v>-47608</v>
      </c>
      <c r="AF16" s="193">
        <v>-34117</v>
      </c>
      <c r="AG16" s="193">
        <v>-36534</v>
      </c>
      <c r="AH16" s="193">
        <v>-32481</v>
      </c>
      <c r="AI16" s="195">
        <v>-146201</v>
      </c>
      <c r="AJ16" s="193">
        <v>-48857</v>
      </c>
      <c r="AK16" s="193">
        <v>-47115</v>
      </c>
      <c r="AL16" s="193">
        <v>-25586</v>
      </c>
      <c r="AM16" s="193">
        <v>-24643</v>
      </c>
      <c r="AN16" s="195">
        <v>-118204</v>
      </c>
      <c r="AO16" s="193">
        <v>-35075</v>
      </c>
      <c r="AP16" s="193">
        <v>-27090</v>
      </c>
      <c r="AQ16" s="193">
        <v>-26981</v>
      </c>
      <c r="AR16" s="193">
        <v>-29058</v>
      </c>
      <c r="AS16" s="195">
        <v>-99173</v>
      </c>
      <c r="AT16" s="193">
        <v>-27988</v>
      </c>
      <c r="AU16" s="193">
        <v>-25804</v>
      </c>
      <c r="AV16" s="193">
        <v>-23742</v>
      </c>
      <c r="AW16" s="193">
        <v>-21639</v>
      </c>
      <c r="AX16" s="195">
        <v>-91837</v>
      </c>
      <c r="AY16" s="195">
        <v>-112153</v>
      </c>
      <c r="AZ16" s="203"/>
    </row>
    <row r="17" spans="1:52" ht="15.75" customHeight="1">
      <c r="B17" s="201" t="s">
        <v>187</v>
      </c>
      <c r="C17" s="193">
        <v>101761</v>
      </c>
      <c r="D17" s="194">
        <v>-6472</v>
      </c>
      <c r="E17" s="195">
        <v>44551</v>
      </c>
      <c r="F17" s="193">
        <v>111690</v>
      </c>
      <c r="G17" s="193">
        <v>-24629</v>
      </c>
      <c r="H17" s="193">
        <v>-37553</v>
      </c>
      <c r="I17" s="194">
        <v>-4957</v>
      </c>
      <c r="J17" s="195">
        <v>-39512</v>
      </c>
      <c r="K17" s="193">
        <v>-10506</v>
      </c>
      <c r="L17" s="193">
        <v>-15104</v>
      </c>
      <c r="M17" s="193">
        <v>-8937</v>
      </c>
      <c r="N17" s="194">
        <v>-4965</v>
      </c>
      <c r="O17" s="195">
        <v>-57725</v>
      </c>
      <c r="P17" s="193">
        <v>-56296</v>
      </c>
      <c r="Q17" s="193">
        <v>6929</v>
      </c>
      <c r="R17" s="193">
        <v>-7301</v>
      </c>
      <c r="S17" s="194">
        <v>-1057</v>
      </c>
      <c r="T17" s="195">
        <v>76408</v>
      </c>
      <c r="U17" s="193">
        <v>-20123</v>
      </c>
      <c r="V17" s="193">
        <v>68030</v>
      </c>
      <c r="W17" s="193">
        <v>32256</v>
      </c>
      <c r="X17" s="194">
        <v>-3755</v>
      </c>
      <c r="Y17" s="195">
        <v>-2686</v>
      </c>
      <c r="Z17" s="193">
        <v>-372</v>
      </c>
      <c r="AA17" s="193">
        <v>2277</v>
      </c>
      <c r="AB17" s="193">
        <v>-1903</v>
      </c>
      <c r="AC17" s="193">
        <v>-2688</v>
      </c>
      <c r="AD17" s="195">
        <v>43322</v>
      </c>
      <c r="AE17" s="193">
        <v>27327</v>
      </c>
      <c r="AF17" s="193">
        <v>15672</v>
      </c>
      <c r="AG17" s="193">
        <v>801</v>
      </c>
      <c r="AH17" s="193">
        <v>-478</v>
      </c>
      <c r="AI17" s="195">
        <v>15541</v>
      </c>
      <c r="AJ17" s="193">
        <v>-5711</v>
      </c>
      <c r="AK17" s="193">
        <v>22181</v>
      </c>
      <c r="AL17" s="193">
        <f>38-136</f>
        <v>-98</v>
      </c>
      <c r="AM17" s="193">
        <v>-831</v>
      </c>
      <c r="AN17" s="195">
        <v>10956</v>
      </c>
      <c r="AO17" s="193">
        <v>-9345.7000000000007</v>
      </c>
      <c r="AP17" s="193">
        <v>97</v>
      </c>
      <c r="AQ17" s="193">
        <v>461</v>
      </c>
      <c r="AR17" s="193">
        <v>19744</v>
      </c>
      <c r="AS17" s="195">
        <v>-101535</v>
      </c>
      <c r="AT17" s="193">
        <v>-89395</v>
      </c>
      <c r="AU17" s="193">
        <v>-2399</v>
      </c>
      <c r="AV17" s="193">
        <v>-1827</v>
      </c>
      <c r="AW17" s="193">
        <v>-7914</v>
      </c>
      <c r="AX17" s="195">
        <v>-39771</v>
      </c>
      <c r="AY17" s="195">
        <v>-15224</v>
      </c>
      <c r="AZ17" s="203"/>
    </row>
    <row r="18" spans="1:52" ht="15.75" customHeight="1">
      <c r="B18" s="201" t="s">
        <v>188</v>
      </c>
      <c r="C18" s="203">
        <v>0</v>
      </c>
      <c r="D18" s="204">
        <v>0</v>
      </c>
      <c r="E18" s="205">
        <v>0</v>
      </c>
      <c r="F18" s="203">
        <v>0</v>
      </c>
      <c r="G18" s="203">
        <v>0</v>
      </c>
      <c r="H18" s="203">
        <v>0</v>
      </c>
      <c r="I18" s="204">
        <v>0</v>
      </c>
      <c r="J18" s="205">
        <v>0</v>
      </c>
      <c r="K18" s="203">
        <v>0</v>
      </c>
      <c r="L18" s="203">
        <v>0</v>
      </c>
      <c r="M18" s="203">
        <v>0</v>
      </c>
      <c r="N18" s="204">
        <v>0</v>
      </c>
      <c r="O18" s="205">
        <v>0</v>
      </c>
      <c r="P18" s="203">
        <v>0</v>
      </c>
      <c r="Q18" s="203">
        <v>0</v>
      </c>
      <c r="R18" s="203">
        <v>0</v>
      </c>
      <c r="S18" s="204">
        <v>0</v>
      </c>
      <c r="T18" s="205">
        <v>0</v>
      </c>
      <c r="U18" s="203">
        <v>0</v>
      </c>
      <c r="V18" s="203">
        <v>0</v>
      </c>
      <c r="W18" s="203">
        <v>0</v>
      </c>
      <c r="X18" s="204">
        <v>0</v>
      </c>
      <c r="Y18" s="205">
        <v>0</v>
      </c>
      <c r="Z18" s="203" t="s">
        <v>112</v>
      </c>
      <c r="AA18" s="203" t="s">
        <v>112</v>
      </c>
      <c r="AB18" s="203" t="s">
        <v>112</v>
      </c>
      <c r="AC18" s="203" t="s">
        <v>112</v>
      </c>
      <c r="AD18" s="205">
        <v>0</v>
      </c>
      <c r="AE18" s="193"/>
      <c r="AF18" s="193"/>
      <c r="AG18" s="193">
        <v>0</v>
      </c>
      <c r="AH18" s="193">
        <v>0</v>
      </c>
      <c r="AI18" s="205">
        <v>0</v>
      </c>
      <c r="AJ18" s="193">
        <v>0</v>
      </c>
      <c r="AK18" s="193">
        <v>0</v>
      </c>
      <c r="AL18" s="193">
        <v>0</v>
      </c>
      <c r="AM18" s="193">
        <v>0</v>
      </c>
      <c r="AN18" s="205">
        <v>0</v>
      </c>
      <c r="AO18" s="193">
        <v>0</v>
      </c>
      <c r="AP18" s="193">
        <v>0</v>
      </c>
      <c r="AQ18" s="193">
        <v>0</v>
      </c>
      <c r="AR18" s="193">
        <v>0</v>
      </c>
      <c r="AS18" s="205">
        <v>516010</v>
      </c>
      <c r="AT18" s="193">
        <v>516010</v>
      </c>
      <c r="AU18" s="193">
        <v>0</v>
      </c>
      <c r="AV18" s="193">
        <v>0</v>
      </c>
      <c r="AW18" s="193">
        <v>0</v>
      </c>
      <c r="AX18" s="205">
        <v>0</v>
      </c>
      <c r="AY18" s="205">
        <v>0</v>
      </c>
      <c r="AZ18" s="203"/>
    </row>
    <row r="19" spans="1:52" ht="15.75" customHeight="1">
      <c r="B19" s="201" t="s">
        <v>189</v>
      </c>
      <c r="C19" s="203">
        <v>0</v>
      </c>
      <c r="D19" s="204">
        <v>0</v>
      </c>
      <c r="E19" s="205">
        <v>0</v>
      </c>
      <c r="F19" s="203">
        <v>0</v>
      </c>
      <c r="G19" s="203">
        <v>0</v>
      </c>
      <c r="H19" s="203">
        <v>0</v>
      </c>
      <c r="I19" s="204">
        <v>0</v>
      </c>
      <c r="J19" s="205">
        <v>0</v>
      </c>
      <c r="K19" s="203">
        <v>0</v>
      </c>
      <c r="L19" s="203">
        <v>0</v>
      </c>
      <c r="M19" s="203">
        <v>0</v>
      </c>
      <c r="N19" s="204">
        <v>0</v>
      </c>
      <c r="O19" s="205">
        <v>0</v>
      </c>
      <c r="P19" s="203">
        <v>0</v>
      </c>
      <c r="Q19" s="203">
        <v>0</v>
      </c>
      <c r="R19" s="203">
        <v>0</v>
      </c>
      <c r="S19" s="204">
        <v>0</v>
      </c>
      <c r="T19" s="205">
        <v>0</v>
      </c>
      <c r="U19" s="203">
        <v>0</v>
      </c>
      <c r="V19" s="203">
        <v>0</v>
      </c>
      <c r="W19" s="203">
        <v>0</v>
      </c>
      <c r="X19" s="204">
        <v>0</v>
      </c>
      <c r="Y19" s="205">
        <v>0</v>
      </c>
      <c r="Z19" s="203" t="s">
        <v>112</v>
      </c>
      <c r="AA19" s="203" t="s">
        <v>112</v>
      </c>
      <c r="AB19" s="203" t="s">
        <v>112</v>
      </c>
      <c r="AC19" s="203" t="s">
        <v>112</v>
      </c>
      <c r="AD19" s="205">
        <v>0</v>
      </c>
      <c r="AE19" s="193"/>
      <c r="AF19" s="193"/>
      <c r="AG19" s="193">
        <v>0</v>
      </c>
      <c r="AH19" s="193">
        <v>0</v>
      </c>
      <c r="AI19" s="205">
        <v>0</v>
      </c>
      <c r="AJ19" s="193">
        <v>0</v>
      </c>
      <c r="AK19" s="193">
        <v>0</v>
      </c>
      <c r="AL19" s="193">
        <v>0</v>
      </c>
      <c r="AM19" s="193">
        <v>0</v>
      </c>
      <c r="AN19" s="205">
        <v>-27033</v>
      </c>
      <c r="AO19" s="193">
        <v>-27033</v>
      </c>
      <c r="AP19" s="193">
        <v>0</v>
      </c>
      <c r="AQ19" s="193">
        <v>0</v>
      </c>
      <c r="AR19" s="193">
        <v>0</v>
      </c>
      <c r="AS19" s="205">
        <v>0</v>
      </c>
      <c r="AT19" s="193">
        <v>0</v>
      </c>
      <c r="AU19" s="193">
        <v>0</v>
      </c>
      <c r="AV19" s="193">
        <v>0</v>
      </c>
      <c r="AW19" s="193">
        <v>0</v>
      </c>
      <c r="AX19" s="205">
        <v>0</v>
      </c>
      <c r="AY19" s="205">
        <v>0</v>
      </c>
      <c r="AZ19" s="203"/>
    </row>
    <row r="20" spans="1:52" ht="15.75" customHeight="1">
      <c r="B20" s="201" t="s">
        <v>190</v>
      </c>
      <c r="C20" s="203">
        <v>0</v>
      </c>
      <c r="D20" s="204">
        <v>0</v>
      </c>
      <c r="E20" s="205">
        <v>0</v>
      </c>
      <c r="F20" s="203">
        <v>0</v>
      </c>
      <c r="G20" s="203">
        <v>0</v>
      </c>
      <c r="H20" s="203">
        <v>0</v>
      </c>
      <c r="I20" s="204">
        <v>0</v>
      </c>
      <c r="J20" s="205">
        <v>0</v>
      </c>
      <c r="K20" s="203">
        <v>0</v>
      </c>
      <c r="L20" s="203">
        <v>0</v>
      </c>
      <c r="M20" s="203">
        <v>0</v>
      </c>
      <c r="N20" s="204">
        <v>0</v>
      </c>
      <c r="O20" s="205">
        <v>0</v>
      </c>
      <c r="P20" s="203">
        <v>0</v>
      </c>
      <c r="Q20" s="203">
        <v>0</v>
      </c>
      <c r="R20" s="203">
        <v>0</v>
      </c>
      <c r="S20" s="204">
        <v>0</v>
      </c>
      <c r="T20" s="205">
        <v>447971</v>
      </c>
      <c r="U20" s="203">
        <v>447971</v>
      </c>
      <c r="V20" s="203">
        <v>0</v>
      </c>
      <c r="W20" s="203">
        <v>0</v>
      </c>
      <c r="X20" s="204">
        <v>0</v>
      </c>
      <c r="Y20" s="205">
        <v>0</v>
      </c>
      <c r="Z20" s="203" t="s">
        <v>112</v>
      </c>
      <c r="AA20" s="203" t="s">
        <v>112</v>
      </c>
      <c r="AB20" s="203" t="s">
        <v>112</v>
      </c>
      <c r="AC20" s="203" t="s">
        <v>112</v>
      </c>
      <c r="AD20" s="205">
        <v>0</v>
      </c>
      <c r="AE20" s="193"/>
      <c r="AF20" s="193"/>
      <c r="AG20" s="193">
        <v>0</v>
      </c>
      <c r="AH20" s="193">
        <v>0</v>
      </c>
      <c r="AI20" s="205">
        <v>48935</v>
      </c>
      <c r="AJ20" s="193">
        <v>0</v>
      </c>
      <c r="AK20" s="193">
        <v>0</v>
      </c>
      <c r="AL20" s="193">
        <v>0</v>
      </c>
      <c r="AM20" s="193">
        <v>48935</v>
      </c>
      <c r="AN20" s="205">
        <v>0</v>
      </c>
      <c r="AO20" s="193">
        <v>0</v>
      </c>
      <c r="AP20" s="193">
        <v>0</v>
      </c>
      <c r="AQ20" s="193">
        <v>0</v>
      </c>
      <c r="AR20" s="193">
        <v>0</v>
      </c>
      <c r="AS20" s="205">
        <v>0</v>
      </c>
      <c r="AT20" s="193">
        <v>0</v>
      </c>
      <c r="AU20" s="193">
        <v>0</v>
      </c>
      <c r="AV20" s="193">
        <v>0</v>
      </c>
      <c r="AW20" s="193">
        <v>0</v>
      </c>
      <c r="AX20" s="205">
        <v>0</v>
      </c>
      <c r="AY20" s="205">
        <v>0</v>
      </c>
      <c r="AZ20" s="203"/>
    </row>
    <row r="21" spans="1:52" ht="15.75" customHeight="1">
      <c r="B21" s="202" t="s">
        <v>191</v>
      </c>
      <c r="C21" s="193">
        <v>38299</v>
      </c>
      <c r="D21" s="194">
        <v>91264</v>
      </c>
      <c r="E21" s="195">
        <v>247624</v>
      </c>
      <c r="F21" s="193">
        <v>121201</v>
      </c>
      <c r="G21" s="193">
        <v>84681</v>
      </c>
      <c r="H21" s="193">
        <v>55488</v>
      </c>
      <c r="I21" s="194">
        <v>-13746</v>
      </c>
      <c r="J21" s="195">
        <v>412017</v>
      </c>
      <c r="K21" s="193">
        <v>126752</v>
      </c>
      <c r="L21" s="193">
        <v>107962</v>
      </c>
      <c r="M21" s="193">
        <v>78626</v>
      </c>
      <c r="N21" s="194">
        <v>98677</v>
      </c>
      <c r="O21" s="195">
        <v>673715</v>
      </c>
      <c r="P21" s="193">
        <v>25475</v>
      </c>
      <c r="Q21" s="193">
        <v>17587</v>
      </c>
      <c r="R21" s="193">
        <v>332953</v>
      </c>
      <c r="S21" s="194">
        <v>297700</v>
      </c>
      <c r="T21" s="195">
        <v>1264909</v>
      </c>
      <c r="U21" s="193">
        <v>294397</v>
      </c>
      <c r="V21" s="193">
        <v>630254</v>
      </c>
      <c r="W21" s="193">
        <v>126925</v>
      </c>
      <c r="X21" s="194">
        <v>213333</v>
      </c>
      <c r="Y21" s="195">
        <v>193647</v>
      </c>
      <c r="Z21" s="193">
        <v>259720</v>
      </c>
      <c r="AA21" s="193">
        <v>96546</v>
      </c>
      <c r="AB21" s="193">
        <v>-35652</v>
      </c>
      <c r="AC21" s="193">
        <v>-126967</v>
      </c>
      <c r="AD21" s="195">
        <v>-32619</v>
      </c>
      <c r="AE21" s="193">
        <v>82848</v>
      </c>
      <c r="AF21" s="193">
        <v>-61251</v>
      </c>
      <c r="AG21" s="193">
        <v>-63535</v>
      </c>
      <c r="AH21" s="193">
        <v>9319</v>
      </c>
      <c r="AI21" s="195">
        <v>183520</v>
      </c>
      <c r="AJ21" s="193">
        <v>85599</v>
      </c>
      <c r="AK21" s="193">
        <v>47867</v>
      </c>
      <c r="AL21" s="193">
        <v>2139</v>
      </c>
      <c r="AM21" s="193">
        <v>47915</v>
      </c>
      <c r="AN21" s="195">
        <v>45110.9</v>
      </c>
      <c r="AO21" s="193">
        <v>18833.7</v>
      </c>
      <c r="AP21" s="193">
        <v>64028.5</v>
      </c>
      <c r="AQ21" s="193">
        <v>-20138.400000000001</v>
      </c>
      <c r="AR21" s="193">
        <v>-17612.900000000001</v>
      </c>
      <c r="AS21" s="195">
        <v>-75431</v>
      </c>
      <c r="AT21" s="193">
        <v>-67871</v>
      </c>
      <c r="AU21" s="193">
        <v>-6734</v>
      </c>
      <c r="AV21" s="193">
        <v>-7850</v>
      </c>
      <c r="AW21" s="193">
        <v>7024</v>
      </c>
      <c r="AX21" s="195">
        <v>-18201</v>
      </c>
      <c r="AY21" s="195">
        <v>-3205</v>
      </c>
      <c r="AZ21" s="203"/>
    </row>
    <row r="22" spans="1:52" ht="15.75" customHeight="1" thickBot="1">
      <c r="A22" s="196"/>
      <c r="B22" s="197" t="s">
        <v>192</v>
      </c>
      <c r="C22" s="198">
        <f t="shared" ref="C22" si="20">SUM(C14:C21)</f>
        <v>355035</v>
      </c>
      <c r="D22" s="199">
        <f t="shared" ref="D22" si="21">SUM(D14:D21)</f>
        <v>286238</v>
      </c>
      <c r="E22" s="200">
        <f t="shared" ref="E22:F22" si="22">SUM(E14:E21)</f>
        <v>874112</v>
      </c>
      <c r="F22" s="198">
        <f t="shared" si="22"/>
        <v>409881</v>
      </c>
      <c r="G22" s="198">
        <f t="shared" ref="G22" si="23">SUM(G14:G21)</f>
        <v>214030</v>
      </c>
      <c r="H22" s="198">
        <f t="shared" ref="H22" si="24">SUM(H14:H21)</f>
        <v>151131</v>
      </c>
      <c r="I22" s="199">
        <f t="shared" ref="I22" si="25">SUM(I14:I21)</f>
        <v>99072</v>
      </c>
      <c r="J22" s="200">
        <f t="shared" ref="J22:K22" si="26">SUM(J14:J21)</f>
        <v>1103389</v>
      </c>
      <c r="K22" s="198">
        <f t="shared" si="26"/>
        <v>205970</v>
      </c>
      <c r="L22" s="198">
        <f t="shared" ref="L22" si="27">SUM(L14:L21)</f>
        <v>235094</v>
      </c>
      <c r="M22" s="198">
        <f t="shared" ref="M22" si="28">SUM(M14:M21)</f>
        <v>287380</v>
      </c>
      <c r="N22" s="199">
        <f t="shared" ref="N22" si="29">SUM(N14:N21)</f>
        <v>374945</v>
      </c>
      <c r="O22" s="200">
        <f t="shared" ref="O22:P22" si="30">SUM(O14:O21)</f>
        <v>1783567</v>
      </c>
      <c r="P22" s="198">
        <f t="shared" si="30"/>
        <v>254293</v>
      </c>
      <c r="Q22" s="198">
        <f t="shared" ref="Q22" si="31">SUM(Q14:Q21)</f>
        <v>297873</v>
      </c>
      <c r="R22" s="198">
        <f t="shared" ref="R22" si="32">SUM(R14:R21)</f>
        <v>638957</v>
      </c>
      <c r="S22" s="199">
        <f t="shared" ref="S22" si="33">SUM(S14:S21)</f>
        <v>592444</v>
      </c>
      <c r="T22" s="200">
        <f t="shared" ref="T22:W22" si="34">SUM(T14:T21)</f>
        <v>2343943</v>
      </c>
      <c r="U22" s="198">
        <f t="shared" si="34"/>
        <v>904200</v>
      </c>
      <c r="V22" s="198">
        <f t="shared" si="34"/>
        <v>845518</v>
      </c>
      <c r="W22" s="198">
        <f t="shared" si="34"/>
        <v>294802</v>
      </c>
      <c r="X22" s="199">
        <f t="shared" ref="X22" si="35">SUM(X14:X21)</f>
        <v>299423</v>
      </c>
      <c r="Y22" s="200">
        <f t="shared" ref="Y22:AB22" si="36">SUM(Y14:Y21)</f>
        <v>424667</v>
      </c>
      <c r="Z22" s="198">
        <f t="shared" si="36"/>
        <v>315023</v>
      </c>
      <c r="AA22" s="198">
        <f t="shared" ref="AA22" si="37">SUM(AA14:AA21)</f>
        <v>188889</v>
      </c>
      <c r="AB22" s="198">
        <f t="shared" si="36"/>
        <v>43096</v>
      </c>
      <c r="AC22" s="198">
        <f t="shared" ref="AC22" si="38">SUM(AC14:AC21)</f>
        <v>-122341</v>
      </c>
      <c r="AD22" s="200">
        <f t="shared" ref="AD22:AF22" si="39">SUM(AD14:AD21)</f>
        <v>251586</v>
      </c>
      <c r="AE22" s="198">
        <f t="shared" si="39"/>
        <v>138655</v>
      </c>
      <c r="AF22" s="198">
        <f t="shared" si="39"/>
        <v>7935</v>
      </c>
      <c r="AG22" s="198">
        <f>SUM(AG14:AG21)</f>
        <v>14908</v>
      </c>
      <c r="AH22" s="198">
        <f>SUM(AH14:AH21)</f>
        <v>90088</v>
      </c>
      <c r="AI22" s="200">
        <f>SUM(AI14:AI21)</f>
        <v>713885</v>
      </c>
      <c r="AJ22" s="198">
        <f t="shared" ref="AJ22:AK22" si="40">SUM(AJ14:AJ21)</f>
        <v>169728</v>
      </c>
      <c r="AK22" s="198">
        <f t="shared" si="40"/>
        <v>191124</v>
      </c>
      <c r="AL22" s="198">
        <f>SUM(AL14:AL21)</f>
        <v>125122</v>
      </c>
      <c r="AM22" s="198">
        <v>227911</v>
      </c>
      <c r="AN22" s="200">
        <v>350331</v>
      </c>
      <c r="AO22" s="198">
        <v>77105.3</v>
      </c>
      <c r="AP22" s="198">
        <v>145404.20000000001</v>
      </c>
      <c r="AQ22" s="198">
        <v>53731.199999999997</v>
      </c>
      <c r="AR22" s="198">
        <v>74090.600000000006</v>
      </c>
      <c r="AS22" s="200">
        <v>568366</v>
      </c>
      <c r="AT22" s="198">
        <v>412238</v>
      </c>
      <c r="AU22" s="198">
        <v>47242</v>
      </c>
      <c r="AV22" s="198">
        <v>46340</v>
      </c>
      <c r="AW22" s="198">
        <v>62546</v>
      </c>
      <c r="AX22" s="200">
        <v>157732</v>
      </c>
      <c r="AY22" s="200">
        <v>136290</v>
      </c>
      <c r="AZ22" s="368"/>
    </row>
    <row r="23" spans="1:52" ht="15.75" customHeight="1" thickTop="1">
      <c r="B23" s="206" t="s">
        <v>193</v>
      </c>
      <c r="C23" s="193">
        <f t="shared" ref="C23" si="41">C24+C25</f>
        <v>-55160</v>
      </c>
      <c r="D23" s="194">
        <f t="shared" ref="D23" si="42">D24+D25</f>
        <v>-109315</v>
      </c>
      <c r="E23" s="195">
        <f t="shared" ref="E23:F23" si="43">E24+E25</f>
        <v>-175002</v>
      </c>
      <c r="F23" s="193">
        <f t="shared" si="43"/>
        <v>-33636</v>
      </c>
      <c r="G23" s="193">
        <f t="shared" ref="G23" si="44">G24+G25</f>
        <v>-77135</v>
      </c>
      <c r="H23" s="193">
        <f t="shared" ref="H23" si="45">H24+H25</f>
        <v>-43768</v>
      </c>
      <c r="I23" s="194">
        <f t="shared" ref="I23" si="46">I24+I25</f>
        <v>-20463</v>
      </c>
      <c r="J23" s="195">
        <f t="shared" ref="J23:K23" si="47">J24+J25</f>
        <v>-164298</v>
      </c>
      <c r="K23" s="193">
        <f t="shared" si="47"/>
        <v>-38935</v>
      </c>
      <c r="L23" s="193">
        <f t="shared" ref="L23" si="48">L24+L25</f>
        <v>-34309</v>
      </c>
      <c r="M23" s="193">
        <f t="shared" ref="M23" si="49">M24+M25</f>
        <v>-46704</v>
      </c>
      <c r="N23" s="194">
        <f t="shared" ref="N23:S23" si="50">N24+N25</f>
        <v>-44350</v>
      </c>
      <c r="O23" s="195">
        <f t="shared" si="50"/>
        <v>-133854</v>
      </c>
      <c r="P23" s="193">
        <f t="shared" si="50"/>
        <v>-52776</v>
      </c>
      <c r="Q23" s="193">
        <f t="shared" si="50"/>
        <v>-6113</v>
      </c>
      <c r="R23" s="193">
        <f t="shared" si="50"/>
        <v>164</v>
      </c>
      <c r="S23" s="194">
        <f t="shared" si="50"/>
        <v>-75129</v>
      </c>
      <c r="T23" s="195">
        <v>6728</v>
      </c>
      <c r="U23" s="193">
        <v>-19886</v>
      </c>
      <c r="V23" s="193">
        <f>V24+V25</f>
        <v>5697</v>
      </c>
      <c r="W23" s="193">
        <f>W24+W25</f>
        <v>11021</v>
      </c>
      <c r="X23" s="194">
        <f>X24+X25</f>
        <v>9896</v>
      </c>
      <c r="Y23" s="195">
        <f t="shared" ref="Y23:Z23" si="51">Y24+Y25</f>
        <v>39822</v>
      </c>
      <c r="Z23" s="193">
        <f t="shared" si="51"/>
        <v>-16188</v>
      </c>
      <c r="AA23" s="193">
        <f t="shared" ref="AA23" si="52">AA24+AA25</f>
        <v>-813</v>
      </c>
      <c r="AB23" s="193">
        <f>AB24+AB25</f>
        <v>8379</v>
      </c>
      <c r="AC23" s="193">
        <v>48444</v>
      </c>
      <c r="AD23" s="195">
        <f t="shared" ref="AD23:AF23" si="53">SUM(AD24:AD25)</f>
        <v>19118</v>
      </c>
      <c r="AE23" s="193">
        <f t="shared" si="53"/>
        <v>-10580</v>
      </c>
      <c r="AF23" s="193">
        <f t="shared" si="53"/>
        <v>5493</v>
      </c>
      <c r="AG23" s="193">
        <f>SUM(AG24:AG25)</f>
        <v>34175</v>
      </c>
      <c r="AH23" s="193">
        <f>SUM(AH24:AH25)</f>
        <v>-9971</v>
      </c>
      <c r="AI23" s="195">
        <f>SUM(AI24:AI25)</f>
        <v>-46486</v>
      </c>
      <c r="AJ23" s="193">
        <f>SUM(AJ24:AJ25)</f>
        <v>-7809</v>
      </c>
      <c r="AK23" s="193">
        <f t="shared" ref="AK23" si="54">SUM(AK24:AK25)</f>
        <v>-12118</v>
      </c>
      <c r="AL23" s="193">
        <f>SUM(AL24:AL25)</f>
        <v>-15455</v>
      </c>
      <c r="AM23" s="193">
        <v>-11104</v>
      </c>
      <c r="AN23" s="195">
        <v>-33460</v>
      </c>
      <c r="AO23" s="193">
        <v>-14348</v>
      </c>
      <c r="AP23" s="193">
        <v>-6385</v>
      </c>
      <c r="AQ23" s="193">
        <v>-3139</v>
      </c>
      <c r="AR23" s="193">
        <v>-9588</v>
      </c>
      <c r="AS23" s="195">
        <v>-99759</v>
      </c>
      <c r="AT23" s="193">
        <v>-49978</v>
      </c>
      <c r="AU23" s="193">
        <v>-13950</v>
      </c>
      <c r="AV23" s="193">
        <v>-25662</v>
      </c>
      <c r="AW23" s="193">
        <v>-10169</v>
      </c>
      <c r="AX23" s="195">
        <v>-60868</v>
      </c>
      <c r="AY23" s="195">
        <v>-61494</v>
      </c>
      <c r="AZ23" s="203"/>
    </row>
    <row r="24" spans="1:52" ht="15.75" customHeight="1">
      <c r="B24" s="201" t="s">
        <v>194</v>
      </c>
      <c r="C24" s="193">
        <v>56506</v>
      </c>
      <c r="D24" s="194">
        <v>-10927</v>
      </c>
      <c r="E24" s="195">
        <v>249577</v>
      </c>
      <c r="F24" s="193">
        <v>76045</v>
      </c>
      <c r="G24" s="193">
        <v>36648</v>
      </c>
      <c r="H24" s="193">
        <v>67938</v>
      </c>
      <c r="I24" s="194">
        <v>68946</v>
      </c>
      <c r="J24" s="195">
        <v>81846</v>
      </c>
      <c r="K24" s="193">
        <v>32378</v>
      </c>
      <c r="L24" s="193">
        <v>30501</v>
      </c>
      <c r="M24" s="193">
        <v>2900</v>
      </c>
      <c r="N24" s="194">
        <v>16067</v>
      </c>
      <c r="O24" s="195">
        <v>64936</v>
      </c>
      <c r="P24" s="193">
        <v>7489</v>
      </c>
      <c r="Q24" s="193">
        <v>34363</v>
      </c>
      <c r="R24" s="193">
        <v>53234</v>
      </c>
      <c r="S24" s="194">
        <v>-30150</v>
      </c>
      <c r="T24" s="195">
        <v>113599</v>
      </c>
      <c r="U24" s="193">
        <v>23531</v>
      </c>
      <c r="V24" s="193">
        <v>25353</v>
      </c>
      <c r="W24" s="193">
        <v>36750</v>
      </c>
      <c r="X24" s="194">
        <v>27965</v>
      </c>
      <c r="Y24" s="195">
        <v>74724</v>
      </c>
      <c r="Z24" s="193">
        <v>-7209</v>
      </c>
      <c r="AA24" s="193">
        <v>11715</v>
      </c>
      <c r="AB24" s="193">
        <v>16614</v>
      </c>
      <c r="AC24" s="193">
        <v>53604</v>
      </c>
      <c r="AD24" s="195">
        <v>88115</v>
      </c>
      <c r="AE24" s="193">
        <v>1587</v>
      </c>
      <c r="AF24" s="193">
        <v>22819</v>
      </c>
      <c r="AG24" s="193">
        <v>53408</v>
      </c>
      <c r="AH24" s="193">
        <v>10300</v>
      </c>
      <c r="AI24" s="195">
        <v>43544</v>
      </c>
      <c r="AJ24" s="193">
        <v>11980</v>
      </c>
      <c r="AK24" s="193">
        <v>12715</v>
      </c>
      <c r="AL24" s="193">
        <v>12256</v>
      </c>
      <c r="AM24" s="193">
        <v>6593</v>
      </c>
      <c r="AN24" s="195">
        <v>29837</v>
      </c>
      <c r="AO24" s="193">
        <v>4709</v>
      </c>
      <c r="AP24" s="193">
        <v>8276</v>
      </c>
      <c r="AQ24" s="193">
        <v>7680</v>
      </c>
      <c r="AR24" s="193">
        <v>9172</v>
      </c>
      <c r="AS24" s="195">
        <v>33506</v>
      </c>
      <c r="AT24" s="193">
        <v>6035</v>
      </c>
      <c r="AU24" s="193">
        <v>7295</v>
      </c>
      <c r="AV24" s="193">
        <v>8857</v>
      </c>
      <c r="AW24" s="193">
        <v>11319</v>
      </c>
      <c r="AX24" s="195">
        <v>42430</v>
      </c>
      <c r="AY24" s="195">
        <v>29025</v>
      </c>
      <c r="AZ24" s="203"/>
    </row>
    <row r="25" spans="1:52" ht="15.75" customHeight="1">
      <c r="B25" s="201" t="s">
        <v>195</v>
      </c>
      <c r="C25" s="193">
        <v>-111666</v>
      </c>
      <c r="D25" s="194">
        <v>-98388</v>
      </c>
      <c r="E25" s="195">
        <v>-424579</v>
      </c>
      <c r="F25" s="193">
        <v>-109681</v>
      </c>
      <c r="G25" s="193">
        <v>-113783</v>
      </c>
      <c r="H25" s="193">
        <v>-111706</v>
      </c>
      <c r="I25" s="194">
        <v>-89409</v>
      </c>
      <c r="J25" s="195">
        <v>-246144</v>
      </c>
      <c r="K25" s="193">
        <v>-71313</v>
      </c>
      <c r="L25" s="193">
        <v>-64810</v>
      </c>
      <c r="M25" s="193">
        <v>-49604</v>
      </c>
      <c r="N25" s="194">
        <v>-60417</v>
      </c>
      <c r="O25" s="195">
        <v>-198790</v>
      </c>
      <c r="P25" s="193">
        <v>-60265</v>
      </c>
      <c r="Q25" s="193">
        <v>-40476</v>
      </c>
      <c r="R25" s="193">
        <v>-53070</v>
      </c>
      <c r="S25" s="194">
        <v>-44979</v>
      </c>
      <c r="T25" s="195">
        <v>-106871</v>
      </c>
      <c r="U25" s="193">
        <v>-43417</v>
      </c>
      <c r="V25" s="193">
        <v>-19656</v>
      </c>
      <c r="W25" s="193">
        <v>-25729</v>
      </c>
      <c r="X25" s="194">
        <v>-18069</v>
      </c>
      <c r="Y25" s="195">
        <v>-34902</v>
      </c>
      <c r="Z25" s="193">
        <v>-8979</v>
      </c>
      <c r="AA25" s="193">
        <v>-12528</v>
      </c>
      <c r="AB25" s="193">
        <v>-8235</v>
      </c>
      <c r="AC25" s="193">
        <v>-5160</v>
      </c>
      <c r="AD25" s="195">
        <v>-68997</v>
      </c>
      <c r="AE25" s="193">
        <v>-12167</v>
      </c>
      <c r="AF25" s="193">
        <v>-17326</v>
      </c>
      <c r="AG25" s="193">
        <v>-19233</v>
      </c>
      <c r="AH25" s="193">
        <v>-20271</v>
      </c>
      <c r="AI25" s="195">
        <v>-90030</v>
      </c>
      <c r="AJ25" s="193">
        <v>-19789</v>
      </c>
      <c r="AK25" s="193">
        <v>-24833</v>
      </c>
      <c r="AL25" s="193">
        <v>-27711</v>
      </c>
      <c r="AM25" s="193">
        <v>-17697</v>
      </c>
      <c r="AN25" s="195">
        <v>-63297</v>
      </c>
      <c r="AO25" s="193">
        <v>-19057</v>
      </c>
      <c r="AP25" s="193">
        <v>-14661</v>
      </c>
      <c r="AQ25" s="193">
        <v>-10819</v>
      </c>
      <c r="AR25" s="193">
        <v>-18760</v>
      </c>
      <c r="AS25" s="195">
        <v>-133265</v>
      </c>
      <c r="AT25" s="193">
        <v>-56013</v>
      </c>
      <c r="AU25" s="193">
        <v>-21245</v>
      </c>
      <c r="AV25" s="193">
        <v>-34519</v>
      </c>
      <c r="AW25" s="193">
        <v>-21488</v>
      </c>
      <c r="AX25" s="195">
        <v>-103298</v>
      </c>
      <c r="AY25" s="195">
        <v>-90519</v>
      </c>
      <c r="AZ25" s="203"/>
    </row>
    <row r="26" spans="1:52" s="208" customFormat="1" ht="15.75" customHeight="1" thickBot="1">
      <c r="A26" s="196"/>
      <c r="B26" s="207" t="s">
        <v>196</v>
      </c>
      <c r="C26" s="198">
        <f t="shared" ref="C26" si="55">SUM(C22:C23)</f>
        <v>299875</v>
      </c>
      <c r="D26" s="199">
        <f t="shared" ref="D26" si="56">SUM(D22:D23)</f>
        <v>176923</v>
      </c>
      <c r="E26" s="200">
        <f t="shared" ref="E26:F26" si="57">SUM(E22:E23)</f>
        <v>699110</v>
      </c>
      <c r="F26" s="198">
        <f t="shared" si="57"/>
        <v>376245</v>
      </c>
      <c r="G26" s="198">
        <f t="shared" ref="G26" si="58">SUM(G22:G23)</f>
        <v>136895</v>
      </c>
      <c r="H26" s="198">
        <f t="shared" ref="H26" si="59">SUM(H22:H23)</f>
        <v>107363</v>
      </c>
      <c r="I26" s="199">
        <f t="shared" ref="I26" si="60">SUM(I22:I23)</f>
        <v>78609</v>
      </c>
      <c r="J26" s="200">
        <f t="shared" ref="J26:K26" si="61">SUM(J22:J23)</f>
        <v>939091</v>
      </c>
      <c r="K26" s="198">
        <f t="shared" si="61"/>
        <v>167035</v>
      </c>
      <c r="L26" s="198">
        <f t="shared" ref="L26" si="62">SUM(L22:L23)</f>
        <v>200785</v>
      </c>
      <c r="M26" s="198">
        <f t="shared" ref="M26" si="63">SUM(M22:M23)</f>
        <v>240676</v>
      </c>
      <c r="N26" s="199">
        <f t="shared" ref="N26" si="64">SUM(N22:N23)</f>
        <v>330595</v>
      </c>
      <c r="O26" s="200">
        <f t="shared" ref="O26:P26" si="65">SUM(O22:O23)</f>
        <v>1649713</v>
      </c>
      <c r="P26" s="198">
        <f t="shared" si="65"/>
        <v>201517</v>
      </c>
      <c r="Q26" s="198">
        <f t="shared" ref="Q26" si="66">SUM(Q22:Q23)</f>
        <v>291760</v>
      </c>
      <c r="R26" s="198">
        <f t="shared" ref="R26" si="67">SUM(R22:R23)</f>
        <v>639121</v>
      </c>
      <c r="S26" s="199">
        <f t="shared" ref="S26" si="68">SUM(S22:S23)</f>
        <v>517315</v>
      </c>
      <c r="T26" s="200">
        <v>2350671</v>
      </c>
      <c r="U26" s="198">
        <v>884314</v>
      </c>
      <c r="V26" s="198">
        <f t="shared" ref="V26:W26" si="69">SUM(V22:V23)</f>
        <v>851215</v>
      </c>
      <c r="W26" s="198">
        <f t="shared" si="69"/>
        <v>305823</v>
      </c>
      <c r="X26" s="199">
        <f t="shared" ref="X26" si="70">SUM(X22:X23)</f>
        <v>309319</v>
      </c>
      <c r="Y26" s="200">
        <f>SUM(Y22:Y23)</f>
        <v>464489</v>
      </c>
      <c r="Z26" s="198">
        <f>SUM(Z22:Z23)</f>
        <v>298835</v>
      </c>
      <c r="AA26" s="198">
        <f>SUM(AA22:AA23)</f>
        <v>188076</v>
      </c>
      <c r="AB26" s="198">
        <f>SUM(AB22:AB23)</f>
        <v>51475</v>
      </c>
      <c r="AC26" s="198">
        <f t="shared" ref="AC26" si="71">SUM(AC22:AC23)</f>
        <v>-73897</v>
      </c>
      <c r="AD26" s="200">
        <f t="shared" ref="AD26" si="72">SUM(AD22:AD23)</f>
        <v>270704</v>
      </c>
      <c r="AE26" s="198">
        <f>SUM(AE22:AE23)</f>
        <v>128075</v>
      </c>
      <c r="AF26" s="198">
        <f t="shared" ref="AF26:AK26" si="73">SUM(AF22:AF23)</f>
        <v>13428</v>
      </c>
      <c r="AG26" s="198">
        <f t="shared" si="73"/>
        <v>49083</v>
      </c>
      <c r="AH26" s="198">
        <f t="shared" si="73"/>
        <v>80117</v>
      </c>
      <c r="AI26" s="200">
        <f t="shared" si="73"/>
        <v>667399</v>
      </c>
      <c r="AJ26" s="198">
        <f t="shared" si="73"/>
        <v>161919</v>
      </c>
      <c r="AK26" s="198">
        <f t="shared" si="73"/>
        <v>179006</v>
      </c>
      <c r="AL26" s="198">
        <f>SUM(AL22:AL23)</f>
        <v>109667</v>
      </c>
      <c r="AM26" s="198">
        <v>216807</v>
      </c>
      <c r="AN26" s="200">
        <v>316871</v>
      </c>
      <c r="AO26" s="198">
        <v>62757.2</v>
      </c>
      <c r="AP26" s="198">
        <v>139018.79999999999</v>
      </c>
      <c r="AQ26" s="198">
        <v>50593</v>
      </c>
      <c r="AR26" s="198">
        <v>64502.1</v>
      </c>
      <c r="AS26" s="200">
        <v>468607</v>
      </c>
      <c r="AT26" s="198">
        <v>362260</v>
      </c>
      <c r="AU26" s="198">
        <v>33292</v>
      </c>
      <c r="AV26" s="198">
        <v>20678</v>
      </c>
      <c r="AW26" s="198">
        <v>52377</v>
      </c>
      <c r="AX26" s="200">
        <v>96864</v>
      </c>
      <c r="AY26" s="200">
        <v>74796</v>
      </c>
      <c r="AZ26" s="368"/>
    </row>
    <row r="27" spans="1:52" ht="15.75" customHeight="1" thickTop="1">
      <c r="B27" s="206" t="s">
        <v>197</v>
      </c>
      <c r="C27" s="193">
        <v>-66647</v>
      </c>
      <c r="D27" s="428">
        <v>-25541</v>
      </c>
      <c r="E27" s="373">
        <v>-143514</v>
      </c>
      <c r="F27" s="193">
        <v>-83988</v>
      </c>
      <c r="G27" s="193">
        <v>-18322</v>
      </c>
      <c r="H27" s="193">
        <v>-18589</v>
      </c>
      <c r="I27" s="369">
        <v>-22617</v>
      </c>
      <c r="J27" s="373">
        <v>-151583</v>
      </c>
      <c r="K27" s="193">
        <v>-6882</v>
      </c>
      <c r="L27" s="193">
        <v>-10876</v>
      </c>
      <c r="M27" s="193">
        <v>-54999</v>
      </c>
      <c r="N27" s="369">
        <v>-78826</v>
      </c>
      <c r="O27" s="373">
        <v>-323793</v>
      </c>
      <c r="P27" s="193">
        <v>-53404</v>
      </c>
      <c r="Q27" s="193">
        <v>-93919</v>
      </c>
      <c r="R27" s="193">
        <v>-104551</v>
      </c>
      <c r="S27" s="369">
        <v>-71919</v>
      </c>
      <c r="T27" s="205">
        <v>-365907</v>
      </c>
      <c r="U27" s="370">
        <v>-200350</v>
      </c>
      <c r="V27" s="370">
        <v>-73035</v>
      </c>
      <c r="W27" s="370">
        <v>-60750</v>
      </c>
      <c r="X27" s="371">
        <v>-31772</v>
      </c>
      <c r="Y27" s="205">
        <v>-96823</v>
      </c>
      <c r="Z27" s="193">
        <v>-13696</v>
      </c>
      <c r="AA27" s="193">
        <v>-33199</v>
      </c>
      <c r="AB27" s="372">
        <v>-31606</v>
      </c>
      <c r="AC27" s="372">
        <v>-18322</v>
      </c>
      <c r="AD27" s="373">
        <v>-97199</v>
      </c>
      <c r="AE27" s="193">
        <v>-8769</v>
      </c>
      <c r="AF27" s="193">
        <v>-26021</v>
      </c>
      <c r="AG27" s="193">
        <v>-38573</v>
      </c>
      <c r="AH27" s="193">
        <v>-23834</v>
      </c>
      <c r="AI27" s="373">
        <v>-139359</v>
      </c>
      <c r="AJ27" s="193">
        <v>-8111</v>
      </c>
      <c r="AK27" s="193">
        <v>-34403</v>
      </c>
      <c r="AL27" s="193">
        <v>-38544</v>
      </c>
      <c r="AM27" s="193">
        <v>-58301</v>
      </c>
      <c r="AN27" s="209">
        <v>-14214</v>
      </c>
      <c r="AO27" s="193">
        <v>47080</v>
      </c>
      <c r="AP27" s="193">
        <v>-6041</v>
      </c>
      <c r="AQ27" s="193">
        <v>-25217</v>
      </c>
      <c r="AR27" s="193">
        <v>-30036</v>
      </c>
      <c r="AS27" s="209">
        <v>-187771</v>
      </c>
      <c r="AT27" s="193">
        <v>-147297</v>
      </c>
      <c r="AU27" s="193">
        <v>-14010</v>
      </c>
      <c r="AV27" s="193">
        <v>-10256</v>
      </c>
      <c r="AW27" s="193">
        <v>-16208</v>
      </c>
      <c r="AX27" s="209">
        <v>-9031</v>
      </c>
      <c r="AY27" s="209">
        <v>-9205</v>
      </c>
      <c r="AZ27" s="203"/>
    </row>
    <row r="28" spans="1:52" ht="15.75" customHeight="1">
      <c r="A28" s="196"/>
      <c r="B28" s="210" t="s">
        <v>198</v>
      </c>
      <c r="C28" s="211">
        <f t="shared" ref="C28" si="74">SUM(C26:C27)</f>
        <v>233228</v>
      </c>
      <c r="D28" s="212">
        <f t="shared" ref="D28" si="75">SUM(D26:D27)</f>
        <v>151382</v>
      </c>
      <c r="E28" s="213">
        <f t="shared" ref="E28:F28" si="76">SUM(E26:E27)</f>
        <v>555596</v>
      </c>
      <c r="F28" s="211">
        <f t="shared" si="76"/>
        <v>292257</v>
      </c>
      <c r="G28" s="211">
        <f t="shared" ref="G28" si="77">SUM(G26:G27)</f>
        <v>118573</v>
      </c>
      <c r="H28" s="211">
        <f t="shared" ref="H28" si="78">SUM(H26:H27)</f>
        <v>88774</v>
      </c>
      <c r="I28" s="212">
        <f t="shared" ref="I28" si="79">SUM(I26:I27)</f>
        <v>55992</v>
      </c>
      <c r="J28" s="213">
        <f t="shared" ref="J28:K28" si="80">SUM(J26:J27)</f>
        <v>787508</v>
      </c>
      <c r="K28" s="211">
        <f t="shared" si="80"/>
        <v>160153</v>
      </c>
      <c r="L28" s="211">
        <f t="shared" ref="L28" si="81">SUM(L26:L27)</f>
        <v>189909</v>
      </c>
      <c r="M28" s="211">
        <f t="shared" ref="M28" si="82">SUM(M26:M27)</f>
        <v>185677</v>
      </c>
      <c r="N28" s="212">
        <f t="shared" ref="N28" si="83">SUM(N26:N27)</f>
        <v>251769</v>
      </c>
      <c r="O28" s="213">
        <f t="shared" ref="O28" si="84">SUM(O26:O27)</f>
        <v>1325920</v>
      </c>
      <c r="P28" s="211">
        <f>SUM(P26:P27)</f>
        <v>148113</v>
      </c>
      <c r="Q28" s="211">
        <f>SUM(Q26:Q27)</f>
        <v>197841</v>
      </c>
      <c r="R28" s="211">
        <f>SUM(R26:R27)</f>
        <v>534570</v>
      </c>
      <c r="S28" s="212">
        <f t="shared" ref="S28" si="85">SUM(S26:S27)</f>
        <v>445396</v>
      </c>
      <c r="T28" s="213">
        <v>1984764</v>
      </c>
      <c r="U28" s="211">
        <v>683964</v>
      </c>
      <c r="V28" s="211">
        <f>SUM(V26:V27)</f>
        <v>778180</v>
      </c>
      <c r="W28" s="211">
        <f>SUM(W26:W27)</f>
        <v>245073</v>
      </c>
      <c r="X28" s="212">
        <f>SUM(X26:X27)</f>
        <v>277547</v>
      </c>
      <c r="Y28" s="213">
        <f t="shared" ref="Y28:Z28" si="86">SUM(Y26:Y27)</f>
        <v>367666</v>
      </c>
      <c r="Z28" s="211">
        <f t="shared" si="86"/>
        <v>285139</v>
      </c>
      <c r="AA28" s="211">
        <f t="shared" ref="AA28" si="87">SUM(AA26:AA27)</f>
        <v>154877</v>
      </c>
      <c r="AB28" s="211">
        <f t="shared" ref="AB28" si="88">SUM(AB26:AB27)</f>
        <v>19869</v>
      </c>
      <c r="AC28" s="211">
        <f t="shared" ref="AC28" si="89">SUM(AC26:AC27)</f>
        <v>-92219</v>
      </c>
      <c r="AD28" s="213">
        <f t="shared" ref="AD28:AK28" si="90">SUM(AD26:AD27)</f>
        <v>173505</v>
      </c>
      <c r="AE28" s="211">
        <f t="shared" si="90"/>
        <v>119306</v>
      </c>
      <c r="AF28" s="211">
        <f t="shared" si="90"/>
        <v>-12593</v>
      </c>
      <c r="AG28" s="211">
        <f t="shared" si="90"/>
        <v>10510</v>
      </c>
      <c r="AH28" s="211">
        <f t="shared" si="90"/>
        <v>56283</v>
      </c>
      <c r="AI28" s="213">
        <f t="shared" si="90"/>
        <v>528040</v>
      </c>
      <c r="AJ28" s="211">
        <f t="shared" si="90"/>
        <v>153808</v>
      </c>
      <c r="AK28" s="211">
        <f t="shared" si="90"/>
        <v>144603</v>
      </c>
      <c r="AL28" s="211">
        <f>SUM(AL26:AL27)</f>
        <v>71123</v>
      </c>
      <c r="AM28" s="211">
        <v>158506</v>
      </c>
      <c r="AN28" s="213">
        <v>302657.5</v>
      </c>
      <c r="AO28" s="211">
        <v>109837.2</v>
      </c>
      <c r="AP28" s="211">
        <v>132978</v>
      </c>
      <c r="AQ28" s="211">
        <v>25376.3</v>
      </c>
      <c r="AR28" s="211">
        <v>34466</v>
      </c>
      <c r="AS28" s="213">
        <v>280836</v>
      </c>
      <c r="AT28" s="211">
        <v>214963</v>
      </c>
      <c r="AU28" s="211">
        <v>19282</v>
      </c>
      <c r="AV28" s="211">
        <v>10422</v>
      </c>
      <c r="AW28" s="211">
        <v>36169</v>
      </c>
      <c r="AX28" s="213">
        <v>87833</v>
      </c>
      <c r="AY28" s="213">
        <v>65591</v>
      </c>
      <c r="AZ28" s="368"/>
    </row>
    <row r="29" spans="1:52">
      <c r="AL29" s="214"/>
      <c r="AM29" s="374"/>
    </row>
    <row r="30" spans="1:52">
      <c r="AL30" s="214"/>
      <c r="AM30" s="374"/>
      <c r="AQ30" s="185"/>
    </row>
    <row r="31" spans="1:52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427"/>
      <c r="P31" s="427"/>
      <c r="Q31" s="215"/>
      <c r="R31" s="215"/>
      <c r="S31" s="375"/>
      <c r="T31" s="375"/>
      <c r="U31" s="375"/>
      <c r="V31" s="375"/>
      <c r="W31" s="375"/>
      <c r="X31" s="375"/>
      <c r="Y31" s="375"/>
      <c r="Z31" s="375"/>
      <c r="AA31" s="375"/>
      <c r="AB31" s="215"/>
      <c r="AC31" s="375"/>
      <c r="AD31" s="215"/>
      <c r="AE31" s="375"/>
      <c r="AF31" s="215"/>
      <c r="AG31" s="215"/>
      <c r="AH31" s="215"/>
      <c r="AI31" s="215"/>
      <c r="AJ31" s="215"/>
      <c r="AK31" s="215"/>
      <c r="AL31" s="185"/>
      <c r="AM31" s="185"/>
      <c r="AQ31" s="185"/>
      <c r="AR31" s="216"/>
      <c r="AS31" s="216"/>
      <c r="AT31" s="216"/>
      <c r="AU31" s="216"/>
      <c r="AV31" s="216"/>
      <c r="AW31" s="216"/>
      <c r="AX31" s="216"/>
      <c r="AY31" s="216"/>
      <c r="AZ31" s="376"/>
    </row>
    <row r="32" spans="1:52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427"/>
      <c r="P32" s="427"/>
      <c r="Q32" s="215"/>
      <c r="R32" s="215"/>
      <c r="S32" s="375"/>
      <c r="T32" s="375"/>
      <c r="U32" s="375"/>
      <c r="V32" s="375"/>
      <c r="W32" s="375"/>
      <c r="X32" s="375"/>
      <c r="Y32" s="375"/>
      <c r="Z32" s="375"/>
      <c r="AA32" s="375"/>
      <c r="AB32" s="215"/>
      <c r="AC32" s="375"/>
      <c r="AD32" s="215"/>
      <c r="AE32" s="375"/>
      <c r="AF32" s="215"/>
      <c r="AG32" s="215"/>
      <c r="AH32" s="215"/>
      <c r="AI32" s="215"/>
      <c r="AJ32" s="215"/>
      <c r="AK32" s="215"/>
      <c r="AL32" s="185"/>
      <c r="AQ32" s="185"/>
      <c r="AR32" s="216"/>
      <c r="AS32" s="216"/>
      <c r="AT32" s="216"/>
      <c r="AU32" s="216"/>
      <c r="AV32" s="216"/>
      <c r="AW32" s="216"/>
      <c r="AX32" s="216"/>
      <c r="AY32" s="216"/>
      <c r="AZ32" s="377"/>
    </row>
    <row r="33" spans="2:51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427"/>
      <c r="P33" s="427"/>
      <c r="Q33" s="215"/>
      <c r="R33" s="215"/>
      <c r="S33" s="375"/>
      <c r="T33" s="375"/>
      <c r="U33" s="375"/>
      <c r="V33" s="375"/>
      <c r="W33" s="375"/>
      <c r="X33" s="375"/>
      <c r="Y33" s="375"/>
      <c r="Z33" s="375"/>
      <c r="AA33" s="375"/>
      <c r="AB33" s="215"/>
      <c r="AC33" s="375"/>
      <c r="AD33" s="215"/>
      <c r="AE33" s="375"/>
      <c r="AF33" s="215"/>
      <c r="AG33" s="215"/>
      <c r="AH33" s="215"/>
      <c r="AI33" s="215"/>
      <c r="AJ33" s="215"/>
      <c r="AK33" s="215"/>
    </row>
    <row r="34" spans="2:51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427"/>
      <c r="P34" s="427"/>
      <c r="Q34" s="215"/>
      <c r="R34" s="215"/>
      <c r="S34" s="375"/>
      <c r="T34" s="375"/>
      <c r="U34" s="375"/>
      <c r="V34" s="375"/>
      <c r="W34" s="375"/>
      <c r="X34" s="375"/>
      <c r="Y34" s="375"/>
      <c r="Z34" s="375"/>
      <c r="AA34" s="375"/>
      <c r="AB34" s="215"/>
      <c r="AC34" s="375"/>
      <c r="AD34" s="215"/>
      <c r="AE34" s="375"/>
      <c r="AF34" s="215"/>
      <c r="AG34" s="215"/>
      <c r="AH34" s="215"/>
      <c r="AI34" s="215"/>
      <c r="AJ34" s="215"/>
      <c r="AK34" s="215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</row>
  </sheetData>
  <mergeCells count="65">
    <mergeCell ref="C10:C11"/>
    <mergeCell ref="AZ10:AZ11"/>
    <mergeCell ref="AY7:AY8"/>
    <mergeCell ref="AY10:AY11"/>
    <mergeCell ref="AT10:AT11"/>
    <mergeCell ref="AX7:AX8"/>
    <mergeCell ref="AX10:AX11"/>
    <mergeCell ref="AW7:AW8"/>
    <mergeCell ref="AW10:AW11"/>
    <mergeCell ref="AV7:AV8"/>
    <mergeCell ref="AV10:AV11"/>
    <mergeCell ref="AU7:AU8"/>
    <mergeCell ref="AU10:AU11"/>
    <mergeCell ref="AT7:AT8"/>
    <mergeCell ref="AS10:AS11"/>
    <mergeCell ref="AS7:AS8"/>
    <mergeCell ref="AR7:AR8"/>
    <mergeCell ref="AP7:AP8"/>
    <mergeCell ref="AP10:AP11"/>
    <mergeCell ref="AR10:AR11"/>
    <mergeCell ref="AQ7:AQ8"/>
    <mergeCell ref="AQ10:AQ11"/>
    <mergeCell ref="AM7:AM8"/>
    <mergeCell ref="AM10:AM11"/>
    <mergeCell ref="AL7:AL8"/>
    <mergeCell ref="AO10:AO11"/>
    <mergeCell ref="AN7:AN8"/>
    <mergeCell ref="AN10:AN11"/>
    <mergeCell ref="AL10:AL11"/>
    <mergeCell ref="AF10:AF11"/>
    <mergeCell ref="AD10:AD11"/>
    <mergeCell ref="AE10:AE11"/>
    <mergeCell ref="Z10:Z11"/>
    <mergeCell ref="AA10:AA11"/>
    <mergeCell ref="AB10:AB11"/>
    <mergeCell ref="AC10:AC11"/>
    <mergeCell ref="AK10:AK11"/>
    <mergeCell ref="AI10:AI11"/>
    <mergeCell ref="AJ10:AJ11"/>
    <mergeCell ref="AH10:AH11"/>
    <mergeCell ref="AG10:AG11"/>
    <mergeCell ref="Y10:Y11"/>
    <mergeCell ref="B7:B8"/>
    <mergeCell ref="B10:B11"/>
    <mergeCell ref="V10:V11"/>
    <mergeCell ref="X10:X11"/>
    <mergeCell ref="S10:S11"/>
    <mergeCell ref="R10:R11"/>
    <mergeCell ref="Q10:Q11"/>
    <mergeCell ref="O10:O11"/>
    <mergeCell ref="P10:P11"/>
    <mergeCell ref="N10:N11"/>
    <mergeCell ref="M10:M11"/>
    <mergeCell ref="L10:L11"/>
    <mergeCell ref="J10:J11"/>
    <mergeCell ref="K10:K11"/>
    <mergeCell ref="H10:H11"/>
    <mergeCell ref="D10:D11"/>
    <mergeCell ref="U10:U11"/>
    <mergeCell ref="T10:T11"/>
    <mergeCell ref="W10:W11"/>
    <mergeCell ref="I10:I11"/>
    <mergeCell ref="G10:G11"/>
    <mergeCell ref="E10:E11"/>
    <mergeCell ref="F10:F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Q11:AS11 AP11 AN11:AO11 AN10 AS1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Q70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55.28515625" style="181" customWidth="1"/>
    <col min="3" max="12" width="12.7109375" style="181" bestFit="1" customWidth="1"/>
    <col min="13" max="13" width="12.7109375" style="409" bestFit="1" customWidth="1"/>
    <col min="14" max="14" width="12.28515625" style="181" bestFit="1" customWidth="1"/>
    <col min="15" max="15" width="12.5703125" style="181" customWidth="1"/>
    <col min="16" max="21" width="12.140625" style="181" customWidth="1"/>
    <col min="22" max="23" width="12.28515625" style="181" bestFit="1" customWidth="1"/>
    <col min="24" max="24" width="11.7109375" style="181" customWidth="1"/>
    <col min="25" max="25" width="12.7109375" style="181" bestFit="1" customWidth="1"/>
    <col min="26" max="28" width="11.7109375" style="181" customWidth="1"/>
    <col min="29" max="29" width="14.28515625" style="181" customWidth="1"/>
    <col min="30" max="30" width="13.28515625" style="181" customWidth="1"/>
    <col min="31" max="31" width="12.140625" style="181" customWidth="1"/>
    <col min="32" max="32" width="12.28515625" style="183" bestFit="1" customWidth="1"/>
    <col min="33" max="33" width="12.7109375" style="183" bestFit="1" customWidth="1"/>
    <col min="34" max="36" width="12.28515625" style="183" bestFit="1" customWidth="1"/>
    <col min="37" max="37" width="12.7109375" style="183" bestFit="1" customWidth="1"/>
    <col min="38" max="40" width="12" style="183" bestFit="1" customWidth="1"/>
    <col min="41" max="43" width="12.7109375" style="183" bestFit="1" customWidth="1"/>
    <col min="44" max="16384" width="9.140625" style="184"/>
  </cols>
  <sheetData>
    <row r="1" spans="1:43" ht="9" customHeight="1"/>
    <row r="2" spans="1:43" ht="15.75" customHeight="1"/>
    <row r="3" spans="1:43" ht="15.75" customHeight="1"/>
    <row r="4" spans="1:43" ht="15.75" customHeight="1"/>
    <row r="5" spans="1:43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426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</row>
    <row r="6" spans="1:43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426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</row>
    <row r="7" spans="1:43" ht="20.25">
      <c r="B7" s="450" t="s">
        <v>381</v>
      </c>
      <c r="C7" s="443"/>
      <c r="D7" s="440"/>
      <c r="E7" s="438"/>
      <c r="F7" s="189"/>
      <c r="G7" s="189"/>
      <c r="H7" s="189"/>
      <c r="I7" s="189"/>
      <c r="J7" s="189"/>
      <c r="K7" s="189"/>
      <c r="L7" s="189"/>
      <c r="M7" s="411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</row>
    <row r="8" spans="1:43" ht="20.25">
      <c r="B8" s="450"/>
      <c r="C8" s="443"/>
      <c r="D8" s="440"/>
      <c r="E8" s="438"/>
      <c r="F8" s="189"/>
      <c r="G8" s="189"/>
      <c r="H8" s="189"/>
      <c r="I8" s="189"/>
      <c r="J8" s="189"/>
      <c r="K8" s="189"/>
      <c r="L8" s="189"/>
      <c r="M8" s="411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</row>
    <row r="9" spans="1:43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426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</row>
    <row r="10" spans="1:43" ht="15" customHeight="1">
      <c r="A10" s="191"/>
      <c r="B10" s="455" t="s">
        <v>375</v>
      </c>
      <c r="C10" s="453" t="s">
        <v>449</v>
      </c>
      <c r="D10" s="453" t="s">
        <v>445</v>
      </c>
      <c r="E10" s="454" t="s">
        <v>438</v>
      </c>
      <c r="F10" s="453" t="s">
        <v>434</v>
      </c>
      <c r="G10" s="453" t="s">
        <v>431</v>
      </c>
      <c r="H10" s="453" t="s">
        <v>421</v>
      </c>
      <c r="I10" s="456" t="s">
        <v>411</v>
      </c>
      <c r="J10" s="453" t="s">
        <v>405</v>
      </c>
      <c r="K10" s="453" t="s">
        <v>402</v>
      </c>
      <c r="L10" s="453" t="s">
        <v>396</v>
      </c>
      <c r="M10" s="456" t="s">
        <v>392</v>
      </c>
      <c r="N10" s="453" t="s">
        <v>395</v>
      </c>
      <c r="O10" s="453" t="s">
        <v>368</v>
      </c>
      <c r="P10" s="453" t="s">
        <v>364</v>
      </c>
      <c r="Q10" s="456" t="s">
        <v>359</v>
      </c>
      <c r="R10" s="457">
        <v>44469</v>
      </c>
      <c r="S10" s="453" t="s">
        <v>348</v>
      </c>
      <c r="T10" s="453" t="s">
        <v>345</v>
      </c>
      <c r="U10" s="456">
        <v>44196</v>
      </c>
      <c r="V10" s="457">
        <v>44104</v>
      </c>
      <c r="W10" s="453" t="s">
        <v>333</v>
      </c>
      <c r="X10" s="453" t="s">
        <v>334</v>
      </c>
      <c r="Y10" s="456">
        <v>43830</v>
      </c>
      <c r="Z10" s="457">
        <v>43738</v>
      </c>
      <c r="AA10" s="457">
        <v>43646</v>
      </c>
      <c r="AB10" s="457">
        <v>43555</v>
      </c>
      <c r="AC10" s="456">
        <v>43465</v>
      </c>
      <c r="AD10" s="457">
        <v>43373</v>
      </c>
      <c r="AE10" s="457">
        <v>43281</v>
      </c>
      <c r="AF10" s="457">
        <v>43190</v>
      </c>
      <c r="AG10" s="456">
        <v>43100</v>
      </c>
      <c r="AH10" s="457">
        <v>43008</v>
      </c>
      <c r="AI10" s="457">
        <v>42916</v>
      </c>
      <c r="AJ10" s="457">
        <v>42825</v>
      </c>
      <c r="AK10" s="456">
        <v>42735</v>
      </c>
      <c r="AL10" s="457">
        <v>42643</v>
      </c>
      <c r="AM10" s="457">
        <v>42551</v>
      </c>
      <c r="AN10" s="457">
        <v>42460</v>
      </c>
      <c r="AO10" s="456">
        <v>42369</v>
      </c>
      <c r="AP10" s="456">
        <v>42004</v>
      </c>
      <c r="AQ10" s="456">
        <v>41639</v>
      </c>
    </row>
    <row r="11" spans="1:43" ht="15" customHeight="1">
      <c r="A11" s="191"/>
      <c r="B11" s="455"/>
      <c r="C11" s="453"/>
      <c r="D11" s="453"/>
      <c r="E11" s="454"/>
      <c r="F11" s="453"/>
      <c r="G11" s="453"/>
      <c r="H11" s="453"/>
      <c r="I11" s="456"/>
      <c r="J11" s="453"/>
      <c r="K11" s="453"/>
      <c r="L11" s="453"/>
      <c r="M11" s="456"/>
      <c r="N11" s="453"/>
      <c r="O11" s="453"/>
      <c r="P11" s="453"/>
      <c r="Q11" s="456"/>
      <c r="R11" s="457"/>
      <c r="S11" s="453"/>
      <c r="T11" s="453"/>
      <c r="U11" s="456"/>
      <c r="V11" s="457"/>
      <c r="W11" s="453"/>
      <c r="X11" s="453"/>
      <c r="Y11" s="456"/>
      <c r="Z11" s="457"/>
      <c r="AA11" s="457"/>
      <c r="AB11" s="457"/>
      <c r="AC11" s="456"/>
      <c r="AD11" s="457"/>
      <c r="AE11" s="457"/>
      <c r="AF11" s="457"/>
      <c r="AG11" s="456"/>
      <c r="AH11" s="457"/>
      <c r="AI11" s="457"/>
      <c r="AJ11" s="457"/>
      <c r="AK11" s="456"/>
      <c r="AL11" s="457"/>
      <c r="AM11" s="457"/>
      <c r="AN11" s="457"/>
      <c r="AO11" s="456"/>
      <c r="AP11" s="456"/>
      <c r="AQ11" s="456"/>
    </row>
    <row r="12" spans="1:43" ht="15">
      <c r="A12" s="196"/>
      <c r="B12" s="218" t="s">
        <v>199</v>
      </c>
      <c r="C12" s="211">
        <f t="shared" ref="C12" si="0">C13+C21</f>
        <v>7307707</v>
      </c>
      <c r="D12" s="211">
        <f t="shared" ref="D12" si="1">D13+D21</f>
        <v>7005576</v>
      </c>
      <c r="E12" s="213">
        <f t="shared" ref="E12" si="2">E13+E21</f>
        <v>6786939</v>
      </c>
      <c r="F12" s="211">
        <f t="shared" ref="F12" si="3">F13+F21</f>
        <v>7203523</v>
      </c>
      <c r="G12" s="211">
        <f t="shared" ref="G12" si="4">G13+G21</f>
        <v>6742376</v>
      </c>
      <c r="H12" s="211">
        <f t="shared" ref="H12" si="5">H13+H21</f>
        <v>6775923</v>
      </c>
      <c r="I12" s="213">
        <f t="shared" ref="I12" si="6">I13+I21</f>
        <v>6122655</v>
      </c>
      <c r="J12" s="211">
        <f t="shared" ref="J12" si="7">J13+J21</f>
        <v>5778646</v>
      </c>
      <c r="K12" s="211">
        <f t="shared" ref="K12" si="8">K13+K21</f>
        <v>5507669</v>
      </c>
      <c r="L12" s="211">
        <f t="shared" ref="L12" si="9">L13+L21</f>
        <v>5661867</v>
      </c>
      <c r="M12" s="213">
        <f t="shared" ref="M12" si="10">M13+M21</f>
        <v>5560600</v>
      </c>
      <c r="N12" s="211">
        <f t="shared" ref="N12" si="11">N13+N21</f>
        <v>5323961</v>
      </c>
      <c r="O12" s="211">
        <f t="shared" ref="O12" si="12">O13+O21</f>
        <v>5586281</v>
      </c>
      <c r="P12" s="211">
        <f t="shared" ref="P12" si="13">P13+P21</f>
        <v>5206322</v>
      </c>
      <c r="Q12" s="213">
        <v>4979306</v>
      </c>
      <c r="R12" s="211">
        <f t="shared" ref="R12:S12" si="14">R13+R21</f>
        <v>4188065</v>
      </c>
      <c r="S12" s="211">
        <f t="shared" si="14"/>
        <v>3350499</v>
      </c>
      <c r="T12" s="211">
        <f>T13+T21</f>
        <v>3178695</v>
      </c>
      <c r="U12" s="213">
        <f>U13+U21</f>
        <v>3003793</v>
      </c>
      <c r="V12" s="211">
        <f>V13+V21</f>
        <v>2818668</v>
      </c>
      <c r="W12" s="211">
        <f>W13+W21</f>
        <v>2696616</v>
      </c>
      <c r="X12" s="211">
        <f>X13+X21</f>
        <v>2565468</v>
      </c>
      <c r="Y12" s="213">
        <f t="shared" ref="Y12" si="15">Y13+Y21</f>
        <v>2628874</v>
      </c>
      <c r="Z12" s="211">
        <f t="shared" ref="Z12" si="16">Z13+Z21</f>
        <v>2481618</v>
      </c>
      <c r="AA12" s="211">
        <f t="shared" ref="AA12:AE12" si="17">AA13+AA21</f>
        <v>2608239</v>
      </c>
      <c r="AB12" s="211">
        <f t="shared" si="17"/>
        <v>2745864</v>
      </c>
      <c r="AC12" s="213">
        <f t="shared" si="17"/>
        <v>2751422</v>
      </c>
      <c r="AD12" s="211">
        <f t="shared" si="17"/>
        <v>2703128</v>
      </c>
      <c r="AE12" s="211">
        <f t="shared" si="17"/>
        <v>2667636</v>
      </c>
      <c r="AF12" s="211">
        <v>2851709</v>
      </c>
      <c r="AG12" s="213">
        <v>2206223</v>
      </c>
      <c r="AH12" s="211">
        <v>2284935</v>
      </c>
      <c r="AI12" s="211">
        <v>2357539</v>
      </c>
      <c r="AJ12" s="211">
        <v>2266807</v>
      </c>
      <c r="AK12" s="213">
        <v>2164121</v>
      </c>
      <c r="AL12" s="211">
        <v>1706181</v>
      </c>
      <c r="AM12" s="211">
        <v>1712986</v>
      </c>
      <c r="AN12" s="211">
        <v>1745074</v>
      </c>
      <c r="AO12" s="213">
        <v>1665054</v>
      </c>
      <c r="AP12" s="213">
        <v>1625571</v>
      </c>
      <c r="AQ12" s="213">
        <v>1650189</v>
      </c>
    </row>
    <row r="13" spans="1:43" ht="15.75" thickBot="1">
      <c r="A13" s="196"/>
      <c r="B13" s="219" t="s">
        <v>200</v>
      </c>
      <c r="C13" s="198">
        <f t="shared" ref="C13" si="18">SUM(C14:C20)</f>
        <v>1195998</v>
      </c>
      <c r="D13" s="198">
        <f t="shared" ref="D13" si="19">SUM(D14:D20)</f>
        <v>1035765</v>
      </c>
      <c r="E13" s="200">
        <f t="shared" ref="E13" si="20">SUM(E14:E20)</f>
        <v>1174147</v>
      </c>
      <c r="F13" s="198">
        <f t="shared" ref="F13" si="21">SUM(F14:F20)</f>
        <v>1982085</v>
      </c>
      <c r="G13" s="198">
        <f t="shared" ref="G13" si="22">SUM(G14:G20)</f>
        <v>1721331</v>
      </c>
      <c r="H13" s="198">
        <f t="shared" ref="H13" si="23">SUM(H14:H20)</f>
        <v>1939664</v>
      </c>
      <c r="I13" s="200">
        <f t="shared" ref="I13" si="24">SUM(I14:I20)</f>
        <v>1483130</v>
      </c>
      <c r="J13" s="198">
        <f t="shared" ref="J13" si="25">SUM(J14:J20)</f>
        <v>872357</v>
      </c>
      <c r="K13" s="198">
        <f t="shared" ref="K13" si="26">SUM(K14:K20)</f>
        <v>754258</v>
      </c>
      <c r="L13" s="198">
        <f t="shared" ref="L13" si="27">SUM(L14:L20)</f>
        <v>992432</v>
      </c>
      <c r="M13" s="200">
        <f t="shared" ref="M13" si="28">SUM(M14:M20)</f>
        <v>978638</v>
      </c>
      <c r="N13" s="198">
        <f t="shared" ref="N13" si="29">SUM(N14:N20)</f>
        <v>686211</v>
      </c>
      <c r="O13" s="198">
        <f t="shared" ref="O13" si="30">SUM(O14:O20)</f>
        <v>1060951</v>
      </c>
      <c r="P13" s="198">
        <f t="shared" ref="P13" si="31">SUM(P14:P20)</f>
        <v>1105626</v>
      </c>
      <c r="Q13" s="200">
        <v>929758</v>
      </c>
      <c r="R13" s="198">
        <f t="shared" ref="R13:S13" si="32">SUM(R14:R20)</f>
        <v>534350</v>
      </c>
      <c r="S13" s="198">
        <f t="shared" si="32"/>
        <v>504713</v>
      </c>
      <c r="T13" s="198">
        <f t="shared" ref="T13" si="33">SUM(T14:T20)</f>
        <v>448764</v>
      </c>
      <c r="U13" s="200">
        <f t="shared" ref="U13" si="34">SUM(U14:U20)</f>
        <v>584633</v>
      </c>
      <c r="V13" s="198">
        <f t="shared" ref="V13" si="35">SUM(V14:V20)</f>
        <v>662090</v>
      </c>
      <c r="W13" s="198">
        <f t="shared" ref="W13" si="36">SUM(W14:W20)</f>
        <v>711135</v>
      </c>
      <c r="X13" s="198">
        <f t="shared" ref="X13" si="37">SUM(X14:X20)</f>
        <v>581649</v>
      </c>
      <c r="Y13" s="200">
        <f t="shared" ref="Y13" si="38">SUM(Y14:Y20)</f>
        <v>610877</v>
      </c>
      <c r="Z13" s="198">
        <f t="shared" ref="Z13" si="39">SUM(Z14:Z20)</f>
        <v>654490</v>
      </c>
      <c r="AA13" s="198">
        <f t="shared" ref="AA13:AE13" si="40">SUM(AA14:AA20)</f>
        <v>732074</v>
      </c>
      <c r="AB13" s="198">
        <f t="shared" si="40"/>
        <v>841739</v>
      </c>
      <c r="AC13" s="200">
        <f t="shared" si="40"/>
        <v>824241</v>
      </c>
      <c r="AD13" s="198">
        <f t="shared" si="40"/>
        <v>929837</v>
      </c>
      <c r="AE13" s="198">
        <f t="shared" si="40"/>
        <v>905583</v>
      </c>
      <c r="AF13" s="198">
        <v>1019144</v>
      </c>
      <c r="AG13" s="200">
        <v>390326</v>
      </c>
      <c r="AH13" s="198">
        <v>422579</v>
      </c>
      <c r="AI13" s="198">
        <v>513393</v>
      </c>
      <c r="AJ13" s="198">
        <v>427793</v>
      </c>
      <c r="AK13" s="200">
        <v>423603</v>
      </c>
      <c r="AL13" s="198">
        <v>434328</v>
      </c>
      <c r="AM13" s="198">
        <v>433923</v>
      </c>
      <c r="AN13" s="198">
        <v>432549</v>
      </c>
      <c r="AO13" s="200">
        <v>362629</v>
      </c>
      <c r="AP13" s="200">
        <v>294485</v>
      </c>
      <c r="AQ13" s="200">
        <v>269284</v>
      </c>
    </row>
    <row r="14" spans="1:43" ht="15" thickTop="1">
      <c r="B14" s="220" t="s">
        <v>201</v>
      </c>
      <c r="C14" s="193">
        <v>622105</v>
      </c>
      <c r="D14" s="193">
        <v>331051</v>
      </c>
      <c r="E14" s="195">
        <v>486894</v>
      </c>
      <c r="F14" s="193">
        <v>800562</v>
      </c>
      <c r="G14" s="193">
        <v>989257</v>
      </c>
      <c r="H14" s="193">
        <v>1292247</v>
      </c>
      <c r="I14" s="195">
        <v>779328</v>
      </c>
      <c r="J14" s="193">
        <v>348953</v>
      </c>
      <c r="K14" s="193">
        <v>292400</v>
      </c>
      <c r="L14" s="193">
        <v>497690</v>
      </c>
      <c r="M14" s="195">
        <v>62709</v>
      </c>
      <c r="N14" s="193">
        <v>87840</v>
      </c>
      <c r="O14" s="193">
        <v>219529</v>
      </c>
      <c r="P14" s="193">
        <v>166461</v>
      </c>
      <c r="Q14" s="195">
        <v>156135</v>
      </c>
      <c r="R14" s="193">
        <v>70700</v>
      </c>
      <c r="S14" s="193">
        <v>105585</v>
      </c>
      <c r="T14" s="193">
        <v>181595</v>
      </c>
      <c r="U14" s="195">
        <v>371734</v>
      </c>
      <c r="V14" s="193">
        <v>404528</v>
      </c>
      <c r="W14" s="193">
        <v>472581</v>
      </c>
      <c r="X14" s="193">
        <v>333894</v>
      </c>
      <c r="Y14" s="195">
        <v>286994</v>
      </c>
      <c r="Z14" s="193">
        <v>158655</v>
      </c>
      <c r="AA14" s="193">
        <v>231026</v>
      </c>
      <c r="AB14" s="193">
        <v>225673</v>
      </c>
      <c r="AC14" s="195">
        <v>162779</v>
      </c>
      <c r="AD14" s="193">
        <v>236864</v>
      </c>
      <c r="AE14" s="193">
        <v>89419</v>
      </c>
      <c r="AF14" s="193">
        <v>199807</v>
      </c>
      <c r="AG14" s="195">
        <v>49474</v>
      </c>
      <c r="AH14" s="193">
        <v>41105</v>
      </c>
      <c r="AI14" s="193">
        <v>249869</v>
      </c>
      <c r="AJ14" s="193">
        <v>106938</v>
      </c>
      <c r="AK14" s="195">
        <v>197832</v>
      </c>
      <c r="AL14" s="193">
        <v>63655</v>
      </c>
      <c r="AM14" s="193">
        <v>73095</v>
      </c>
      <c r="AN14" s="193">
        <v>146228</v>
      </c>
      <c r="AO14" s="195">
        <v>126949</v>
      </c>
      <c r="AP14" s="195">
        <v>37755</v>
      </c>
      <c r="AQ14" s="195">
        <v>49943</v>
      </c>
    </row>
    <row r="15" spans="1:43">
      <c r="B15" s="221" t="s">
        <v>202</v>
      </c>
      <c r="C15" s="193">
        <v>194043</v>
      </c>
      <c r="D15" s="193">
        <v>299640</v>
      </c>
      <c r="E15" s="195">
        <v>353435</v>
      </c>
      <c r="F15" s="193">
        <v>811658</v>
      </c>
      <c r="G15" s="193">
        <v>365316</v>
      </c>
      <c r="H15" s="193">
        <v>304955</v>
      </c>
      <c r="I15" s="195">
        <v>334142</v>
      </c>
      <c r="J15" s="193">
        <v>196072</v>
      </c>
      <c r="K15" s="193">
        <v>144149</v>
      </c>
      <c r="L15" s="193">
        <v>151724</v>
      </c>
      <c r="M15" s="195">
        <v>569306</v>
      </c>
      <c r="N15" s="193">
        <v>196553</v>
      </c>
      <c r="O15" s="193">
        <v>449412</v>
      </c>
      <c r="P15" s="193">
        <v>503201</v>
      </c>
      <c r="Q15" s="195">
        <v>402732</v>
      </c>
      <c r="R15" s="193">
        <v>170012</v>
      </c>
      <c r="S15" s="193">
        <v>92253</v>
      </c>
      <c r="T15" s="193">
        <v>76584</v>
      </c>
      <c r="U15" s="195">
        <v>52646</v>
      </c>
      <c r="V15" s="193">
        <v>36752</v>
      </c>
      <c r="W15" s="193">
        <v>14787</v>
      </c>
      <c r="X15" s="193">
        <v>38576</v>
      </c>
      <c r="Y15" s="195">
        <v>129581</v>
      </c>
      <c r="Z15" s="193">
        <v>294428</v>
      </c>
      <c r="AA15" s="193">
        <v>249996</v>
      </c>
      <c r="AB15" s="193">
        <v>408424</v>
      </c>
      <c r="AC15" s="195">
        <v>485622</v>
      </c>
      <c r="AD15" s="193">
        <v>489485</v>
      </c>
      <c r="AE15" s="193">
        <v>599795</v>
      </c>
      <c r="AF15" s="193">
        <v>634470</v>
      </c>
      <c r="AG15" s="195">
        <v>181454</v>
      </c>
      <c r="AH15" s="193">
        <v>221704</v>
      </c>
      <c r="AI15" s="193">
        <v>110796</v>
      </c>
      <c r="AJ15" s="193">
        <v>165455</v>
      </c>
      <c r="AK15" s="195">
        <v>89261</v>
      </c>
      <c r="AL15" s="193">
        <v>221513</v>
      </c>
      <c r="AM15" s="193">
        <v>219342</v>
      </c>
      <c r="AN15" s="193">
        <v>142929</v>
      </c>
      <c r="AO15" s="195">
        <v>95492</v>
      </c>
      <c r="AP15" s="195">
        <v>128444</v>
      </c>
      <c r="AQ15" s="195">
        <v>72449</v>
      </c>
    </row>
    <row r="16" spans="1:43">
      <c r="B16" s="221" t="s">
        <v>203</v>
      </c>
      <c r="C16" s="193">
        <v>208723</v>
      </c>
      <c r="D16" s="193">
        <v>219243</v>
      </c>
      <c r="E16" s="195">
        <v>219963</v>
      </c>
      <c r="F16" s="193">
        <v>193419</v>
      </c>
      <c r="G16" s="193">
        <v>201653</v>
      </c>
      <c r="H16" s="193">
        <v>172560</v>
      </c>
      <c r="I16" s="195">
        <v>257838</v>
      </c>
      <c r="J16" s="193">
        <v>183476</v>
      </c>
      <c r="K16" s="193">
        <v>206518</v>
      </c>
      <c r="L16" s="193">
        <v>226204</v>
      </c>
      <c r="M16" s="195">
        <v>235191</v>
      </c>
      <c r="N16" s="193">
        <v>241207</v>
      </c>
      <c r="O16" s="193">
        <v>197369</v>
      </c>
      <c r="P16" s="193">
        <v>235438</v>
      </c>
      <c r="Q16" s="195">
        <v>220848</v>
      </c>
      <c r="R16" s="193">
        <v>155853</v>
      </c>
      <c r="S16" s="193">
        <v>133986</v>
      </c>
      <c r="T16" s="193">
        <v>112583</v>
      </c>
      <c r="U16" s="195">
        <v>105132</v>
      </c>
      <c r="V16" s="193">
        <v>127445</v>
      </c>
      <c r="W16" s="193">
        <v>121462</v>
      </c>
      <c r="X16" s="193">
        <v>139533</v>
      </c>
      <c r="Y16" s="195">
        <v>130696</v>
      </c>
      <c r="Z16" s="193">
        <v>116153</v>
      </c>
      <c r="AA16" s="193">
        <v>168945</v>
      </c>
      <c r="AB16" s="193">
        <v>128994</v>
      </c>
      <c r="AC16" s="195">
        <v>105269</v>
      </c>
      <c r="AD16" s="193">
        <v>122663</v>
      </c>
      <c r="AE16" s="193">
        <v>137636</v>
      </c>
      <c r="AF16" s="193">
        <v>127493</v>
      </c>
      <c r="AG16" s="195">
        <v>102960</v>
      </c>
      <c r="AH16" s="193">
        <v>110903</v>
      </c>
      <c r="AI16" s="193">
        <v>102891</v>
      </c>
      <c r="AJ16" s="193">
        <v>109611</v>
      </c>
      <c r="AK16" s="195">
        <v>88688</v>
      </c>
      <c r="AL16" s="193">
        <v>94136</v>
      </c>
      <c r="AM16" s="193">
        <v>94517</v>
      </c>
      <c r="AN16" s="193">
        <v>96328</v>
      </c>
      <c r="AO16" s="195">
        <v>91754</v>
      </c>
      <c r="AP16" s="195">
        <v>77614</v>
      </c>
      <c r="AQ16" s="195">
        <v>78732</v>
      </c>
    </row>
    <row r="17" spans="1:43">
      <c r="B17" s="220" t="s">
        <v>204</v>
      </c>
      <c r="C17" s="193">
        <v>48510</v>
      </c>
      <c r="D17" s="193">
        <v>56411</v>
      </c>
      <c r="E17" s="195">
        <v>15759</v>
      </c>
      <c r="F17" s="193">
        <v>28059</v>
      </c>
      <c r="G17" s="193">
        <v>26283</v>
      </c>
      <c r="H17" s="193">
        <v>51336</v>
      </c>
      <c r="I17" s="195">
        <v>22818</v>
      </c>
      <c r="J17" s="193">
        <v>36754</v>
      </c>
      <c r="K17" s="193">
        <v>14808</v>
      </c>
      <c r="L17" s="193">
        <v>23422</v>
      </c>
      <c r="M17" s="195">
        <v>38054</v>
      </c>
      <c r="N17" s="193">
        <v>84771</v>
      </c>
      <c r="O17" s="193">
        <v>97648</v>
      </c>
      <c r="P17" s="193">
        <v>106589</v>
      </c>
      <c r="Q17" s="195">
        <v>55676</v>
      </c>
      <c r="R17" s="193">
        <v>85201</v>
      </c>
      <c r="S17" s="193">
        <v>98814</v>
      </c>
      <c r="T17" s="193">
        <v>7357</v>
      </c>
      <c r="U17" s="195">
        <v>8938</v>
      </c>
      <c r="V17" s="193">
        <v>11596</v>
      </c>
      <c r="W17" s="193">
        <v>12384</v>
      </c>
      <c r="X17" s="193">
        <v>11463</v>
      </c>
      <c r="Y17" s="195">
        <v>19005</v>
      </c>
      <c r="Z17" s="193">
        <v>16037</v>
      </c>
      <c r="AA17" s="193">
        <v>15203</v>
      </c>
      <c r="AB17" s="193">
        <v>12270</v>
      </c>
      <c r="AC17" s="195">
        <v>14031</v>
      </c>
      <c r="AD17" s="193">
        <v>23672</v>
      </c>
      <c r="AE17" s="193">
        <v>26402</v>
      </c>
      <c r="AF17" s="193">
        <v>23997</v>
      </c>
      <c r="AG17" s="195">
        <v>23371</v>
      </c>
      <c r="AH17" s="193">
        <v>12807</v>
      </c>
      <c r="AI17" s="193">
        <v>11665</v>
      </c>
      <c r="AJ17" s="193">
        <v>9963</v>
      </c>
      <c r="AK17" s="195">
        <v>15481</v>
      </c>
      <c r="AL17" s="193">
        <v>14944</v>
      </c>
      <c r="AM17" s="193">
        <v>14400</v>
      </c>
      <c r="AN17" s="193">
        <v>11906</v>
      </c>
      <c r="AO17" s="195">
        <v>19310</v>
      </c>
      <c r="AP17" s="195">
        <v>14158</v>
      </c>
      <c r="AQ17" s="195">
        <v>36461</v>
      </c>
    </row>
    <row r="18" spans="1:43">
      <c r="B18" s="221" t="s">
        <v>205</v>
      </c>
      <c r="C18" s="193">
        <v>61403</v>
      </c>
      <c r="D18" s="193">
        <v>66112</v>
      </c>
      <c r="E18" s="195">
        <v>57499</v>
      </c>
      <c r="F18" s="193">
        <v>72344</v>
      </c>
      <c r="G18" s="193">
        <v>62498</v>
      </c>
      <c r="H18" s="193">
        <v>66469</v>
      </c>
      <c r="I18" s="195">
        <v>61156</v>
      </c>
      <c r="J18" s="193">
        <v>72319</v>
      </c>
      <c r="K18" s="193">
        <v>59260</v>
      </c>
      <c r="L18" s="193">
        <v>71151</v>
      </c>
      <c r="M18" s="195">
        <v>59348</v>
      </c>
      <c r="N18" s="193">
        <v>61637</v>
      </c>
      <c r="O18" s="193">
        <v>76764</v>
      </c>
      <c r="P18" s="193">
        <v>70055</v>
      </c>
      <c r="Q18" s="195">
        <v>79609</v>
      </c>
      <c r="R18" s="193">
        <v>39599</v>
      </c>
      <c r="S18" s="193">
        <v>57669</v>
      </c>
      <c r="T18" s="193">
        <v>54975</v>
      </c>
      <c r="U18" s="195">
        <v>39446</v>
      </c>
      <c r="V18" s="193">
        <v>48639</v>
      </c>
      <c r="W18" s="193">
        <v>60458</v>
      </c>
      <c r="X18" s="193">
        <v>30099</v>
      </c>
      <c r="Y18" s="195">
        <v>37935</v>
      </c>
      <c r="Z18" s="193">
        <v>48896</v>
      </c>
      <c r="AA18" s="193">
        <v>46688</v>
      </c>
      <c r="AB18" s="193">
        <v>39445</v>
      </c>
      <c r="AC18" s="195">
        <v>36999</v>
      </c>
      <c r="AD18" s="193">
        <v>39893</v>
      </c>
      <c r="AE18" s="193">
        <v>37871</v>
      </c>
      <c r="AF18" s="193">
        <v>24036</v>
      </c>
      <c r="AG18" s="195">
        <v>31375</v>
      </c>
      <c r="AH18" s="193">
        <v>32721</v>
      </c>
      <c r="AI18" s="193">
        <v>33174</v>
      </c>
      <c r="AJ18" s="193">
        <v>30760</v>
      </c>
      <c r="AK18" s="195">
        <v>30184</v>
      </c>
      <c r="AL18" s="193">
        <v>35720</v>
      </c>
      <c r="AM18" s="193">
        <v>28075</v>
      </c>
      <c r="AN18" s="193">
        <v>29638</v>
      </c>
      <c r="AO18" s="195">
        <v>26644</v>
      </c>
      <c r="AP18" s="195">
        <v>27405</v>
      </c>
      <c r="AQ18" s="195">
        <v>21703</v>
      </c>
    </row>
    <row r="19" spans="1:43">
      <c r="B19" s="221" t="s">
        <v>206</v>
      </c>
      <c r="C19" s="193">
        <v>22349</v>
      </c>
      <c r="D19" s="193">
        <v>48256</v>
      </c>
      <c r="E19" s="195">
        <v>27390</v>
      </c>
      <c r="F19" s="193">
        <v>33522</v>
      </c>
      <c r="G19" s="193">
        <v>36681</v>
      </c>
      <c r="H19" s="193">
        <v>16017</v>
      </c>
      <c r="I19" s="195">
        <v>2245</v>
      </c>
      <c r="J19" s="193">
        <v>4654</v>
      </c>
      <c r="K19" s="193">
        <v>7868</v>
      </c>
      <c r="L19" s="193">
        <v>9737</v>
      </c>
      <c r="M19" s="195">
        <v>512</v>
      </c>
      <c r="N19" s="193">
        <v>3826</v>
      </c>
      <c r="O19" s="193">
        <v>7610</v>
      </c>
      <c r="P19" s="193">
        <v>9585</v>
      </c>
      <c r="Q19" s="195">
        <v>1192</v>
      </c>
      <c r="R19" s="193">
        <v>4319</v>
      </c>
      <c r="S19" s="193">
        <v>6544</v>
      </c>
      <c r="T19" s="193">
        <v>8466</v>
      </c>
      <c r="U19" s="195">
        <v>875</v>
      </c>
      <c r="V19" s="193">
        <v>3146</v>
      </c>
      <c r="W19" s="193">
        <v>4654</v>
      </c>
      <c r="X19" s="193">
        <v>6464</v>
      </c>
      <c r="Y19" s="195">
        <v>1067</v>
      </c>
      <c r="Z19" s="193">
        <v>3879</v>
      </c>
      <c r="AA19" s="193">
        <v>4549</v>
      </c>
      <c r="AB19" s="193">
        <v>5408</v>
      </c>
      <c r="AC19" s="195">
        <v>763</v>
      </c>
      <c r="AD19" s="193">
        <v>2039</v>
      </c>
      <c r="AE19" s="193">
        <v>3985</v>
      </c>
      <c r="AF19" s="193">
        <v>3754</v>
      </c>
      <c r="AG19" s="195">
        <v>627</v>
      </c>
      <c r="AH19" s="193">
        <v>1641</v>
      </c>
      <c r="AI19" s="193">
        <v>3038</v>
      </c>
      <c r="AJ19" s="193">
        <v>3970</v>
      </c>
      <c r="AK19" s="195">
        <v>1437</v>
      </c>
      <c r="AL19" s="193">
        <v>2796</v>
      </c>
      <c r="AM19" s="193">
        <v>2850</v>
      </c>
      <c r="AN19" s="193">
        <v>3323</v>
      </c>
      <c r="AO19" s="195">
        <v>1398</v>
      </c>
      <c r="AP19" s="195">
        <v>1991</v>
      </c>
      <c r="AQ19" s="195">
        <v>2556</v>
      </c>
    </row>
    <row r="20" spans="1:43">
      <c r="B20" s="221" t="s">
        <v>207</v>
      </c>
      <c r="C20" s="193">
        <v>38865</v>
      </c>
      <c r="D20" s="193">
        <v>15052</v>
      </c>
      <c r="E20" s="195">
        <v>13207</v>
      </c>
      <c r="F20" s="193">
        <v>42521</v>
      </c>
      <c r="G20" s="193">
        <v>39643</v>
      </c>
      <c r="H20" s="193">
        <v>36080</v>
      </c>
      <c r="I20" s="195">
        <v>25603</v>
      </c>
      <c r="J20" s="193">
        <v>30129</v>
      </c>
      <c r="K20" s="193">
        <v>29255</v>
      </c>
      <c r="L20" s="193">
        <v>12504</v>
      </c>
      <c r="M20" s="195">
        <v>13518</v>
      </c>
      <c r="N20" s="193">
        <v>10377</v>
      </c>
      <c r="O20" s="193">
        <v>12619</v>
      </c>
      <c r="P20" s="193">
        <v>14297</v>
      </c>
      <c r="Q20" s="195">
        <v>13566</v>
      </c>
      <c r="R20" s="193">
        <v>8666</v>
      </c>
      <c r="S20" s="193">
        <v>9862</v>
      </c>
      <c r="T20" s="193">
        <v>7204</v>
      </c>
      <c r="U20" s="195">
        <v>5862</v>
      </c>
      <c r="V20" s="193">
        <v>29984</v>
      </c>
      <c r="W20" s="193">
        <v>24809</v>
      </c>
      <c r="X20" s="193">
        <v>21620</v>
      </c>
      <c r="Y20" s="195">
        <v>5599</v>
      </c>
      <c r="Z20" s="193">
        <v>16442</v>
      </c>
      <c r="AA20" s="193">
        <v>15667</v>
      </c>
      <c r="AB20" s="193">
        <v>21525</v>
      </c>
      <c r="AC20" s="195">
        <v>18778</v>
      </c>
      <c r="AD20" s="193">
        <v>15221</v>
      </c>
      <c r="AE20" s="193">
        <v>10475</v>
      </c>
      <c r="AF20" s="193">
        <v>5587</v>
      </c>
      <c r="AG20" s="195">
        <v>1065</v>
      </c>
      <c r="AH20" s="193">
        <v>1698</v>
      </c>
      <c r="AI20" s="193">
        <v>1960</v>
      </c>
      <c r="AJ20" s="193">
        <v>1096</v>
      </c>
      <c r="AK20" s="195">
        <v>720</v>
      </c>
      <c r="AL20" s="193">
        <v>1564</v>
      </c>
      <c r="AM20" s="193">
        <v>1644</v>
      </c>
      <c r="AN20" s="193">
        <v>2197</v>
      </c>
      <c r="AO20" s="195">
        <v>1082</v>
      </c>
      <c r="AP20" s="195">
        <v>7118</v>
      </c>
      <c r="AQ20" s="195">
        <v>7440</v>
      </c>
    </row>
    <row r="21" spans="1:43" ht="15">
      <c r="A21" s="196"/>
      <c r="B21" s="222" t="s">
        <v>208</v>
      </c>
      <c r="C21" s="223">
        <f t="shared" ref="C21" si="41">C22+C32+C33+C34</f>
        <v>6111709</v>
      </c>
      <c r="D21" s="223">
        <f t="shared" ref="D21" si="42">D22+D32+D33+D34</f>
        <v>5969811</v>
      </c>
      <c r="E21" s="223">
        <f t="shared" ref="E21" si="43">E22+E32+E33+E34</f>
        <v>5612792</v>
      </c>
      <c r="F21" s="223">
        <f t="shared" ref="F21" si="44">F22+F32+F33+F34</f>
        <v>5221438</v>
      </c>
      <c r="G21" s="223">
        <f t="shared" ref="G21" si="45">G22+G32+G33+G34</f>
        <v>5021045</v>
      </c>
      <c r="H21" s="223">
        <f t="shared" ref="H21" si="46">H22+H32+H33+H34</f>
        <v>4836259</v>
      </c>
      <c r="I21" s="224">
        <f t="shared" ref="I21" si="47">I22+I32+I33+I34</f>
        <v>4639525</v>
      </c>
      <c r="J21" s="223">
        <f t="shared" ref="J21" si="48">J22+J32+J33+J34</f>
        <v>4906289</v>
      </c>
      <c r="K21" s="223">
        <f t="shared" ref="K21" si="49">K22+K32+K33+K34</f>
        <v>4753411</v>
      </c>
      <c r="L21" s="223">
        <f t="shared" ref="L21" si="50">L22+L32+L33+L34</f>
        <v>4669435</v>
      </c>
      <c r="M21" s="224">
        <f t="shared" ref="M21" si="51">M22+M32+M33+M34</f>
        <v>4581962</v>
      </c>
      <c r="N21" s="223">
        <f t="shared" ref="N21" si="52">N22+N32+N33+N34</f>
        <v>4637750</v>
      </c>
      <c r="O21" s="223">
        <f t="shared" ref="O21" si="53">O22+O32+O33+O34</f>
        <v>4525330</v>
      </c>
      <c r="P21" s="223">
        <f t="shared" ref="P21" si="54">P22+P32+P33+P34</f>
        <v>4100696</v>
      </c>
      <c r="Q21" s="224">
        <v>4049548</v>
      </c>
      <c r="R21" s="223">
        <f>R22+R32+R33+R34</f>
        <v>3653715</v>
      </c>
      <c r="S21" s="223">
        <f>S22+S32+S33+S34</f>
        <v>2845786</v>
      </c>
      <c r="T21" s="223">
        <f>T22+T32+T33+T34</f>
        <v>2729931</v>
      </c>
      <c r="U21" s="224">
        <f>U22+U32+U33+U34</f>
        <v>2419160</v>
      </c>
      <c r="V21" s="223">
        <f t="shared" ref="V21:W21" si="55">V22+V32+V33+V34</f>
        <v>2156578</v>
      </c>
      <c r="W21" s="223">
        <f t="shared" si="55"/>
        <v>1985481</v>
      </c>
      <c r="X21" s="223">
        <f t="shared" ref="X21" si="56">X22+X32+X33+X34</f>
        <v>1983819</v>
      </c>
      <c r="Y21" s="224">
        <f t="shared" ref="Y21" si="57">Y22+Y32+Y33+Y34</f>
        <v>2017997</v>
      </c>
      <c r="Z21" s="223">
        <f t="shared" ref="Z21" si="58">Z22+Z32+Z33+Z34</f>
        <v>1827128</v>
      </c>
      <c r="AA21" s="223">
        <f t="shared" ref="AA21:AE21" si="59">AA22+AA32+AA33+AA34</f>
        <v>1876165</v>
      </c>
      <c r="AB21" s="223">
        <f t="shared" si="59"/>
        <v>1904125</v>
      </c>
      <c r="AC21" s="224">
        <f t="shared" si="59"/>
        <v>1927181</v>
      </c>
      <c r="AD21" s="223">
        <f t="shared" si="59"/>
        <v>1773291</v>
      </c>
      <c r="AE21" s="223">
        <f t="shared" si="59"/>
        <v>1762053</v>
      </c>
      <c r="AF21" s="223">
        <v>1832565</v>
      </c>
      <c r="AG21" s="224">
        <v>1815897</v>
      </c>
      <c r="AH21" s="223">
        <v>1862356</v>
      </c>
      <c r="AI21" s="223">
        <v>1844146</v>
      </c>
      <c r="AJ21" s="223">
        <v>1839014</v>
      </c>
      <c r="AK21" s="224">
        <v>1740518</v>
      </c>
      <c r="AL21" s="223">
        <v>1271853</v>
      </c>
      <c r="AM21" s="223">
        <v>1279063</v>
      </c>
      <c r="AN21" s="223">
        <v>1312525</v>
      </c>
      <c r="AO21" s="224">
        <v>1302425</v>
      </c>
      <c r="AP21" s="224">
        <v>1331086</v>
      </c>
      <c r="AQ21" s="224">
        <v>1380905</v>
      </c>
    </row>
    <row r="22" spans="1:43" ht="15.75" thickBot="1">
      <c r="A22" s="196"/>
      <c r="B22" s="225" t="s">
        <v>209</v>
      </c>
      <c r="C22" s="198">
        <f t="shared" ref="C22" si="60">SUM(C23:C31)</f>
        <v>360932</v>
      </c>
      <c r="D22" s="198">
        <f t="shared" ref="D22" si="61">SUM(D23:D31)</f>
        <v>358708</v>
      </c>
      <c r="E22" s="198">
        <f t="shared" ref="E22" si="62">SUM(E23:E31)</f>
        <v>329994</v>
      </c>
      <c r="F22" s="198">
        <f t="shared" ref="F22" si="63">SUM(F23:F31)</f>
        <v>297775</v>
      </c>
      <c r="G22" s="198">
        <f t="shared" ref="G22" si="64">SUM(G23:G31)</f>
        <v>297039</v>
      </c>
      <c r="H22" s="198">
        <f t="shared" ref="H22" si="65">SUM(H23:H31)</f>
        <v>274369</v>
      </c>
      <c r="I22" s="200">
        <f t="shared" ref="I22" si="66">SUM(I23:I31)</f>
        <v>267085</v>
      </c>
      <c r="J22" s="198">
        <f t="shared" ref="J22" si="67">SUM(J23:J31)</f>
        <v>330078</v>
      </c>
      <c r="K22" s="198">
        <f t="shared" ref="K22" si="68">SUM(K23:K31)</f>
        <v>319421</v>
      </c>
      <c r="L22" s="198">
        <f t="shared" ref="L22" si="69">SUM(L23:L31)</f>
        <v>328620</v>
      </c>
      <c r="M22" s="200">
        <f t="shared" ref="M22" si="70">SUM(M23:M31)</f>
        <v>333378</v>
      </c>
      <c r="N22" s="198">
        <f t="shared" ref="N22" si="71">SUM(N23:N31)</f>
        <v>379929</v>
      </c>
      <c r="O22" s="198">
        <f t="shared" ref="O22" si="72">SUM(O23:O31)</f>
        <v>360440</v>
      </c>
      <c r="P22" s="198">
        <f t="shared" ref="P22" si="73">SUM(P23:P31)</f>
        <v>333127</v>
      </c>
      <c r="Q22" s="200">
        <v>468951</v>
      </c>
      <c r="R22" s="198">
        <f>SUM(R23:R31)</f>
        <v>432211</v>
      </c>
      <c r="S22" s="198">
        <f>SUM(S23:S31)</f>
        <v>339830</v>
      </c>
      <c r="T22" s="198">
        <f>SUM(T23:T31)</f>
        <v>363710</v>
      </c>
      <c r="U22" s="200">
        <f>SUM(U23:U31)</f>
        <v>335065</v>
      </c>
      <c r="V22" s="198">
        <f>SUM(V23:V31)</f>
        <v>334249</v>
      </c>
      <c r="W22" s="198">
        <f t="shared" ref="W22" si="74">SUM(W23:W28)</f>
        <v>315115</v>
      </c>
      <c r="X22" s="198">
        <f t="shared" ref="X22" si="75">SUM(X23:X28)</f>
        <v>281475</v>
      </c>
      <c r="Y22" s="200">
        <f t="shared" ref="Y22" si="76">SUM(Y23:Y28)</f>
        <v>232963</v>
      </c>
      <c r="Z22" s="198">
        <f t="shared" ref="Z22" si="77">SUM(Z23:Z28)</f>
        <v>238456</v>
      </c>
      <c r="AA22" s="198">
        <f t="shared" ref="AA22:AE22" si="78">SUM(AA23:AA28)</f>
        <v>219570</v>
      </c>
      <c r="AB22" s="198">
        <f t="shared" si="78"/>
        <v>64465</v>
      </c>
      <c r="AC22" s="200">
        <f t="shared" si="78"/>
        <v>65209</v>
      </c>
      <c r="AD22" s="198">
        <f t="shared" si="78"/>
        <v>63839</v>
      </c>
      <c r="AE22" s="198">
        <f t="shared" si="78"/>
        <v>63461</v>
      </c>
      <c r="AF22" s="198">
        <v>63367</v>
      </c>
      <c r="AG22" s="200">
        <v>63806</v>
      </c>
      <c r="AH22" s="198">
        <v>73493</v>
      </c>
      <c r="AI22" s="198">
        <v>71996</v>
      </c>
      <c r="AJ22" s="198">
        <v>70873</v>
      </c>
      <c r="AK22" s="200">
        <v>71027</v>
      </c>
      <c r="AL22" s="198">
        <v>70632</v>
      </c>
      <c r="AM22" s="198">
        <v>68533</v>
      </c>
      <c r="AN22" s="198">
        <v>99117</v>
      </c>
      <c r="AO22" s="200">
        <v>95344</v>
      </c>
      <c r="AP22" s="200">
        <v>67510</v>
      </c>
      <c r="AQ22" s="200">
        <v>100388</v>
      </c>
    </row>
    <row r="23" spans="1:43" ht="15" thickTop="1">
      <c r="B23" s="221" t="s">
        <v>202</v>
      </c>
      <c r="C23" s="203">
        <v>4078</v>
      </c>
      <c r="D23" s="203">
        <v>0</v>
      </c>
      <c r="E23" s="195">
        <v>0</v>
      </c>
      <c r="F23" s="203">
        <v>8458</v>
      </c>
      <c r="G23" s="203">
        <v>8469</v>
      </c>
      <c r="H23" s="203">
        <v>8390</v>
      </c>
      <c r="I23" s="195">
        <v>7872</v>
      </c>
      <c r="J23" s="203">
        <v>0</v>
      </c>
      <c r="K23" s="203">
        <v>0</v>
      </c>
      <c r="L23" s="203">
        <v>0</v>
      </c>
      <c r="M23" s="195">
        <v>0</v>
      </c>
      <c r="N23" s="203">
        <v>0</v>
      </c>
      <c r="O23" s="203"/>
      <c r="P23" s="203">
        <v>0</v>
      </c>
      <c r="Q23" s="205">
        <v>0</v>
      </c>
      <c r="R23" s="203">
        <v>0</v>
      </c>
      <c r="S23" s="203">
        <v>0</v>
      </c>
      <c r="T23" s="203" t="s">
        <v>112</v>
      </c>
      <c r="U23" s="205" t="s">
        <v>112</v>
      </c>
      <c r="V23" s="203" t="s">
        <v>112</v>
      </c>
      <c r="W23" s="203" t="s">
        <v>112</v>
      </c>
      <c r="X23" s="203" t="s">
        <v>112</v>
      </c>
      <c r="Y23" s="205">
        <v>0</v>
      </c>
      <c r="Z23" s="193"/>
      <c r="AA23" s="193">
        <v>0</v>
      </c>
      <c r="AB23" s="193">
        <v>0</v>
      </c>
      <c r="AC23" s="205">
        <v>0</v>
      </c>
      <c r="AD23" s="193">
        <v>0</v>
      </c>
      <c r="AE23" s="193">
        <v>0</v>
      </c>
      <c r="AF23" s="193">
        <v>0</v>
      </c>
      <c r="AG23" s="205">
        <v>0</v>
      </c>
      <c r="AH23" s="193">
        <v>0</v>
      </c>
      <c r="AI23" s="193">
        <v>0</v>
      </c>
      <c r="AJ23" s="193">
        <v>0</v>
      </c>
      <c r="AK23" s="205">
        <v>0</v>
      </c>
      <c r="AL23" s="193">
        <v>0</v>
      </c>
      <c r="AM23" s="193">
        <v>0</v>
      </c>
      <c r="AN23" s="193">
        <v>28678</v>
      </c>
      <c r="AO23" s="205">
        <v>27181</v>
      </c>
      <c r="AP23" s="205">
        <v>0</v>
      </c>
      <c r="AQ23" s="205">
        <v>38000</v>
      </c>
    </row>
    <row r="24" spans="1:43">
      <c r="B24" s="221" t="s">
        <v>335</v>
      </c>
      <c r="C24" s="193">
        <v>224277</v>
      </c>
      <c r="D24" s="193">
        <v>232624</v>
      </c>
      <c r="E24" s="195">
        <v>247356</v>
      </c>
      <c r="F24" s="193">
        <v>215362</v>
      </c>
      <c r="G24" s="193">
        <v>219743</v>
      </c>
      <c r="H24" s="193">
        <v>199574</v>
      </c>
      <c r="I24" s="195">
        <v>193628</v>
      </c>
      <c r="J24" s="193">
        <v>265995</v>
      </c>
      <c r="K24" s="193">
        <v>256626</v>
      </c>
      <c r="L24" s="193">
        <v>267109</v>
      </c>
      <c r="M24" s="195">
        <v>270998</v>
      </c>
      <c r="N24" s="193">
        <v>287462</v>
      </c>
      <c r="O24" s="193">
        <v>275896</v>
      </c>
      <c r="P24" s="193">
        <v>251323</v>
      </c>
      <c r="Q24" s="195">
        <v>284275</v>
      </c>
      <c r="R24" s="193">
        <v>263190</v>
      </c>
      <c r="S24" s="193">
        <v>240335</v>
      </c>
      <c r="T24" s="193">
        <v>265626</v>
      </c>
      <c r="U24" s="195">
        <v>242144</v>
      </c>
      <c r="V24" s="193">
        <v>253134</v>
      </c>
      <c r="W24" s="193">
        <v>242100</v>
      </c>
      <c r="X24" s="193">
        <v>209352</v>
      </c>
      <c r="Y24" s="195">
        <v>161226</v>
      </c>
      <c r="Z24" s="193">
        <v>165442</v>
      </c>
      <c r="AA24" s="193">
        <v>153800</v>
      </c>
      <c r="AB24" s="193">
        <v>0</v>
      </c>
      <c r="AC24" s="195">
        <v>0</v>
      </c>
      <c r="AD24" s="193">
        <v>0</v>
      </c>
      <c r="AE24" s="193">
        <v>0</v>
      </c>
      <c r="AF24" s="193">
        <v>0</v>
      </c>
      <c r="AG24" s="195">
        <v>0</v>
      </c>
      <c r="AH24" s="193">
        <v>0</v>
      </c>
      <c r="AI24" s="193">
        <v>0</v>
      </c>
      <c r="AJ24" s="193">
        <v>0</v>
      </c>
      <c r="AK24" s="195">
        <v>0</v>
      </c>
      <c r="AL24" s="193">
        <v>11</v>
      </c>
      <c r="AM24" s="193">
        <v>128</v>
      </c>
      <c r="AN24" s="193">
        <v>269</v>
      </c>
      <c r="AO24" s="195">
        <v>453</v>
      </c>
      <c r="AP24" s="195">
        <v>1699</v>
      </c>
      <c r="AQ24" s="195">
        <v>3307</v>
      </c>
    </row>
    <row r="25" spans="1:43">
      <c r="B25" s="220" t="s">
        <v>204</v>
      </c>
      <c r="C25" s="193">
        <v>62956</v>
      </c>
      <c r="D25" s="193">
        <v>59290</v>
      </c>
      <c r="E25" s="195">
        <v>18866</v>
      </c>
      <c r="F25" s="193">
        <v>13097</v>
      </c>
      <c r="G25" s="193">
        <v>10336</v>
      </c>
      <c r="H25" s="193">
        <v>8948</v>
      </c>
      <c r="I25" s="195">
        <v>9482</v>
      </c>
      <c r="J25" s="193">
        <v>8774</v>
      </c>
      <c r="K25" s="193">
        <v>7878</v>
      </c>
      <c r="L25" s="193">
        <v>7939</v>
      </c>
      <c r="M25" s="195">
        <v>8634</v>
      </c>
      <c r="N25" s="193">
        <v>8251</v>
      </c>
      <c r="O25" s="193">
        <v>7723</v>
      </c>
      <c r="P25" s="193">
        <v>7348</v>
      </c>
      <c r="Q25" s="195">
        <v>104729</v>
      </c>
      <c r="R25" s="193">
        <v>98229</v>
      </c>
      <c r="S25" s="193">
        <v>7974</v>
      </c>
      <c r="T25" s="193">
        <v>7689</v>
      </c>
      <c r="U25" s="195">
        <v>7867</v>
      </c>
      <c r="V25" s="193">
        <v>5454</v>
      </c>
      <c r="W25" s="193">
        <v>4755</v>
      </c>
      <c r="X25" s="193">
        <v>4091</v>
      </c>
      <c r="Y25" s="195">
        <v>4070</v>
      </c>
      <c r="Z25" s="193">
        <v>21874</v>
      </c>
      <c r="AA25" s="193">
        <v>3599</v>
      </c>
      <c r="AB25" s="193">
        <v>3495</v>
      </c>
      <c r="AC25" s="195">
        <v>3926</v>
      </c>
      <c r="AD25" s="193">
        <v>3592</v>
      </c>
      <c r="AE25" s="193">
        <v>3655</v>
      </c>
      <c r="AF25" s="193">
        <v>3978</v>
      </c>
      <c r="AG25" s="195">
        <v>4442</v>
      </c>
      <c r="AH25" s="193">
        <v>4423</v>
      </c>
      <c r="AI25" s="193">
        <v>4728</v>
      </c>
      <c r="AJ25" s="193">
        <v>4577</v>
      </c>
      <c r="AK25" s="195">
        <v>4795</v>
      </c>
      <c r="AL25" s="193">
        <v>4815</v>
      </c>
      <c r="AM25" s="193">
        <v>4432</v>
      </c>
      <c r="AN25" s="193">
        <v>4391</v>
      </c>
      <c r="AO25" s="195">
        <v>3440</v>
      </c>
      <c r="AP25" s="195">
        <v>3420</v>
      </c>
      <c r="AQ25" s="195">
        <v>2278</v>
      </c>
    </row>
    <row r="26" spans="1:43">
      <c r="B26" s="221" t="s">
        <v>205</v>
      </c>
      <c r="C26" s="193">
        <v>37504</v>
      </c>
      <c r="D26" s="193">
        <v>36550</v>
      </c>
      <c r="E26" s="195">
        <v>36044</v>
      </c>
      <c r="F26" s="193">
        <v>33471</v>
      </c>
      <c r="G26" s="193">
        <v>31511</v>
      </c>
      <c r="H26" s="193">
        <v>30866</v>
      </c>
      <c r="I26" s="195">
        <v>29916</v>
      </c>
      <c r="J26" s="193">
        <v>29542</v>
      </c>
      <c r="K26" s="193">
        <v>29103</v>
      </c>
      <c r="L26" s="193">
        <v>28240</v>
      </c>
      <c r="M26" s="195">
        <v>27639</v>
      </c>
      <c r="N26" s="193">
        <v>27715</v>
      </c>
      <c r="O26" s="193">
        <v>27046</v>
      </c>
      <c r="P26" s="193">
        <v>26185</v>
      </c>
      <c r="Q26" s="195">
        <v>25700</v>
      </c>
      <c r="R26" s="193">
        <v>24643</v>
      </c>
      <c r="S26" s="193">
        <v>22456</v>
      </c>
      <c r="T26" s="193">
        <v>22355</v>
      </c>
      <c r="U26" s="195">
        <v>22041</v>
      </c>
      <c r="V26" s="193">
        <v>21068</v>
      </c>
      <c r="W26" s="193">
        <v>20996</v>
      </c>
      <c r="X26" s="193">
        <v>20768</v>
      </c>
      <c r="Y26" s="195">
        <v>20403</v>
      </c>
      <c r="Z26" s="193">
        <v>0</v>
      </c>
      <c r="AA26" s="193">
        <v>21248</v>
      </c>
      <c r="AB26" s="193">
        <v>20047</v>
      </c>
      <c r="AC26" s="195">
        <v>19952</v>
      </c>
      <c r="AD26" s="193">
        <v>17864</v>
      </c>
      <c r="AE26" s="193">
        <v>17423</v>
      </c>
      <c r="AF26" s="193">
        <v>17006</v>
      </c>
      <c r="AG26" s="195">
        <v>16200</v>
      </c>
      <c r="AH26" s="193">
        <v>18503</v>
      </c>
      <c r="AI26" s="193">
        <v>17313</v>
      </c>
      <c r="AJ26" s="193">
        <v>17032</v>
      </c>
      <c r="AK26" s="195">
        <v>17751</v>
      </c>
      <c r="AL26" s="193">
        <v>17051</v>
      </c>
      <c r="AM26" s="193">
        <v>16132</v>
      </c>
      <c r="AN26" s="193">
        <v>15294</v>
      </c>
      <c r="AO26" s="195">
        <v>14783</v>
      </c>
      <c r="AP26" s="195">
        <v>12757</v>
      </c>
      <c r="AQ26" s="195">
        <v>12757</v>
      </c>
    </row>
    <row r="27" spans="1:43">
      <c r="B27" s="221" t="s">
        <v>210</v>
      </c>
      <c r="C27" s="193">
        <v>28773</v>
      </c>
      <c r="D27" s="193">
        <v>28281</v>
      </c>
      <c r="E27" s="195">
        <v>27728</v>
      </c>
      <c r="F27" s="193">
        <v>27387</v>
      </c>
      <c r="G27" s="193">
        <v>26980</v>
      </c>
      <c r="H27" s="193">
        <v>26591</v>
      </c>
      <c r="I27" s="195">
        <v>26187</v>
      </c>
      <c r="J27" s="193">
        <v>25767</v>
      </c>
      <c r="K27" s="193">
        <v>25814</v>
      </c>
      <c r="L27" s="193">
        <v>25332</v>
      </c>
      <c r="M27" s="195">
        <v>26107</v>
      </c>
      <c r="N27" s="193">
        <v>25594</v>
      </c>
      <c r="O27" s="193">
        <v>35058</v>
      </c>
      <c r="P27" s="193">
        <v>34444</v>
      </c>
      <c r="Q27" s="195">
        <v>34192</v>
      </c>
      <c r="R27" s="193">
        <v>27141</v>
      </c>
      <c r="S27" s="193">
        <v>53406</v>
      </c>
      <c r="T27" s="193">
        <v>53198</v>
      </c>
      <c r="U27" s="195">
        <v>53321</v>
      </c>
      <c r="V27" s="193">
        <v>47264</v>
      </c>
      <c r="W27" s="193">
        <v>47264</v>
      </c>
      <c r="X27" s="193">
        <v>47264</v>
      </c>
      <c r="Y27" s="195">
        <v>47264</v>
      </c>
      <c r="Z27" s="193">
        <v>47264</v>
      </c>
      <c r="AA27" s="193">
        <v>40923</v>
      </c>
      <c r="AB27" s="193">
        <v>40923</v>
      </c>
      <c r="AC27" s="195">
        <v>41331</v>
      </c>
      <c r="AD27" s="193">
        <v>42383</v>
      </c>
      <c r="AE27" s="193">
        <v>42383</v>
      </c>
      <c r="AF27" s="193">
        <v>42383</v>
      </c>
      <c r="AG27" s="195">
        <v>43164</v>
      </c>
      <c r="AH27" s="193">
        <v>50567</v>
      </c>
      <c r="AI27" s="193">
        <v>49955</v>
      </c>
      <c r="AJ27" s="193">
        <v>49264</v>
      </c>
      <c r="AK27" s="195">
        <v>48481</v>
      </c>
      <c r="AL27" s="193">
        <v>48755</v>
      </c>
      <c r="AM27" s="193">
        <v>47841</v>
      </c>
      <c r="AN27" s="193">
        <v>50485</v>
      </c>
      <c r="AO27" s="195">
        <v>49487</v>
      </c>
      <c r="AP27" s="195">
        <v>49634</v>
      </c>
      <c r="AQ27" s="195">
        <v>44046</v>
      </c>
    </row>
    <row r="28" spans="1:43">
      <c r="B28" s="221" t="s">
        <v>234</v>
      </c>
      <c r="C28" s="378">
        <v>0</v>
      </c>
      <c r="D28" s="378">
        <v>0</v>
      </c>
      <c r="E28" s="195">
        <v>0</v>
      </c>
      <c r="F28" s="378">
        <v>0</v>
      </c>
      <c r="G28" s="378">
        <v>0</v>
      </c>
      <c r="H28" s="378">
        <v>0</v>
      </c>
      <c r="I28" s="195">
        <v>0</v>
      </c>
      <c r="J28" s="378">
        <v>0</v>
      </c>
      <c r="K28" s="378">
        <v>0</v>
      </c>
      <c r="L28" s="378">
        <v>0</v>
      </c>
      <c r="M28" s="195">
        <v>0</v>
      </c>
      <c r="N28" s="378">
        <v>0</v>
      </c>
      <c r="O28" s="378">
        <v>0</v>
      </c>
      <c r="P28" s="378">
        <v>0</v>
      </c>
      <c r="Q28" s="379">
        <v>0</v>
      </c>
      <c r="R28" s="378">
        <v>0</v>
      </c>
      <c r="S28" s="378">
        <v>0</v>
      </c>
      <c r="T28" s="378">
        <v>0</v>
      </c>
      <c r="U28" s="379">
        <v>0</v>
      </c>
      <c r="V28" s="203" t="s">
        <v>112</v>
      </c>
      <c r="W28" s="203" t="s">
        <v>112</v>
      </c>
      <c r="X28" s="203" t="s">
        <v>112</v>
      </c>
      <c r="Y28" s="379">
        <v>0</v>
      </c>
      <c r="Z28" s="193">
        <v>3876</v>
      </c>
      <c r="AA28" s="193">
        <v>0</v>
      </c>
      <c r="AB28" s="193">
        <v>0</v>
      </c>
      <c r="AC28" s="379">
        <v>0</v>
      </c>
      <c r="AD28" s="193">
        <v>0</v>
      </c>
      <c r="AE28" s="193">
        <v>0</v>
      </c>
      <c r="AF28" s="193">
        <v>0</v>
      </c>
      <c r="AG28" s="379">
        <v>0</v>
      </c>
      <c r="AH28" s="193">
        <v>0</v>
      </c>
      <c r="AI28" s="193">
        <v>0</v>
      </c>
      <c r="AJ28" s="193">
        <v>0</v>
      </c>
      <c r="AK28" s="379">
        <v>0</v>
      </c>
      <c r="AL28" s="193">
        <v>0</v>
      </c>
      <c r="AM28" s="193">
        <v>0</v>
      </c>
      <c r="AN28" s="193">
        <v>0</v>
      </c>
      <c r="AO28" s="379">
        <v>0</v>
      </c>
      <c r="AP28" s="379">
        <v>0</v>
      </c>
      <c r="AQ28" s="379">
        <v>0</v>
      </c>
    </row>
    <row r="29" spans="1:43">
      <c r="B29" s="221" t="s">
        <v>206</v>
      </c>
      <c r="C29" s="378">
        <v>441</v>
      </c>
      <c r="D29" s="378">
        <v>1963</v>
      </c>
      <c r="E29" s="195"/>
      <c r="F29" s="378"/>
      <c r="G29" s="378"/>
      <c r="H29" s="378"/>
      <c r="I29" s="195"/>
      <c r="J29" s="378"/>
      <c r="K29" s="378"/>
      <c r="L29" s="378"/>
      <c r="M29" s="195"/>
      <c r="N29" s="378"/>
      <c r="O29" s="378"/>
      <c r="P29" s="378"/>
      <c r="Q29" s="379"/>
      <c r="R29" s="378"/>
      <c r="S29" s="378"/>
      <c r="T29" s="378"/>
      <c r="U29" s="379"/>
      <c r="V29" s="203"/>
      <c r="W29" s="203"/>
      <c r="X29" s="203"/>
      <c r="Y29" s="379"/>
      <c r="Z29" s="193"/>
      <c r="AA29" s="193"/>
      <c r="AB29" s="193"/>
      <c r="AC29" s="379"/>
      <c r="AD29" s="193"/>
      <c r="AE29" s="193"/>
      <c r="AF29" s="193"/>
      <c r="AG29" s="379"/>
      <c r="AH29" s="193"/>
      <c r="AI29" s="193"/>
      <c r="AJ29" s="193"/>
      <c r="AK29" s="379"/>
      <c r="AL29" s="193"/>
      <c r="AM29" s="193"/>
      <c r="AN29" s="193"/>
      <c r="AO29" s="379"/>
      <c r="AP29" s="379"/>
      <c r="AQ29" s="379"/>
    </row>
    <row r="30" spans="1:43">
      <c r="B30" s="221" t="s">
        <v>448</v>
      </c>
      <c r="C30" s="378">
        <v>2903</v>
      </c>
      <c r="D30" s="378"/>
      <c r="E30" s="195"/>
      <c r="F30" s="378"/>
      <c r="G30" s="378"/>
      <c r="H30" s="378"/>
      <c r="I30" s="195"/>
      <c r="J30" s="378"/>
      <c r="K30" s="378"/>
      <c r="L30" s="378"/>
      <c r="M30" s="195"/>
      <c r="N30" s="378"/>
      <c r="O30" s="378"/>
      <c r="P30" s="378"/>
      <c r="Q30" s="379"/>
      <c r="R30" s="378"/>
      <c r="S30" s="378"/>
      <c r="T30" s="378"/>
      <c r="U30" s="379"/>
      <c r="V30" s="203"/>
      <c r="W30" s="203"/>
      <c r="X30" s="203"/>
      <c r="Y30" s="379"/>
      <c r="Z30" s="193"/>
      <c r="AA30" s="193"/>
      <c r="AB30" s="193"/>
      <c r="AC30" s="379"/>
      <c r="AD30" s="193"/>
      <c r="AE30" s="193"/>
      <c r="AF30" s="193"/>
      <c r="AG30" s="379"/>
      <c r="AH30" s="193"/>
      <c r="AI30" s="193"/>
      <c r="AJ30" s="193"/>
      <c r="AK30" s="379"/>
      <c r="AL30" s="193"/>
      <c r="AM30" s="193"/>
      <c r="AN30" s="193"/>
      <c r="AO30" s="379"/>
      <c r="AP30" s="379"/>
      <c r="AQ30" s="379"/>
    </row>
    <row r="31" spans="1:43">
      <c r="B31" s="221" t="s">
        <v>309</v>
      </c>
      <c r="C31" s="203">
        <v>0</v>
      </c>
      <c r="D31" s="203">
        <v>0</v>
      </c>
      <c r="E31" s="195">
        <v>0</v>
      </c>
      <c r="F31" s="203">
        <v>0</v>
      </c>
      <c r="G31" s="203">
        <v>0</v>
      </c>
      <c r="H31" s="203">
        <v>0</v>
      </c>
      <c r="I31" s="195">
        <v>0</v>
      </c>
      <c r="J31" s="203">
        <v>0</v>
      </c>
      <c r="K31" s="203">
        <v>0</v>
      </c>
      <c r="L31" s="203">
        <v>0</v>
      </c>
      <c r="M31" s="195">
        <v>0</v>
      </c>
      <c r="N31" s="203">
        <v>30907</v>
      </c>
      <c r="O31" s="203">
        <v>14717</v>
      </c>
      <c r="P31" s="203">
        <v>13827</v>
      </c>
      <c r="Q31" s="205">
        <v>20055</v>
      </c>
      <c r="R31" s="203">
        <v>19008</v>
      </c>
      <c r="S31" s="203">
        <v>15659</v>
      </c>
      <c r="T31" s="203">
        <v>14842</v>
      </c>
      <c r="U31" s="205">
        <v>9692</v>
      </c>
      <c r="V31" s="203">
        <v>7329</v>
      </c>
      <c r="W31" s="203" t="s">
        <v>112</v>
      </c>
      <c r="X31" s="203" t="s">
        <v>112</v>
      </c>
      <c r="Y31" s="205" t="s">
        <v>112</v>
      </c>
      <c r="Z31" s="203" t="s">
        <v>112</v>
      </c>
      <c r="AA31" s="203" t="s">
        <v>112</v>
      </c>
      <c r="AB31" s="203" t="s">
        <v>112</v>
      </c>
      <c r="AC31" s="205" t="s">
        <v>112</v>
      </c>
      <c r="AD31" s="203" t="s">
        <v>112</v>
      </c>
      <c r="AE31" s="203" t="s">
        <v>112</v>
      </c>
      <c r="AF31" s="203" t="s">
        <v>112</v>
      </c>
      <c r="AG31" s="205" t="s">
        <v>112</v>
      </c>
      <c r="AH31" s="203" t="s">
        <v>112</v>
      </c>
      <c r="AI31" s="203" t="s">
        <v>112</v>
      </c>
      <c r="AJ31" s="203" t="s">
        <v>112</v>
      </c>
      <c r="AK31" s="205" t="s">
        <v>112</v>
      </c>
      <c r="AL31" s="203" t="s">
        <v>112</v>
      </c>
      <c r="AM31" s="203" t="s">
        <v>112</v>
      </c>
      <c r="AN31" s="203" t="s">
        <v>112</v>
      </c>
      <c r="AO31" s="205" t="s">
        <v>112</v>
      </c>
      <c r="AP31" s="205" t="s">
        <v>112</v>
      </c>
      <c r="AQ31" s="205" t="s">
        <v>112</v>
      </c>
    </row>
    <row r="32" spans="1:43" ht="15.75" thickBot="1">
      <c r="A32" s="196"/>
      <c r="B32" s="225" t="s">
        <v>211</v>
      </c>
      <c r="C32" s="198">
        <v>3605222</v>
      </c>
      <c r="D32" s="198">
        <v>3627907</v>
      </c>
      <c r="E32" s="200">
        <v>3557942</v>
      </c>
      <c r="F32" s="198">
        <v>3365706</v>
      </c>
      <c r="G32" s="198">
        <v>3320707</v>
      </c>
      <c r="H32" s="198">
        <v>3219457</v>
      </c>
      <c r="I32" s="200">
        <v>3062162</v>
      </c>
      <c r="J32" s="198">
        <v>3295867</v>
      </c>
      <c r="K32" s="198">
        <v>3181948</v>
      </c>
      <c r="L32" s="198">
        <v>3166324</v>
      </c>
      <c r="M32" s="200">
        <v>3086604</v>
      </c>
      <c r="N32" s="198">
        <v>3110661</v>
      </c>
      <c r="O32" s="198">
        <v>3031061</v>
      </c>
      <c r="P32" s="198">
        <v>2631855</v>
      </c>
      <c r="Q32" s="200">
        <v>2433484</v>
      </c>
      <c r="R32" s="198">
        <v>2076402</v>
      </c>
      <c r="S32" s="198">
        <v>1364063</v>
      </c>
      <c r="T32" s="198">
        <v>1224672</v>
      </c>
      <c r="U32" s="200">
        <v>937817</v>
      </c>
      <c r="V32" s="198">
        <v>681634</v>
      </c>
      <c r="W32" s="198">
        <v>527732</v>
      </c>
      <c r="X32" s="198">
        <v>560619</v>
      </c>
      <c r="Y32" s="200">
        <v>639741</v>
      </c>
      <c r="Z32" s="198">
        <v>443081</v>
      </c>
      <c r="AA32" s="198">
        <v>510856</v>
      </c>
      <c r="AB32" s="198">
        <v>690051</v>
      </c>
      <c r="AC32" s="200">
        <v>705659</v>
      </c>
      <c r="AD32" s="198">
        <v>563287</v>
      </c>
      <c r="AE32" s="198">
        <v>548760</v>
      </c>
      <c r="AF32" s="198">
        <v>611792</v>
      </c>
      <c r="AG32" s="200">
        <v>587274</v>
      </c>
      <c r="AH32" s="198">
        <v>625588</v>
      </c>
      <c r="AI32" s="198">
        <v>602300</v>
      </c>
      <c r="AJ32" s="198">
        <v>0</v>
      </c>
      <c r="AK32" s="200">
        <v>490627</v>
      </c>
      <c r="AL32" s="198">
        <v>23947</v>
      </c>
      <c r="AM32" s="198">
        <v>30942</v>
      </c>
      <c r="AN32" s="198">
        <v>34164</v>
      </c>
      <c r="AO32" s="200">
        <v>22060</v>
      </c>
      <c r="AP32" s="200">
        <v>66554</v>
      </c>
      <c r="AQ32" s="200">
        <v>82506</v>
      </c>
    </row>
    <row r="33" spans="1:43" ht="16.5" thickTop="1" thickBot="1">
      <c r="A33" s="196"/>
      <c r="B33" s="226" t="s">
        <v>212</v>
      </c>
      <c r="C33" s="198">
        <v>1860499</v>
      </c>
      <c r="D33" s="198">
        <v>1696844</v>
      </c>
      <c r="E33" s="200">
        <v>1438320</v>
      </c>
      <c r="F33" s="198">
        <v>1270152</v>
      </c>
      <c r="G33" s="198">
        <v>1113722</v>
      </c>
      <c r="H33" s="198">
        <v>1051362</v>
      </c>
      <c r="I33" s="200">
        <v>1021532</v>
      </c>
      <c r="J33" s="198">
        <v>990321</v>
      </c>
      <c r="K33" s="198">
        <v>962003</v>
      </c>
      <c r="L33" s="198">
        <v>883076</v>
      </c>
      <c r="M33" s="200">
        <v>880798</v>
      </c>
      <c r="N33" s="198">
        <v>865183</v>
      </c>
      <c r="O33" s="198">
        <v>851052</v>
      </c>
      <c r="P33" s="198">
        <v>852140</v>
      </c>
      <c r="Q33" s="200">
        <v>863044</v>
      </c>
      <c r="R33" s="198">
        <v>865723</v>
      </c>
      <c r="S33" s="198">
        <v>862001</v>
      </c>
      <c r="T33" s="198">
        <v>861145</v>
      </c>
      <c r="U33" s="200">
        <v>867712</v>
      </c>
      <c r="V33" s="198">
        <v>861530</v>
      </c>
      <c r="W33" s="198">
        <v>863054</v>
      </c>
      <c r="X33" s="198">
        <v>861981</v>
      </c>
      <c r="Y33" s="200">
        <v>865665</v>
      </c>
      <c r="Z33" s="198">
        <v>867917</v>
      </c>
      <c r="AA33" s="198">
        <v>867297</v>
      </c>
      <c r="AB33" s="198">
        <v>874606</v>
      </c>
      <c r="AC33" s="200">
        <v>880461</v>
      </c>
      <c r="AD33" s="198">
        <v>869963</v>
      </c>
      <c r="AE33" s="198">
        <v>872805</v>
      </c>
      <c r="AF33" s="198">
        <v>879553</v>
      </c>
      <c r="AG33" s="200">
        <v>886133</v>
      </c>
      <c r="AH33" s="198">
        <v>883759</v>
      </c>
      <c r="AI33" s="198">
        <v>889632</v>
      </c>
      <c r="AJ33" s="198">
        <v>597085</v>
      </c>
      <c r="AK33" s="200">
        <v>896971</v>
      </c>
      <c r="AL33" s="198">
        <v>894540</v>
      </c>
      <c r="AM33" s="198">
        <v>896012</v>
      </c>
      <c r="AN33" s="198">
        <v>894826</v>
      </c>
      <c r="AO33" s="200">
        <v>899891</v>
      </c>
      <c r="AP33" s="200">
        <v>908891</v>
      </c>
      <c r="AQ33" s="200">
        <v>923789</v>
      </c>
    </row>
    <row r="34" spans="1:43" ht="16.5" thickTop="1" thickBot="1">
      <c r="A34" s="196"/>
      <c r="B34" s="226" t="s">
        <v>213</v>
      </c>
      <c r="C34" s="198">
        <v>285056</v>
      </c>
      <c r="D34" s="198">
        <v>286352</v>
      </c>
      <c r="E34" s="200">
        <v>286536</v>
      </c>
      <c r="F34" s="198">
        <v>287805</v>
      </c>
      <c r="G34" s="198">
        <v>289577</v>
      </c>
      <c r="H34" s="198">
        <v>291071</v>
      </c>
      <c r="I34" s="200">
        <v>288746</v>
      </c>
      <c r="J34" s="198">
        <v>290023</v>
      </c>
      <c r="K34" s="198">
        <v>290039</v>
      </c>
      <c r="L34" s="198">
        <v>291415</v>
      </c>
      <c r="M34" s="200">
        <v>281182</v>
      </c>
      <c r="N34" s="198">
        <v>281977</v>
      </c>
      <c r="O34" s="198">
        <v>282777</v>
      </c>
      <c r="P34" s="198">
        <v>283574</v>
      </c>
      <c r="Q34" s="200">
        <v>284069</v>
      </c>
      <c r="R34" s="198">
        <v>279379</v>
      </c>
      <c r="S34" s="198">
        <v>279892</v>
      </c>
      <c r="T34" s="198">
        <v>280404</v>
      </c>
      <c r="U34" s="200">
        <v>278566</v>
      </c>
      <c r="V34" s="198">
        <v>279165</v>
      </c>
      <c r="W34" s="198">
        <v>279580</v>
      </c>
      <c r="X34" s="198">
        <v>279744</v>
      </c>
      <c r="Y34" s="200">
        <v>279628</v>
      </c>
      <c r="Z34" s="198">
        <v>277674</v>
      </c>
      <c r="AA34" s="198">
        <v>278442</v>
      </c>
      <c r="AB34" s="198">
        <v>275003</v>
      </c>
      <c r="AC34" s="200">
        <v>275852</v>
      </c>
      <c r="AD34" s="198">
        <v>276202</v>
      </c>
      <c r="AE34" s="198">
        <v>277027</v>
      </c>
      <c r="AF34" s="198">
        <v>277853</v>
      </c>
      <c r="AG34" s="200">
        <v>278684</v>
      </c>
      <c r="AH34" s="198">
        <v>279516</v>
      </c>
      <c r="AI34" s="198">
        <v>280218</v>
      </c>
      <c r="AJ34" s="198">
        <v>890003</v>
      </c>
      <c r="AK34" s="200">
        <v>281893</v>
      </c>
      <c r="AL34" s="198">
        <v>282734</v>
      </c>
      <c r="AM34" s="198">
        <v>283576</v>
      </c>
      <c r="AN34" s="198">
        <v>284418</v>
      </c>
      <c r="AO34" s="200">
        <v>285130</v>
      </c>
      <c r="AP34" s="200">
        <v>288131</v>
      </c>
      <c r="AQ34" s="200">
        <v>274222</v>
      </c>
    </row>
    <row r="35" spans="1:43" ht="16.5" customHeight="1" thickTop="1">
      <c r="A35" s="191"/>
      <c r="B35" s="488" t="s">
        <v>376</v>
      </c>
      <c r="C35" s="453" t="s">
        <v>449</v>
      </c>
      <c r="D35" s="453" t="s">
        <v>445</v>
      </c>
      <c r="E35" s="454" t="s">
        <v>438</v>
      </c>
      <c r="F35" s="453" t="s">
        <v>434</v>
      </c>
      <c r="G35" s="453" t="s">
        <v>431</v>
      </c>
      <c r="H35" s="453" t="s">
        <v>421</v>
      </c>
      <c r="I35" s="456" t="s">
        <v>411</v>
      </c>
      <c r="J35" s="453" t="s">
        <v>405</v>
      </c>
      <c r="K35" s="453" t="s">
        <v>402</v>
      </c>
      <c r="L35" s="453" t="s">
        <v>396</v>
      </c>
      <c r="M35" s="456" t="s">
        <v>392</v>
      </c>
      <c r="N35" s="453" t="s">
        <v>386</v>
      </c>
      <c r="O35" s="453" t="s">
        <v>368</v>
      </c>
      <c r="P35" s="453" t="s">
        <v>364</v>
      </c>
      <c r="Q35" s="456" t="s">
        <v>359</v>
      </c>
      <c r="R35" s="453" t="s">
        <v>352</v>
      </c>
      <c r="S35" s="453" t="s">
        <v>348</v>
      </c>
      <c r="T35" s="453" t="s">
        <v>345</v>
      </c>
      <c r="U35" s="456">
        <v>44196</v>
      </c>
      <c r="V35" s="457">
        <v>44104</v>
      </c>
      <c r="W35" s="453" t="s">
        <v>333</v>
      </c>
      <c r="X35" s="453" t="s">
        <v>334</v>
      </c>
      <c r="Y35" s="456">
        <v>43830</v>
      </c>
      <c r="Z35" s="457">
        <v>43738</v>
      </c>
      <c r="AA35" s="457">
        <v>43646</v>
      </c>
      <c r="AB35" s="457">
        <v>43555</v>
      </c>
      <c r="AC35" s="456">
        <v>43465</v>
      </c>
      <c r="AD35" s="457">
        <v>43373</v>
      </c>
      <c r="AE35" s="457">
        <v>43281</v>
      </c>
      <c r="AF35" s="457">
        <v>43190</v>
      </c>
      <c r="AG35" s="456">
        <v>43100</v>
      </c>
      <c r="AH35" s="457">
        <v>43008</v>
      </c>
      <c r="AI35" s="457">
        <v>42916</v>
      </c>
      <c r="AJ35" s="457">
        <v>42825</v>
      </c>
      <c r="AK35" s="456">
        <v>42735</v>
      </c>
      <c r="AL35" s="457">
        <v>42643</v>
      </c>
      <c r="AM35" s="457">
        <v>42551</v>
      </c>
      <c r="AN35" s="457">
        <v>42460</v>
      </c>
      <c r="AO35" s="456">
        <v>42369</v>
      </c>
      <c r="AP35" s="456">
        <v>42004</v>
      </c>
      <c r="AQ35" s="456">
        <v>41639</v>
      </c>
    </row>
    <row r="36" spans="1:43" ht="15" customHeight="1">
      <c r="A36" s="191"/>
      <c r="B36" s="455"/>
      <c r="C36" s="453"/>
      <c r="D36" s="453"/>
      <c r="E36" s="454"/>
      <c r="F36" s="453"/>
      <c r="G36" s="453"/>
      <c r="H36" s="453"/>
      <c r="I36" s="456"/>
      <c r="J36" s="453"/>
      <c r="K36" s="453"/>
      <c r="L36" s="453"/>
      <c r="M36" s="456"/>
      <c r="N36" s="453"/>
      <c r="O36" s="453"/>
      <c r="P36" s="453"/>
      <c r="Q36" s="456"/>
      <c r="R36" s="453"/>
      <c r="S36" s="453"/>
      <c r="T36" s="453"/>
      <c r="U36" s="456"/>
      <c r="V36" s="457"/>
      <c r="W36" s="453"/>
      <c r="X36" s="453"/>
      <c r="Y36" s="456"/>
      <c r="Z36" s="457"/>
      <c r="AA36" s="457"/>
      <c r="AB36" s="457"/>
      <c r="AC36" s="456"/>
      <c r="AD36" s="457"/>
      <c r="AE36" s="457"/>
      <c r="AF36" s="457"/>
      <c r="AG36" s="456"/>
      <c r="AH36" s="457"/>
      <c r="AI36" s="457"/>
      <c r="AJ36" s="457"/>
      <c r="AK36" s="456"/>
      <c r="AL36" s="457"/>
      <c r="AM36" s="457"/>
      <c r="AN36" s="457"/>
      <c r="AO36" s="456"/>
      <c r="AP36" s="456"/>
      <c r="AQ36" s="456"/>
    </row>
    <row r="37" spans="1:43" ht="15">
      <c r="A37" s="196"/>
      <c r="B37" s="218" t="s">
        <v>214</v>
      </c>
      <c r="C37" s="211">
        <f t="shared" ref="C37" si="79">C38+C49+C57</f>
        <v>7307707</v>
      </c>
      <c r="D37" s="211">
        <f t="shared" ref="D37" si="80">D38+D49+D57</f>
        <v>7005576</v>
      </c>
      <c r="E37" s="213">
        <f t="shared" ref="E37" si="81">E38+E49+E57</f>
        <v>6786939</v>
      </c>
      <c r="F37" s="211">
        <f t="shared" ref="F37" si="82">F38+F49+F57</f>
        <v>7203523</v>
      </c>
      <c r="G37" s="211">
        <f t="shared" ref="G37" si="83">G38+G49+G57</f>
        <v>6742376</v>
      </c>
      <c r="H37" s="211">
        <f t="shared" ref="H37" si="84">H38+H49+H57</f>
        <v>6775923</v>
      </c>
      <c r="I37" s="213">
        <f t="shared" ref="I37" si="85">I38+I49+I57</f>
        <v>6122655</v>
      </c>
      <c r="J37" s="211">
        <f t="shared" ref="J37" si="86">J38+J49+J57</f>
        <v>5778646</v>
      </c>
      <c r="K37" s="211">
        <f t="shared" ref="K37" si="87">K38+K49+K57</f>
        <v>5507669</v>
      </c>
      <c r="L37" s="211">
        <f t="shared" ref="L37" si="88">L38+L49+L57</f>
        <v>5661867</v>
      </c>
      <c r="M37" s="213">
        <f t="shared" ref="M37" si="89">M38+M49+M57</f>
        <v>5560600</v>
      </c>
      <c r="N37" s="211">
        <f t="shared" ref="N37" si="90">N38+N49+N57</f>
        <v>5323961</v>
      </c>
      <c r="O37" s="211">
        <f t="shared" ref="O37" si="91">O38+O49+O57</f>
        <v>5586281</v>
      </c>
      <c r="P37" s="211">
        <f t="shared" ref="P37" si="92">P38+P49+P57</f>
        <v>5206322</v>
      </c>
      <c r="Q37" s="213">
        <v>4979306</v>
      </c>
      <c r="R37" s="211">
        <f t="shared" ref="R37:S37" si="93">R38+R49+R57</f>
        <v>4188065</v>
      </c>
      <c r="S37" s="211">
        <f t="shared" si="93"/>
        <v>3350499</v>
      </c>
      <c r="T37" s="211">
        <f>T38+T49+T57</f>
        <v>3178694.6197500001</v>
      </c>
      <c r="U37" s="213">
        <f>U38+U49+U57</f>
        <v>3003793</v>
      </c>
      <c r="V37" s="211">
        <f t="shared" ref="V37:W37" si="94">V38+V49+V57</f>
        <v>2818668</v>
      </c>
      <c r="W37" s="211">
        <f t="shared" si="94"/>
        <v>2696616</v>
      </c>
      <c r="X37" s="211">
        <f t="shared" ref="X37" si="95">X38+X49+X57</f>
        <v>2565468</v>
      </c>
      <c r="Y37" s="213">
        <f t="shared" ref="Y37" si="96">Y38+Y49+Y57</f>
        <v>2628874</v>
      </c>
      <c r="Z37" s="211">
        <f t="shared" ref="Z37" si="97">Z38+Z49+Z57</f>
        <v>2481618</v>
      </c>
      <c r="AA37" s="211">
        <f t="shared" ref="AA37:AE37" si="98">AA38+AA49+AA57</f>
        <v>2608239</v>
      </c>
      <c r="AB37" s="211">
        <f t="shared" si="98"/>
        <v>2745864</v>
      </c>
      <c r="AC37" s="213">
        <f t="shared" si="98"/>
        <v>2751422</v>
      </c>
      <c r="AD37" s="211">
        <f t="shared" si="98"/>
        <v>2703128</v>
      </c>
      <c r="AE37" s="211">
        <f t="shared" si="98"/>
        <v>2667636</v>
      </c>
      <c r="AF37" s="211">
        <v>2851709</v>
      </c>
      <c r="AG37" s="213">
        <v>2206223</v>
      </c>
      <c r="AH37" s="211">
        <v>2284935</v>
      </c>
      <c r="AI37" s="211">
        <v>2357539</v>
      </c>
      <c r="AJ37" s="211">
        <v>2266807</v>
      </c>
      <c r="AK37" s="213">
        <v>2164121</v>
      </c>
      <c r="AL37" s="211">
        <v>1706181</v>
      </c>
      <c r="AM37" s="211">
        <v>1712986</v>
      </c>
      <c r="AN37" s="211">
        <v>1745074</v>
      </c>
      <c r="AO37" s="213">
        <v>1665054</v>
      </c>
      <c r="AP37" s="213">
        <v>1625571</v>
      </c>
      <c r="AQ37" s="213">
        <v>1650189</v>
      </c>
    </row>
    <row r="38" spans="1:43" ht="15.75" thickBot="1">
      <c r="A38" s="196"/>
      <c r="B38" s="219" t="s">
        <v>215</v>
      </c>
      <c r="C38" s="198">
        <f t="shared" ref="C38" si="99">SUM(C39:C48)</f>
        <v>735605</v>
      </c>
      <c r="D38" s="198">
        <f t="shared" ref="D38" si="100">SUM(D39:D48)</f>
        <v>950055</v>
      </c>
      <c r="E38" s="200">
        <f t="shared" ref="E38" si="101">SUM(E39:E48)</f>
        <v>630499</v>
      </c>
      <c r="F38" s="198">
        <f t="shared" ref="F38" si="102">SUM(F39:F48)</f>
        <v>1018759</v>
      </c>
      <c r="G38" s="198">
        <f t="shared" ref="G38" si="103">SUM(G39:G48)</f>
        <v>734949</v>
      </c>
      <c r="H38" s="198">
        <f t="shared" ref="H38" si="104">SUM(H39:H48)</f>
        <v>786843</v>
      </c>
      <c r="I38" s="200">
        <f t="shared" ref="I38" si="105">SUM(I39:I48)</f>
        <v>774861</v>
      </c>
      <c r="J38" s="198">
        <f t="shared" ref="J38" si="106">SUM(J39:J48)</f>
        <v>873036</v>
      </c>
      <c r="K38" s="198">
        <f t="shared" ref="K38" si="107">SUM(K39:K48)</f>
        <v>715977</v>
      </c>
      <c r="L38" s="198">
        <f t="shared" ref="L38" si="108">SUM(L39:L48)</f>
        <v>717171</v>
      </c>
      <c r="M38" s="200">
        <f t="shared" ref="M38" si="109">SUM(M39:M48)</f>
        <v>845983</v>
      </c>
      <c r="N38" s="198">
        <f t="shared" ref="N38" si="110">SUM(N39:N48)</f>
        <v>821761</v>
      </c>
      <c r="O38" s="198">
        <f t="shared" ref="O38" si="111">SUM(O39:O48)</f>
        <v>656021</v>
      </c>
      <c r="P38" s="198">
        <f t="shared" ref="P38" si="112">SUM(P39:P48)</f>
        <v>801999</v>
      </c>
      <c r="Q38" s="200">
        <v>884841</v>
      </c>
      <c r="R38" s="198">
        <f t="shared" ref="R38:S38" si="113">SUM(R39:R48)</f>
        <v>476919</v>
      </c>
      <c r="S38" s="198">
        <f t="shared" si="113"/>
        <v>432377.00000000012</v>
      </c>
      <c r="T38" s="198">
        <f>SUM(T39:T48)</f>
        <v>529926.61975000007</v>
      </c>
      <c r="U38" s="200">
        <f t="shared" ref="U38:Z38" si="114">SUM(U39:U48)</f>
        <v>634178</v>
      </c>
      <c r="V38" s="198">
        <f t="shared" si="114"/>
        <v>618509</v>
      </c>
      <c r="W38" s="198">
        <f t="shared" si="114"/>
        <v>621499</v>
      </c>
      <c r="X38" s="198">
        <f t="shared" si="114"/>
        <v>537947</v>
      </c>
      <c r="Y38" s="200">
        <f t="shared" si="114"/>
        <v>419631</v>
      </c>
      <c r="Z38" s="198">
        <f t="shared" si="114"/>
        <v>408760</v>
      </c>
      <c r="AA38" s="198">
        <f t="shared" ref="AA38:AE38" si="115">SUM(AA39:AA48)</f>
        <v>458139</v>
      </c>
      <c r="AB38" s="198">
        <f t="shared" si="115"/>
        <v>724371</v>
      </c>
      <c r="AC38" s="200">
        <f t="shared" si="115"/>
        <v>620502</v>
      </c>
      <c r="AD38" s="198">
        <f t="shared" si="115"/>
        <v>539102</v>
      </c>
      <c r="AE38" s="198">
        <f t="shared" si="115"/>
        <v>522325</v>
      </c>
      <c r="AF38" s="198">
        <v>584311</v>
      </c>
      <c r="AG38" s="200">
        <v>535036</v>
      </c>
      <c r="AH38" s="198">
        <v>620225</v>
      </c>
      <c r="AI38" s="198">
        <v>390258</v>
      </c>
      <c r="AJ38" s="198">
        <v>364745</v>
      </c>
      <c r="AK38" s="200">
        <v>428544</v>
      </c>
      <c r="AL38" s="198">
        <v>375429</v>
      </c>
      <c r="AM38" s="198">
        <v>408695</v>
      </c>
      <c r="AN38" s="198">
        <v>405779</v>
      </c>
      <c r="AO38" s="200">
        <v>293480</v>
      </c>
      <c r="AP38" s="200">
        <v>286026</v>
      </c>
      <c r="AQ38" s="200">
        <v>248007</v>
      </c>
    </row>
    <row r="39" spans="1:43" ht="15" thickTop="1">
      <c r="B39" s="221" t="s">
        <v>216</v>
      </c>
      <c r="C39" s="193">
        <v>121128</v>
      </c>
      <c r="D39" s="193">
        <v>133461</v>
      </c>
      <c r="E39" s="195">
        <v>126494</v>
      </c>
      <c r="F39" s="193">
        <v>121494</v>
      </c>
      <c r="G39" s="193">
        <v>75446</v>
      </c>
      <c r="H39" s="193">
        <v>88691</v>
      </c>
      <c r="I39" s="195">
        <v>65272</v>
      </c>
      <c r="J39" s="193">
        <v>69293</v>
      </c>
      <c r="K39" s="193">
        <v>55607</v>
      </c>
      <c r="L39" s="193">
        <v>73594</v>
      </c>
      <c r="M39" s="195">
        <v>58698</v>
      </c>
      <c r="N39" s="193">
        <v>73840</v>
      </c>
      <c r="O39" s="193">
        <v>51092</v>
      </c>
      <c r="P39" s="193">
        <v>55200</v>
      </c>
      <c r="Q39" s="195">
        <v>68822</v>
      </c>
      <c r="R39" s="193">
        <v>43470.689200000001</v>
      </c>
      <c r="S39" s="193">
        <v>50554.689200000001</v>
      </c>
      <c r="T39" s="193">
        <v>39276.619749999998</v>
      </c>
      <c r="U39" s="195">
        <v>39692</v>
      </c>
      <c r="V39" s="193">
        <v>28141</v>
      </c>
      <c r="W39" s="193">
        <v>53418</v>
      </c>
      <c r="X39" s="193">
        <v>30261</v>
      </c>
      <c r="Y39" s="195">
        <v>31841</v>
      </c>
      <c r="Z39" s="193">
        <v>25184</v>
      </c>
      <c r="AA39" s="193">
        <v>33219</v>
      </c>
      <c r="AB39" s="193">
        <v>30142</v>
      </c>
      <c r="AC39" s="195">
        <v>29899</v>
      </c>
      <c r="AD39" s="193">
        <v>11124</v>
      </c>
      <c r="AE39" s="193">
        <v>26625</v>
      </c>
      <c r="AF39" s="193">
        <v>23458</v>
      </c>
      <c r="AG39" s="195">
        <v>34714</v>
      </c>
      <c r="AH39" s="193">
        <v>31128</v>
      </c>
      <c r="AI39" s="193">
        <v>26634</v>
      </c>
      <c r="AJ39" s="193">
        <v>25084</v>
      </c>
      <c r="AK39" s="195">
        <v>35855</v>
      </c>
      <c r="AL39" s="193">
        <v>23206</v>
      </c>
      <c r="AM39" s="193">
        <v>23505</v>
      </c>
      <c r="AN39" s="193">
        <v>23175</v>
      </c>
      <c r="AO39" s="195">
        <v>24103</v>
      </c>
      <c r="AP39" s="195">
        <v>18711</v>
      </c>
      <c r="AQ39" s="195">
        <v>18214</v>
      </c>
    </row>
    <row r="40" spans="1:43">
      <c r="B40" s="220" t="s">
        <v>217</v>
      </c>
      <c r="C40" s="193">
        <v>362354</v>
      </c>
      <c r="D40" s="193">
        <v>341194</v>
      </c>
      <c r="E40" s="195">
        <v>283334</v>
      </c>
      <c r="F40" s="193">
        <v>654521</v>
      </c>
      <c r="G40" s="193">
        <v>416396</v>
      </c>
      <c r="H40" s="193">
        <v>459827</v>
      </c>
      <c r="I40" s="195">
        <v>404151</v>
      </c>
      <c r="J40" s="193">
        <v>501444</v>
      </c>
      <c r="K40" s="193">
        <v>340535</v>
      </c>
      <c r="L40" s="193">
        <v>241340</v>
      </c>
      <c r="M40" s="195">
        <v>168988</v>
      </c>
      <c r="N40" s="193">
        <v>210964</v>
      </c>
      <c r="O40" s="193">
        <v>169220</v>
      </c>
      <c r="P40" s="193">
        <v>127301</v>
      </c>
      <c r="Q40" s="195">
        <v>151226</v>
      </c>
      <c r="R40" s="193">
        <v>131717</v>
      </c>
      <c r="S40" s="193">
        <v>118676</v>
      </c>
      <c r="T40" s="193">
        <v>248329</v>
      </c>
      <c r="U40" s="195">
        <v>325894</v>
      </c>
      <c r="V40" s="193">
        <v>333065</v>
      </c>
      <c r="W40" s="193">
        <v>342405</v>
      </c>
      <c r="X40" s="193">
        <v>279597</v>
      </c>
      <c r="Y40" s="195">
        <v>151547</v>
      </c>
      <c r="Z40" s="193">
        <v>196065</v>
      </c>
      <c r="AA40" s="193">
        <v>227966</v>
      </c>
      <c r="AB40" s="193">
        <v>457386</v>
      </c>
      <c r="AC40" s="195">
        <v>340159</v>
      </c>
      <c r="AD40" s="193">
        <v>305620</v>
      </c>
      <c r="AE40" s="193">
        <v>285372</v>
      </c>
      <c r="AF40" s="193">
        <v>265604</v>
      </c>
      <c r="AG40" s="195">
        <v>239403</v>
      </c>
      <c r="AH40" s="193">
        <v>254944</v>
      </c>
      <c r="AI40" s="193">
        <v>190582</v>
      </c>
      <c r="AJ40" s="193">
        <v>133393</v>
      </c>
      <c r="AK40" s="195">
        <v>206320</v>
      </c>
      <c r="AL40" s="193">
        <v>202025</v>
      </c>
      <c r="AM40" s="193">
        <v>253830</v>
      </c>
      <c r="AN40" s="193">
        <v>224432</v>
      </c>
      <c r="AO40" s="195">
        <v>129908</v>
      </c>
      <c r="AP40" s="195">
        <v>182505</v>
      </c>
      <c r="AQ40" s="195">
        <v>149482</v>
      </c>
    </row>
    <row r="41" spans="1:43">
      <c r="B41" s="220" t="s">
        <v>412</v>
      </c>
      <c r="C41" s="193">
        <v>1792</v>
      </c>
      <c r="D41" s="193">
        <v>1732</v>
      </c>
      <c r="E41" s="195">
        <v>1655</v>
      </c>
      <c r="F41" s="193">
        <v>1650</v>
      </c>
      <c r="G41" s="193">
        <v>1243</v>
      </c>
      <c r="H41" s="193">
        <v>1200</v>
      </c>
      <c r="I41" s="195">
        <v>948</v>
      </c>
      <c r="J41" s="193">
        <v>0</v>
      </c>
      <c r="K41" s="193">
        <v>0</v>
      </c>
      <c r="L41" s="193">
        <v>0</v>
      </c>
      <c r="M41" s="195">
        <v>0</v>
      </c>
      <c r="N41" s="193">
        <v>0</v>
      </c>
      <c r="O41" s="193">
        <v>0</v>
      </c>
      <c r="P41" s="193">
        <v>0</v>
      </c>
      <c r="Q41" s="195">
        <v>0</v>
      </c>
      <c r="R41" s="193">
        <v>0</v>
      </c>
      <c r="S41" s="193">
        <v>0</v>
      </c>
      <c r="T41" s="193">
        <v>0</v>
      </c>
      <c r="U41" s="195">
        <v>0</v>
      </c>
      <c r="V41" s="193">
        <v>0</v>
      </c>
      <c r="W41" s="193">
        <v>0</v>
      </c>
      <c r="X41" s="193">
        <v>0</v>
      </c>
      <c r="Y41" s="195">
        <v>0</v>
      </c>
      <c r="Z41" s="193">
        <v>0</v>
      </c>
      <c r="AA41" s="193">
        <v>0</v>
      </c>
      <c r="AB41" s="193">
        <v>0</v>
      </c>
      <c r="AC41" s="195">
        <v>0</v>
      </c>
      <c r="AD41" s="193">
        <v>0</v>
      </c>
      <c r="AE41" s="193">
        <v>0</v>
      </c>
      <c r="AF41" s="193">
        <v>0</v>
      </c>
      <c r="AG41" s="195">
        <v>0</v>
      </c>
      <c r="AH41" s="193">
        <v>0</v>
      </c>
      <c r="AI41" s="193">
        <v>0</v>
      </c>
      <c r="AJ41" s="193">
        <v>0</v>
      </c>
      <c r="AK41" s="195">
        <v>0</v>
      </c>
      <c r="AL41" s="184"/>
      <c r="AM41" s="184"/>
      <c r="AN41" s="184"/>
      <c r="AO41" s="184"/>
      <c r="AP41" s="184"/>
      <c r="AQ41" s="184"/>
    </row>
    <row r="42" spans="1:43">
      <c r="B42" s="220" t="s">
        <v>218</v>
      </c>
      <c r="C42" s="193">
        <v>41096</v>
      </c>
      <c r="D42" s="193">
        <v>36552</v>
      </c>
      <c r="E42" s="195">
        <v>63268</v>
      </c>
      <c r="F42" s="193">
        <v>48422</v>
      </c>
      <c r="G42" s="193">
        <v>39133</v>
      </c>
      <c r="H42" s="193">
        <v>32418</v>
      </c>
      <c r="I42" s="195">
        <v>54524</v>
      </c>
      <c r="J42" s="193">
        <v>45937</v>
      </c>
      <c r="K42" s="193">
        <v>39825</v>
      </c>
      <c r="L42" s="193">
        <v>32900</v>
      </c>
      <c r="M42" s="195">
        <v>55211</v>
      </c>
      <c r="N42" s="193">
        <v>52147</v>
      </c>
      <c r="O42" s="193">
        <v>39762</v>
      </c>
      <c r="P42" s="193">
        <v>30923</v>
      </c>
      <c r="Q42" s="195">
        <v>52550</v>
      </c>
      <c r="R42" s="193">
        <v>39465</v>
      </c>
      <c r="S42" s="193">
        <v>29121</v>
      </c>
      <c r="T42" s="193">
        <v>23472</v>
      </c>
      <c r="U42" s="195">
        <v>36951</v>
      </c>
      <c r="V42" s="193">
        <v>33953</v>
      </c>
      <c r="W42" s="193">
        <v>29554</v>
      </c>
      <c r="X42" s="193">
        <v>21894</v>
      </c>
      <c r="Y42" s="195">
        <v>18161</v>
      </c>
      <c r="Z42" s="193">
        <v>21001</v>
      </c>
      <c r="AA42" s="193">
        <v>18156</v>
      </c>
      <c r="AB42" s="193">
        <v>35057</v>
      </c>
      <c r="AC42" s="195">
        <v>37164</v>
      </c>
      <c r="AD42" s="193">
        <v>28501</v>
      </c>
      <c r="AE42" s="193">
        <v>23203</v>
      </c>
      <c r="AF42" s="193">
        <v>33822</v>
      </c>
      <c r="AG42" s="195">
        <v>29606</v>
      </c>
      <c r="AH42" s="193">
        <v>26495</v>
      </c>
      <c r="AI42" s="193">
        <v>21783</v>
      </c>
      <c r="AJ42" s="193">
        <v>31851</v>
      </c>
      <c r="AK42" s="195">
        <v>28759</v>
      </c>
      <c r="AL42" s="193">
        <v>28622</v>
      </c>
      <c r="AM42" s="193">
        <v>23157</v>
      </c>
      <c r="AN42" s="193">
        <v>34834</v>
      </c>
      <c r="AO42" s="195">
        <v>26763</v>
      </c>
      <c r="AP42" s="195">
        <v>24593</v>
      </c>
      <c r="AQ42" s="195">
        <v>17383</v>
      </c>
    </row>
    <row r="43" spans="1:43">
      <c r="B43" s="220" t="s">
        <v>219</v>
      </c>
      <c r="C43" s="193">
        <v>72447</v>
      </c>
      <c r="D43" s="193">
        <v>58565</v>
      </c>
      <c r="E43" s="195">
        <v>32372</v>
      </c>
      <c r="F43" s="193">
        <v>46166</v>
      </c>
      <c r="G43" s="193">
        <v>49041</v>
      </c>
      <c r="H43" s="193">
        <v>32730</v>
      </c>
      <c r="I43" s="195">
        <v>77434</v>
      </c>
      <c r="J43" s="193">
        <v>108521</v>
      </c>
      <c r="K43" s="193">
        <v>118499</v>
      </c>
      <c r="L43" s="193">
        <v>107942</v>
      </c>
      <c r="M43" s="195">
        <v>306115</v>
      </c>
      <c r="N43" s="193">
        <v>281528</v>
      </c>
      <c r="O43" s="193">
        <v>202987</v>
      </c>
      <c r="P43" s="193">
        <v>136952</v>
      </c>
      <c r="Q43" s="195">
        <v>137775</v>
      </c>
      <c r="R43" s="193">
        <v>101887</v>
      </c>
      <c r="S43" s="193">
        <v>79502</v>
      </c>
      <c r="T43" s="193">
        <v>54670</v>
      </c>
      <c r="U43" s="195">
        <v>74676</v>
      </c>
      <c r="V43" s="193">
        <v>82398</v>
      </c>
      <c r="W43" s="193">
        <v>62626</v>
      </c>
      <c r="X43" s="193">
        <v>34203</v>
      </c>
      <c r="Y43" s="195">
        <v>49355</v>
      </c>
      <c r="Z43" s="193">
        <f>15485+28460</f>
        <v>43945</v>
      </c>
      <c r="AA43" s="193">
        <v>39218</v>
      </c>
      <c r="AB43" s="193">
        <v>40869</v>
      </c>
      <c r="AC43" s="195">
        <f>52559+16497</f>
        <v>69056</v>
      </c>
      <c r="AD43" s="193">
        <v>63760</v>
      </c>
      <c r="AE43" s="193">
        <v>57509</v>
      </c>
      <c r="AF43" s="193">
        <v>44115</v>
      </c>
      <c r="AG43" s="195">
        <v>18018</v>
      </c>
      <c r="AH43" s="193">
        <v>27023</v>
      </c>
      <c r="AI43" s="193">
        <v>29899</v>
      </c>
      <c r="AJ43" s="193">
        <v>30889</v>
      </c>
      <c r="AK43" s="195">
        <v>23728</v>
      </c>
      <c r="AL43" s="193">
        <v>23247</v>
      </c>
      <c r="AM43" s="193">
        <v>21555</v>
      </c>
      <c r="AN43" s="193">
        <v>25248</v>
      </c>
      <c r="AO43" s="195">
        <v>30872</v>
      </c>
      <c r="AP43" s="195">
        <v>12477</v>
      </c>
      <c r="AQ43" s="195">
        <v>10764</v>
      </c>
    </row>
    <row r="44" spans="1:43">
      <c r="B44" s="220" t="s">
        <v>220</v>
      </c>
      <c r="C44" s="193">
        <v>0</v>
      </c>
      <c r="D44" s="193">
        <v>0</v>
      </c>
      <c r="E44" s="195">
        <v>0</v>
      </c>
      <c r="F44" s="193">
        <v>0</v>
      </c>
      <c r="G44" s="193">
        <v>0</v>
      </c>
      <c r="H44" s="193">
        <v>0</v>
      </c>
      <c r="I44" s="195">
        <v>0</v>
      </c>
      <c r="J44" s="193">
        <v>0</v>
      </c>
      <c r="K44" s="193">
        <v>0</v>
      </c>
      <c r="L44" s="193">
        <v>0</v>
      </c>
      <c r="M44" s="195">
        <v>0</v>
      </c>
      <c r="N44" s="193">
        <v>0</v>
      </c>
      <c r="O44" s="193">
        <v>0</v>
      </c>
      <c r="P44" s="193">
        <v>0</v>
      </c>
      <c r="Q44" s="195">
        <v>0</v>
      </c>
      <c r="R44" s="193"/>
      <c r="S44" s="193">
        <v>0</v>
      </c>
      <c r="T44" s="193">
        <v>0</v>
      </c>
      <c r="U44" s="195">
        <v>0</v>
      </c>
      <c r="V44" s="193">
        <v>0</v>
      </c>
      <c r="W44" s="193">
        <v>0</v>
      </c>
      <c r="X44" s="193">
        <v>0</v>
      </c>
      <c r="Y44" s="195">
        <v>0</v>
      </c>
      <c r="Z44" s="193">
        <v>13240</v>
      </c>
      <c r="AA44" s="193">
        <v>0</v>
      </c>
      <c r="AB44" s="193">
        <v>0</v>
      </c>
      <c r="AC44" s="195">
        <v>38720</v>
      </c>
      <c r="AD44" s="193">
        <v>10569</v>
      </c>
      <c r="AE44" s="193">
        <v>0</v>
      </c>
      <c r="AF44" s="193">
        <v>100042</v>
      </c>
      <c r="AG44" s="195">
        <v>100148</v>
      </c>
      <c r="AH44" s="193">
        <v>107458</v>
      </c>
      <c r="AI44" s="193">
        <v>4404</v>
      </c>
      <c r="AJ44" s="193">
        <v>33961</v>
      </c>
      <c r="AK44" s="195">
        <v>33962</v>
      </c>
      <c r="AL44" s="193">
        <v>2786</v>
      </c>
      <c r="AM44" s="193">
        <v>2789</v>
      </c>
      <c r="AN44" s="193">
        <v>26825</v>
      </c>
      <c r="AO44" s="195">
        <v>26826</v>
      </c>
      <c r="AP44" s="195">
        <v>20483</v>
      </c>
      <c r="AQ44" s="195">
        <v>16091</v>
      </c>
    </row>
    <row r="45" spans="1:43">
      <c r="B45" s="220" t="s">
        <v>221</v>
      </c>
      <c r="C45" s="193">
        <v>0</v>
      </c>
      <c r="D45" s="193">
        <v>0</v>
      </c>
      <c r="E45" s="195">
        <v>0</v>
      </c>
      <c r="F45" s="193">
        <v>0</v>
      </c>
      <c r="G45" s="193">
        <v>0</v>
      </c>
      <c r="H45" s="193">
        <v>0</v>
      </c>
      <c r="I45" s="195">
        <v>0</v>
      </c>
      <c r="J45" s="193">
        <v>0</v>
      </c>
      <c r="K45" s="193">
        <v>0</v>
      </c>
      <c r="L45" s="193">
        <v>0</v>
      </c>
      <c r="M45" s="195">
        <v>0</v>
      </c>
      <c r="N45" s="193">
        <v>0</v>
      </c>
      <c r="O45" s="193">
        <v>0</v>
      </c>
      <c r="P45" s="193">
        <v>0</v>
      </c>
      <c r="Q45" s="195">
        <v>0</v>
      </c>
      <c r="R45" s="193"/>
      <c r="S45" s="193">
        <v>0</v>
      </c>
      <c r="T45" s="193">
        <v>0</v>
      </c>
      <c r="U45" s="195">
        <v>0</v>
      </c>
      <c r="V45" s="193">
        <v>0</v>
      </c>
      <c r="W45" s="193">
        <v>0</v>
      </c>
      <c r="X45" s="193">
        <v>0</v>
      </c>
      <c r="Y45" s="195">
        <v>0</v>
      </c>
      <c r="Z45" s="193">
        <v>0</v>
      </c>
      <c r="AA45" s="193">
        <v>0</v>
      </c>
      <c r="AB45" s="193">
        <v>0</v>
      </c>
      <c r="AC45" s="195">
        <v>0</v>
      </c>
      <c r="AD45" s="193">
        <v>0</v>
      </c>
      <c r="AE45" s="193">
        <v>0</v>
      </c>
      <c r="AF45" s="193">
        <v>0</v>
      </c>
      <c r="AG45" s="195">
        <v>0</v>
      </c>
      <c r="AH45" s="193">
        <v>3615</v>
      </c>
      <c r="AI45" s="193">
        <v>7210</v>
      </c>
      <c r="AJ45" s="193">
        <v>7145</v>
      </c>
      <c r="AK45" s="195">
        <v>7072</v>
      </c>
      <c r="AL45" s="193">
        <v>5300</v>
      </c>
      <c r="AM45" s="193">
        <v>5238</v>
      </c>
      <c r="AN45" s="193">
        <v>3405</v>
      </c>
      <c r="AO45" s="195">
        <v>3368</v>
      </c>
      <c r="AP45" s="195">
        <v>3227</v>
      </c>
      <c r="AQ45" s="195">
        <v>3109</v>
      </c>
    </row>
    <row r="46" spans="1:43">
      <c r="B46" s="220" t="s">
        <v>222</v>
      </c>
      <c r="C46" s="193">
        <v>0</v>
      </c>
      <c r="D46" s="193">
        <v>0</v>
      </c>
      <c r="E46" s="195">
        <v>0</v>
      </c>
      <c r="F46" s="193">
        <v>0</v>
      </c>
      <c r="G46" s="193">
        <v>0</v>
      </c>
      <c r="H46" s="193">
        <v>0</v>
      </c>
      <c r="I46" s="195">
        <v>0</v>
      </c>
      <c r="J46" s="193">
        <v>0</v>
      </c>
      <c r="K46" s="193">
        <v>0</v>
      </c>
      <c r="L46" s="193">
        <v>0</v>
      </c>
      <c r="M46" s="195">
        <v>0</v>
      </c>
      <c r="N46" s="193">
        <v>0</v>
      </c>
      <c r="O46" s="193">
        <v>0</v>
      </c>
      <c r="P46" s="193">
        <v>0</v>
      </c>
      <c r="Q46" s="195">
        <v>0</v>
      </c>
      <c r="R46" s="193"/>
      <c r="S46" s="193">
        <v>0</v>
      </c>
      <c r="T46" s="193">
        <v>0</v>
      </c>
      <c r="U46" s="195">
        <v>0</v>
      </c>
      <c r="V46" s="193">
        <v>0</v>
      </c>
      <c r="W46" s="193">
        <v>0</v>
      </c>
      <c r="X46" s="193">
        <v>0</v>
      </c>
      <c r="Y46" s="195">
        <v>0</v>
      </c>
      <c r="Z46" s="193">
        <v>98473</v>
      </c>
      <c r="AA46" s="193">
        <v>0</v>
      </c>
      <c r="AB46" s="193">
        <v>0</v>
      </c>
      <c r="AC46" s="195">
        <v>92564</v>
      </c>
      <c r="AD46" s="193">
        <v>107983</v>
      </c>
      <c r="AE46" s="193">
        <v>108919</v>
      </c>
      <c r="AF46" s="193">
        <v>108487</v>
      </c>
      <c r="AG46" s="195">
        <v>107322</v>
      </c>
      <c r="AH46" s="193">
        <v>106191</v>
      </c>
      <c r="AI46" s="193">
        <v>98845</v>
      </c>
      <c r="AJ46" s="193">
        <v>92887</v>
      </c>
      <c r="AK46" s="195">
        <v>83962</v>
      </c>
      <c r="AL46" s="193">
        <v>76727</v>
      </c>
      <c r="AM46" s="193">
        <v>66436</v>
      </c>
      <c r="AN46" s="193">
        <v>55663</v>
      </c>
      <c r="AO46" s="195">
        <v>41173</v>
      </c>
      <c r="AP46" s="195">
        <v>12641</v>
      </c>
      <c r="AQ46" s="195">
        <v>11133</v>
      </c>
    </row>
    <row r="47" spans="1:43">
      <c r="B47" s="220" t="s">
        <v>338</v>
      </c>
      <c r="C47" s="193">
        <v>3791</v>
      </c>
      <c r="D47" s="193">
        <v>2457</v>
      </c>
      <c r="E47" s="195">
        <v>1435</v>
      </c>
      <c r="F47" s="193">
        <v>1967</v>
      </c>
      <c r="G47" s="193">
        <v>1723</v>
      </c>
      <c r="H47" s="193">
        <v>2041</v>
      </c>
      <c r="I47" s="195">
        <v>1803</v>
      </c>
      <c r="J47" s="193">
        <v>1575</v>
      </c>
      <c r="K47" s="193">
        <v>1501</v>
      </c>
      <c r="L47" s="193">
        <v>1385</v>
      </c>
      <c r="M47" s="195">
        <v>1565</v>
      </c>
      <c r="N47" s="193">
        <v>1415</v>
      </c>
      <c r="O47" s="193">
        <v>2105</v>
      </c>
      <c r="P47" s="193">
        <v>1744</v>
      </c>
      <c r="Q47" s="195">
        <v>1699</v>
      </c>
      <c r="R47" s="193">
        <v>1786</v>
      </c>
      <c r="S47" s="193">
        <v>1976</v>
      </c>
      <c r="T47" s="193">
        <v>7637</v>
      </c>
      <c r="U47" s="195">
        <v>2831</v>
      </c>
      <c r="V47" s="193">
        <v>0</v>
      </c>
      <c r="W47" s="193">
        <v>0</v>
      </c>
      <c r="X47" s="193">
        <v>0</v>
      </c>
      <c r="Y47" s="195">
        <v>0</v>
      </c>
      <c r="Z47" s="193">
        <v>0</v>
      </c>
      <c r="AA47" s="193">
        <v>0</v>
      </c>
      <c r="AB47" s="193">
        <v>0</v>
      </c>
      <c r="AC47" s="195">
        <v>0</v>
      </c>
      <c r="AD47" s="193">
        <v>0</v>
      </c>
      <c r="AE47" s="193">
        <v>0</v>
      </c>
      <c r="AF47" s="193">
        <v>0</v>
      </c>
      <c r="AG47" s="195">
        <v>0</v>
      </c>
      <c r="AH47" s="193">
        <v>0</v>
      </c>
      <c r="AI47" s="193">
        <v>0</v>
      </c>
      <c r="AJ47" s="193">
        <v>0</v>
      </c>
      <c r="AK47" s="195">
        <v>0</v>
      </c>
      <c r="AL47" s="193">
        <v>0</v>
      </c>
      <c r="AM47" s="193">
        <v>0</v>
      </c>
      <c r="AN47" s="193">
        <v>0</v>
      </c>
      <c r="AO47" s="195">
        <v>0</v>
      </c>
      <c r="AP47" s="195">
        <v>0</v>
      </c>
      <c r="AQ47" s="195">
        <v>0</v>
      </c>
    </row>
    <row r="48" spans="1:43">
      <c r="B48" s="220" t="s">
        <v>223</v>
      </c>
      <c r="C48" s="193">
        <v>132997</v>
      </c>
      <c r="D48" s="193">
        <v>376094</v>
      </c>
      <c r="E48" s="195">
        <v>121941</v>
      </c>
      <c r="F48" s="193">
        <v>144539</v>
      </c>
      <c r="G48" s="193">
        <v>151967</v>
      </c>
      <c r="H48" s="193">
        <v>169936</v>
      </c>
      <c r="I48" s="195">
        <v>170729</v>
      </c>
      <c r="J48" s="193">
        <v>146266</v>
      </c>
      <c r="K48" s="193">
        <v>160010</v>
      </c>
      <c r="L48" s="193">
        <v>260010</v>
      </c>
      <c r="M48" s="195">
        <v>255406</v>
      </c>
      <c r="N48" s="193">
        <v>201867</v>
      </c>
      <c r="O48" s="193">
        <v>190855</v>
      </c>
      <c r="P48" s="193">
        <v>449879</v>
      </c>
      <c r="Q48" s="195">
        <v>472769</v>
      </c>
      <c r="R48" s="193">
        <v>158593.31080000001</v>
      </c>
      <c r="S48" s="193">
        <v>152547.31080000009</v>
      </c>
      <c r="T48" s="193">
        <v>156542</v>
      </c>
      <c r="U48" s="195">
        <v>154134</v>
      </c>
      <c r="V48" s="193">
        <v>140952</v>
      </c>
      <c r="W48" s="193">
        <v>133496</v>
      </c>
      <c r="X48" s="193">
        <v>171992</v>
      </c>
      <c r="Y48" s="195">
        <v>168727</v>
      </c>
      <c r="Z48" s="193">
        <v>10852</v>
      </c>
      <c r="AA48" s="193">
        <v>139580</v>
      </c>
      <c r="AB48" s="193">
        <v>160917</v>
      </c>
      <c r="AC48" s="195">
        <v>12940</v>
      </c>
      <c r="AD48" s="193">
        <v>11545</v>
      </c>
      <c r="AE48" s="193">
        <f>129616-AE46</f>
        <v>20697</v>
      </c>
      <c r="AF48" s="193">
        <v>8783</v>
      </c>
      <c r="AG48" s="195">
        <v>5825</v>
      </c>
      <c r="AH48" s="193">
        <v>63371</v>
      </c>
      <c r="AI48" s="193">
        <v>10901</v>
      </c>
      <c r="AJ48" s="193">
        <v>9535</v>
      </c>
      <c r="AK48" s="195">
        <v>8886</v>
      </c>
      <c r="AL48" s="193">
        <v>13516</v>
      </c>
      <c r="AM48" s="193">
        <v>12185</v>
      </c>
      <c r="AN48" s="193">
        <v>12197</v>
      </c>
      <c r="AO48" s="195">
        <v>10467</v>
      </c>
      <c r="AP48" s="195">
        <v>11389</v>
      </c>
      <c r="AQ48" s="195">
        <v>21831</v>
      </c>
    </row>
    <row r="49" spans="1:43" ht="15.75" thickBot="1">
      <c r="A49" s="196"/>
      <c r="B49" s="219" t="s">
        <v>224</v>
      </c>
      <c r="C49" s="198">
        <f t="shared" ref="C49" si="116">SUM(C50:C56)</f>
        <v>3762177</v>
      </c>
      <c r="D49" s="198">
        <f t="shared" ref="D49" si="117">SUM(D50:D56)</f>
        <v>3405857</v>
      </c>
      <c r="E49" s="200">
        <f t="shared" ref="E49" si="118">SUM(E50:E56)</f>
        <v>3365983</v>
      </c>
      <c r="F49" s="198">
        <f t="shared" ref="F49" si="119">SUM(F50:F56)</f>
        <v>3421787</v>
      </c>
      <c r="G49" s="198">
        <f t="shared" ref="G49" si="120">SUM(G50:G56)</f>
        <v>3330859</v>
      </c>
      <c r="H49" s="198">
        <f t="shared" ref="H49" si="121">SUM(H50:H56)</f>
        <v>3456728</v>
      </c>
      <c r="I49" s="200">
        <f t="shared" ref="I49" si="122">SUM(I50:I56)</f>
        <v>2925461</v>
      </c>
      <c r="J49" s="198">
        <f t="shared" ref="J49" si="123">SUM(J50:J56)</f>
        <v>2097267</v>
      </c>
      <c r="K49" s="198">
        <f t="shared" ref="K49" si="124">SUM(K50:K56)</f>
        <v>2182417</v>
      </c>
      <c r="L49" s="198">
        <f t="shared" ref="L49" si="125">SUM(L50:L56)</f>
        <v>2387060</v>
      </c>
      <c r="M49" s="200">
        <f t="shared" ref="M49" si="126">SUM(M50:M56)</f>
        <v>2397213</v>
      </c>
      <c r="N49" s="198">
        <f t="shared" ref="N49" si="127">SUM(N50:N56)</f>
        <v>1683568</v>
      </c>
      <c r="O49" s="198">
        <f t="shared" ref="O49" si="128">SUM(O50:O56)</f>
        <v>1709712</v>
      </c>
      <c r="P49" s="198">
        <f t="shared" ref="P49" si="129">SUM(P50:P56)</f>
        <v>1761955</v>
      </c>
      <c r="Q49" s="200">
        <v>1805722</v>
      </c>
      <c r="R49" s="198">
        <f t="shared" ref="R49:S49" si="130">SUM(R50:R56)</f>
        <v>1176439</v>
      </c>
      <c r="S49" s="198">
        <f t="shared" si="130"/>
        <v>936560</v>
      </c>
      <c r="T49" s="198">
        <f t="shared" ref="T49:W49" si="131">SUM(T50:T56)</f>
        <v>574704</v>
      </c>
      <c r="U49" s="200">
        <f t="shared" si="131"/>
        <v>644608</v>
      </c>
      <c r="V49" s="198">
        <f t="shared" si="131"/>
        <v>672885</v>
      </c>
      <c r="W49" s="198">
        <f t="shared" si="131"/>
        <v>674098</v>
      </c>
      <c r="X49" s="198">
        <f t="shared" ref="X49" si="132">SUM(X50:X56)</f>
        <v>645034</v>
      </c>
      <c r="Y49" s="200">
        <f t="shared" ref="Y49" si="133">SUM(Y50:Y56)</f>
        <v>736190</v>
      </c>
      <c r="Z49" s="198">
        <f t="shared" ref="Z49" si="134">SUM(Z50:Z56)</f>
        <v>748768</v>
      </c>
      <c r="AA49" s="198">
        <f t="shared" ref="AA49:AE49" si="135">SUM(AA50:AA56)</f>
        <v>767933</v>
      </c>
      <c r="AB49" s="198">
        <f t="shared" si="135"/>
        <v>654211</v>
      </c>
      <c r="AC49" s="200">
        <f t="shared" si="135"/>
        <v>783400</v>
      </c>
      <c r="AD49" s="198">
        <f t="shared" si="135"/>
        <v>869073</v>
      </c>
      <c r="AE49" s="198">
        <f t="shared" si="135"/>
        <v>993329</v>
      </c>
      <c r="AF49" s="198">
        <v>1133916</v>
      </c>
      <c r="AG49" s="200">
        <v>680262</v>
      </c>
      <c r="AH49" s="198">
        <v>673028</v>
      </c>
      <c r="AI49" s="198">
        <v>730558</v>
      </c>
      <c r="AJ49" s="198">
        <v>699075</v>
      </c>
      <c r="AK49" s="200">
        <v>653829</v>
      </c>
      <c r="AL49" s="198">
        <v>425707</v>
      </c>
      <c r="AM49" s="198">
        <v>419032</v>
      </c>
      <c r="AN49" s="198">
        <v>470058</v>
      </c>
      <c r="AO49" s="200">
        <v>544351</v>
      </c>
      <c r="AP49" s="200">
        <v>562675</v>
      </c>
      <c r="AQ49" s="200">
        <v>660149</v>
      </c>
    </row>
    <row r="50" spans="1:43" ht="15" thickTop="1">
      <c r="B50" s="220" t="s">
        <v>217</v>
      </c>
      <c r="C50" s="193">
        <v>3244586</v>
      </c>
      <c r="D50" s="193">
        <v>2900463</v>
      </c>
      <c r="E50" s="195">
        <v>2857699</v>
      </c>
      <c r="F50" s="193">
        <v>2880375</v>
      </c>
      <c r="G50" s="193">
        <v>2792822</v>
      </c>
      <c r="H50" s="193">
        <v>2906165</v>
      </c>
      <c r="I50" s="195">
        <v>2377999</v>
      </c>
      <c r="J50" s="193">
        <v>1537348</v>
      </c>
      <c r="K50" s="193">
        <v>1630456</v>
      </c>
      <c r="L50" s="193">
        <v>1834820</v>
      </c>
      <c r="M50" s="195">
        <v>1846461</v>
      </c>
      <c r="N50" s="193">
        <v>1184503</v>
      </c>
      <c r="O50" s="193">
        <v>1202370</v>
      </c>
      <c r="P50" s="193">
        <v>1261523</v>
      </c>
      <c r="Q50" s="195">
        <v>1279884</v>
      </c>
      <c r="R50" s="193">
        <v>794765</v>
      </c>
      <c r="S50" s="193">
        <v>598910</v>
      </c>
      <c r="T50" s="193">
        <v>255584</v>
      </c>
      <c r="U50" s="195">
        <v>331978</v>
      </c>
      <c r="V50" s="193">
        <v>343682</v>
      </c>
      <c r="W50" s="193">
        <v>354032</v>
      </c>
      <c r="X50" s="193">
        <v>368304</v>
      </c>
      <c r="Y50" s="195">
        <v>460000</v>
      </c>
      <c r="Z50" s="193">
        <v>480295</v>
      </c>
      <c r="AA50" s="193">
        <v>496517</v>
      </c>
      <c r="AB50" s="193">
        <v>393813</v>
      </c>
      <c r="AC50" s="195">
        <v>519992</v>
      </c>
      <c r="AD50" s="193">
        <v>604860</v>
      </c>
      <c r="AE50" s="193">
        <v>677494</v>
      </c>
      <c r="AF50" s="193">
        <v>823055</v>
      </c>
      <c r="AG50" s="195">
        <v>387504</v>
      </c>
      <c r="AH50" s="193">
        <v>338559</v>
      </c>
      <c r="AI50" s="193">
        <v>288862</v>
      </c>
      <c r="AJ50" s="193">
        <v>266351</v>
      </c>
      <c r="AK50" s="195">
        <v>268805</v>
      </c>
      <c r="AL50" s="193">
        <v>321213</v>
      </c>
      <c r="AM50" s="193">
        <v>320173</v>
      </c>
      <c r="AN50" s="193">
        <v>372771</v>
      </c>
      <c r="AO50" s="195">
        <v>455424</v>
      </c>
      <c r="AP50" s="195">
        <v>467698</v>
      </c>
      <c r="AQ50" s="195">
        <v>591334</v>
      </c>
    </row>
    <row r="51" spans="1:43">
      <c r="B51" s="220" t="s">
        <v>412</v>
      </c>
      <c r="C51" s="193">
        <v>9458</v>
      </c>
      <c r="D51" s="193">
        <v>9929</v>
      </c>
      <c r="E51" s="195">
        <v>10308</v>
      </c>
      <c r="F51" s="193">
        <v>10271</v>
      </c>
      <c r="G51" s="193">
        <v>9593</v>
      </c>
      <c r="H51" s="193">
        <v>9928</v>
      </c>
      <c r="I51" s="195">
        <v>9018</v>
      </c>
      <c r="J51" s="193">
        <v>0</v>
      </c>
      <c r="K51" s="193">
        <v>0</v>
      </c>
      <c r="L51" s="193">
        <v>0</v>
      </c>
      <c r="M51" s="195">
        <v>0</v>
      </c>
      <c r="N51" s="193">
        <v>0</v>
      </c>
      <c r="O51" s="193">
        <v>0</v>
      </c>
      <c r="P51" s="193">
        <v>0</v>
      </c>
      <c r="Q51" s="195">
        <v>0</v>
      </c>
      <c r="R51" s="193">
        <v>0</v>
      </c>
      <c r="S51" s="193">
        <v>0</v>
      </c>
      <c r="T51" s="193">
        <v>0</v>
      </c>
      <c r="U51" s="195">
        <v>0</v>
      </c>
      <c r="V51" s="193">
        <v>0</v>
      </c>
      <c r="W51" s="193">
        <v>0</v>
      </c>
      <c r="X51" s="193">
        <v>0</v>
      </c>
      <c r="Y51" s="195">
        <v>0</v>
      </c>
      <c r="Z51" s="193">
        <v>0</v>
      </c>
      <c r="AA51" s="193">
        <v>0</v>
      </c>
      <c r="AB51" s="193">
        <v>0</v>
      </c>
      <c r="AC51" s="195">
        <v>0</v>
      </c>
      <c r="AD51" s="193">
        <v>0</v>
      </c>
      <c r="AE51" s="193">
        <v>0</v>
      </c>
      <c r="AF51" s="193">
        <v>0</v>
      </c>
      <c r="AG51" s="195">
        <v>0</v>
      </c>
      <c r="AH51" s="193">
        <v>0</v>
      </c>
      <c r="AI51" s="193">
        <v>0</v>
      </c>
      <c r="AJ51" s="193">
        <v>0</v>
      </c>
      <c r="AK51" s="195">
        <v>0</v>
      </c>
      <c r="AL51" s="184"/>
      <c r="AM51" s="184"/>
      <c r="AN51" s="184"/>
      <c r="AO51" s="184"/>
      <c r="AP51" s="184"/>
      <c r="AQ51" s="184"/>
    </row>
    <row r="52" spans="1:43">
      <c r="B52" s="220" t="s">
        <v>225</v>
      </c>
      <c r="C52" s="193">
        <v>450513</v>
      </c>
      <c r="D52" s="193">
        <v>438680</v>
      </c>
      <c r="E52" s="195">
        <v>441665</v>
      </c>
      <c r="F52" s="193">
        <v>391243</v>
      </c>
      <c r="G52" s="193">
        <v>389245</v>
      </c>
      <c r="H52" s="193">
        <v>397819</v>
      </c>
      <c r="I52" s="195">
        <v>398628</v>
      </c>
      <c r="J52" s="193">
        <v>417729</v>
      </c>
      <c r="K52" s="193">
        <v>416615</v>
      </c>
      <c r="L52" s="193">
        <v>419647</v>
      </c>
      <c r="M52" s="195">
        <v>417057</v>
      </c>
      <c r="N52" s="193">
        <v>439619</v>
      </c>
      <c r="O52" s="193">
        <v>447227</v>
      </c>
      <c r="P52" s="193">
        <v>445095</v>
      </c>
      <c r="Q52" s="195">
        <v>468997</v>
      </c>
      <c r="R52" s="193">
        <v>326147</v>
      </c>
      <c r="S52" s="193">
        <v>286255</v>
      </c>
      <c r="T52" s="193">
        <v>269030</v>
      </c>
      <c r="U52" s="195">
        <v>261104</v>
      </c>
      <c r="V52" s="193">
        <v>272259</v>
      </c>
      <c r="W52" s="193">
        <v>270609</v>
      </c>
      <c r="X52" s="193">
        <v>252330</v>
      </c>
      <c r="Y52" s="195">
        <v>248179</v>
      </c>
      <c r="Z52" s="193">
        <v>244567</v>
      </c>
      <c r="AA52" s="193">
        <v>244863</v>
      </c>
      <c r="AB52" s="193">
        <v>232507</v>
      </c>
      <c r="AC52" s="195">
        <v>235520</v>
      </c>
      <c r="AD52" s="193">
        <v>244162</v>
      </c>
      <c r="AE52" s="193">
        <v>243426</v>
      </c>
      <c r="AF52" s="193">
        <v>235592</v>
      </c>
      <c r="AG52" s="195">
        <v>207127</v>
      </c>
      <c r="AH52" s="193">
        <v>254542</v>
      </c>
      <c r="AI52" s="193">
        <v>246927</v>
      </c>
      <c r="AJ52" s="193">
        <v>235714</v>
      </c>
      <c r="AK52" s="195">
        <v>178140</v>
      </c>
      <c r="AL52" s="193">
        <v>30394</v>
      </c>
      <c r="AM52" s="193">
        <v>27754</v>
      </c>
      <c r="AN52" s="193">
        <v>25413</v>
      </c>
      <c r="AO52" s="195">
        <v>24889</v>
      </c>
      <c r="AP52" s="195">
        <v>39980</v>
      </c>
      <c r="AQ52" s="195">
        <v>42262</v>
      </c>
    </row>
    <row r="53" spans="1:43">
      <c r="B53" s="220" t="s">
        <v>226</v>
      </c>
      <c r="C53" s="193">
        <v>0</v>
      </c>
      <c r="D53" s="193">
        <v>0</v>
      </c>
      <c r="E53" s="195">
        <v>0</v>
      </c>
      <c r="F53" s="193">
        <v>0</v>
      </c>
      <c r="G53" s="193">
        <v>0</v>
      </c>
      <c r="H53" s="193">
        <v>0</v>
      </c>
      <c r="I53" s="195">
        <v>0</v>
      </c>
      <c r="J53" s="193">
        <v>0</v>
      </c>
      <c r="K53" s="193">
        <v>0</v>
      </c>
      <c r="L53" s="193">
        <v>0</v>
      </c>
      <c r="M53" s="195">
        <v>0</v>
      </c>
      <c r="N53" s="193">
        <v>0</v>
      </c>
      <c r="O53" s="193"/>
      <c r="P53" s="193">
        <v>0</v>
      </c>
      <c r="Q53" s="195">
        <v>0</v>
      </c>
      <c r="R53" s="193">
        <v>0</v>
      </c>
      <c r="S53" s="193">
        <v>0</v>
      </c>
      <c r="T53" s="193">
        <v>0</v>
      </c>
      <c r="U53" s="195">
        <v>0</v>
      </c>
      <c r="V53" s="193">
        <v>0</v>
      </c>
      <c r="W53" s="193">
        <v>0</v>
      </c>
      <c r="X53" s="193">
        <v>0</v>
      </c>
      <c r="Y53" s="195">
        <v>0</v>
      </c>
      <c r="Z53" s="193">
        <f>3015+3207</f>
        <v>6222</v>
      </c>
      <c r="AA53" s="193">
        <v>0</v>
      </c>
      <c r="AB53" s="193">
        <v>0</v>
      </c>
      <c r="AC53" s="195">
        <v>3467</v>
      </c>
      <c r="AD53" s="193">
        <v>2865</v>
      </c>
      <c r="AE53" s="193">
        <v>2926</v>
      </c>
      <c r="AF53" s="193">
        <v>3229</v>
      </c>
      <c r="AG53" s="195">
        <v>3334</v>
      </c>
      <c r="AH53" s="193">
        <v>2818</v>
      </c>
      <c r="AI53" s="193">
        <v>2996</v>
      </c>
      <c r="AJ53" s="193">
        <v>3234</v>
      </c>
      <c r="AK53" s="195">
        <v>23353</v>
      </c>
      <c r="AL53" s="193">
        <v>20787</v>
      </c>
      <c r="AM53" s="193">
        <v>20654</v>
      </c>
      <c r="AN53" s="193">
        <v>20596</v>
      </c>
      <c r="AO53" s="195">
        <v>20597</v>
      </c>
      <c r="AP53" s="195">
        <v>24244</v>
      </c>
      <c r="AQ53" s="195">
        <v>21935</v>
      </c>
    </row>
    <row r="54" spans="1:43">
      <c r="B54" s="220" t="s">
        <v>338</v>
      </c>
      <c r="C54" s="193">
        <v>28558</v>
      </c>
      <c r="D54" s="193">
        <v>30496</v>
      </c>
      <c r="E54" s="195">
        <v>29771</v>
      </c>
      <c r="F54" s="193">
        <v>37827</v>
      </c>
      <c r="G54" s="193">
        <v>36491</v>
      </c>
      <c r="H54" s="193">
        <v>36631</v>
      </c>
      <c r="I54" s="195">
        <v>33429</v>
      </c>
      <c r="J54" s="193">
        <v>30632</v>
      </c>
      <c r="K54" s="193">
        <v>21902</v>
      </c>
      <c r="L54" s="193">
        <v>20546</v>
      </c>
      <c r="M54" s="195">
        <v>20266</v>
      </c>
      <c r="N54" s="193">
        <v>35479</v>
      </c>
      <c r="O54" s="193">
        <v>33410</v>
      </c>
      <c r="P54" s="193">
        <v>27149</v>
      </c>
      <c r="Q54" s="195">
        <v>27245</v>
      </c>
      <c r="R54" s="193">
        <v>25409</v>
      </c>
      <c r="S54" s="193">
        <v>19533</v>
      </c>
      <c r="T54" s="193">
        <v>16260</v>
      </c>
      <c r="U54" s="195">
        <v>15561</v>
      </c>
      <c r="V54" s="193">
        <v>17731</v>
      </c>
      <c r="W54" s="193">
        <v>16047</v>
      </c>
      <c r="X54" s="193">
        <v>15898</v>
      </c>
      <c r="Y54" s="195">
        <v>18965</v>
      </c>
      <c r="Z54" s="193">
        <v>17684</v>
      </c>
      <c r="AA54" s="193">
        <v>19808</v>
      </c>
      <c r="AB54" s="193">
        <v>21703</v>
      </c>
      <c r="AC54" s="195">
        <v>21923</v>
      </c>
      <c r="AD54" s="193">
        <v>17186</v>
      </c>
      <c r="AE54" s="193">
        <v>69483</v>
      </c>
      <c r="AF54" s="193">
        <v>72040</v>
      </c>
      <c r="AG54" s="195">
        <v>82297</v>
      </c>
      <c r="AH54" s="193">
        <v>77109</v>
      </c>
      <c r="AI54" s="193">
        <v>77971</v>
      </c>
      <c r="AJ54" s="193">
        <v>85171</v>
      </c>
      <c r="AK54" s="195">
        <v>84132</v>
      </c>
      <c r="AL54" s="193">
        <v>53313</v>
      </c>
      <c r="AM54" s="193">
        <v>50451</v>
      </c>
      <c r="AN54" s="193">
        <v>51278</v>
      </c>
      <c r="AO54" s="195">
        <v>43441</v>
      </c>
      <c r="AP54" s="195">
        <v>30753</v>
      </c>
      <c r="AQ54" s="195">
        <v>4618</v>
      </c>
    </row>
    <row r="55" spans="1:43">
      <c r="B55" s="220" t="s">
        <v>448</v>
      </c>
      <c r="C55" s="193">
        <v>2879</v>
      </c>
      <c r="D55" s="193"/>
      <c r="E55" s="195"/>
      <c r="F55" s="193"/>
      <c r="G55" s="193"/>
      <c r="H55" s="193"/>
      <c r="I55" s="195"/>
      <c r="J55" s="193"/>
      <c r="K55" s="193"/>
      <c r="L55" s="193"/>
      <c r="M55" s="195"/>
      <c r="N55" s="193"/>
      <c r="O55" s="193"/>
      <c r="P55" s="193"/>
      <c r="Q55" s="195"/>
      <c r="R55" s="193"/>
      <c r="S55" s="193"/>
      <c r="T55" s="193"/>
      <c r="U55" s="195"/>
      <c r="V55" s="193"/>
      <c r="W55" s="193"/>
      <c r="X55" s="193"/>
      <c r="Y55" s="195"/>
      <c r="Z55" s="193"/>
      <c r="AA55" s="193"/>
      <c r="AB55" s="193"/>
      <c r="AC55" s="195"/>
      <c r="AD55" s="193"/>
      <c r="AE55" s="193"/>
      <c r="AF55" s="193"/>
      <c r="AG55" s="195"/>
      <c r="AH55" s="193"/>
      <c r="AI55" s="193"/>
      <c r="AJ55" s="193"/>
      <c r="AK55" s="195"/>
      <c r="AL55" s="193"/>
      <c r="AM55" s="193"/>
      <c r="AN55" s="193"/>
      <c r="AO55" s="195"/>
      <c r="AP55" s="195"/>
      <c r="AQ55" s="195"/>
    </row>
    <row r="56" spans="1:43">
      <c r="B56" s="220" t="s">
        <v>227</v>
      </c>
      <c r="C56" s="193">
        <v>26183</v>
      </c>
      <c r="D56" s="193">
        <v>26289</v>
      </c>
      <c r="E56" s="195">
        <v>26540</v>
      </c>
      <c r="F56" s="193">
        <v>102071</v>
      </c>
      <c r="G56" s="193">
        <v>102708</v>
      </c>
      <c r="H56" s="193">
        <v>106185</v>
      </c>
      <c r="I56" s="195">
        <v>106387</v>
      </c>
      <c r="J56" s="193">
        <v>111558</v>
      </c>
      <c r="K56" s="193">
        <v>113444</v>
      </c>
      <c r="L56" s="193">
        <v>112047</v>
      </c>
      <c r="M56" s="195">
        <v>113429</v>
      </c>
      <c r="N56" s="193">
        <v>23967</v>
      </c>
      <c r="O56" s="193">
        <v>26705</v>
      </c>
      <c r="P56" s="193">
        <v>28188</v>
      </c>
      <c r="Q56" s="195">
        <v>29596</v>
      </c>
      <c r="R56" s="193">
        <v>30118</v>
      </c>
      <c r="S56" s="193">
        <v>31862</v>
      </c>
      <c r="T56" s="193">
        <v>33830</v>
      </c>
      <c r="U56" s="195">
        <v>35965</v>
      </c>
      <c r="V56" s="193">
        <v>39213</v>
      </c>
      <c r="W56" s="193">
        <v>33410</v>
      </c>
      <c r="X56" s="193">
        <v>8502</v>
      </c>
      <c r="Y56" s="195">
        <v>9046</v>
      </c>
      <c r="Z56" s="193">
        <v>0</v>
      </c>
      <c r="AA56" s="193">
        <v>6745</v>
      </c>
      <c r="AB56" s="193">
        <v>6188</v>
      </c>
      <c r="AC56" s="195">
        <v>2498</v>
      </c>
      <c r="AD56" s="193">
        <v>0</v>
      </c>
      <c r="AE56" s="193">
        <v>0</v>
      </c>
      <c r="AF56" s="193">
        <v>0</v>
      </c>
      <c r="AG56" s="195">
        <v>0</v>
      </c>
      <c r="AH56" s="193">
        <v>0</v>
      </c>
      <c r="AI56" s="193">
        <v>113802</v>
      </c>
      <c r="AJ56" s="193">
        <v>108605</v>
      </c>
      <c r="AK56" s="195">
        <v>99399</v>
      </c>
      <c r="AL56" s="193">
        <v>0</v>
      </c>
      <c r="AM56" s="193">
        <v>0</v>
      </c>
      <c r="AN56" s="193">
        <v>0</v>
      </c>
      <c r="AO56" s="195">
        <v>0</v>
      </c>
      <c r="AP56" s="195">
        <v>0</v>
      </c>
      <c r="AQ56" s="195">
        <v>0</v>
      </c>
    </row>
    <row r="57" spans="1:43" ht="15.75" thickBot="1">
      <c r="A57" s="196"/>
      <c r="B57" s="228" t="s">
        <v>228</v>
      </c>
      <c r="C57" s="198">
        <f t="shared" ref="C57" si="136">SUM(C58:C63)</f>
        <v>2809925</v>
      </c>
      <c r="D57" s="198">
        <f t="shared" ref="D57" si="137">SUM(D58:D63)</f>
        <v>2649664</v>
      </c>
      <c r="E57" s="200">
        <f t="shared" ref="E57" si="138">SUM(E58:E63)</f>
        <v>2790457</v>
      </c>
      <c r="F57" s="198">
        <f t="shared" ref="F57" si="139">SUM(F58:F63)</f>
        <v>2762977</v>
      </c>
      <c r="G57" s="198">
        <f t="shared" ref="G57" si="140">SUM(G58:G63)</f>
        <v>2676568</v>
      </c>
      <c r="H57" s="198">
        <f t="shared" ref="H57" si="141">SUM(H58:H63)</f>
        <v>2532352</v>
      </c>
      <c r="I57" s="200">
        <f t="shared" ref="I57" si="142">SUM(I58:I63)</f>
        <v>2422333</v>
      </c>
      <c r="J57" s="198">
        <f t="shared" ref="J57" si="143">SUM(J58:J63)</f>
        <v>2808343</v>
      </c>
      <c r="K57" s="198">
        <f t="shared" ref="K57" si="144">SUM(K58:K63)</f>
        <v>2609275</v>
      </c>
      <c r="L57" s="198">
        <f t="shared" ref="L57" si="145">SUM(L58:L63)</f>
        <v>2557636</v>
      </c>
      <c r="M57" s="200">
        <f t="shared" ref="M57" si="146">SUM(M58:M63)</f>
        <v>2317404</v>
      </c>
      <c r="N57" s="198">
        <f t="shared" ref="N57" si="147">SUM(N58:N63)</f>
        <v>2818632</v>
      </c>
      <c r="O57" s="198">
        <f t="shared" ref="O57" si="148">SUM(O58:O63)</f>
        <v>3220548</v>
      </c>
      <c r="P57" s="198">
        <f t="shared" ref="P57" si="149">SUM(P58:P63)</f>
        <v>2642368</v>
      </c>
      <c r="Q57" s="200">
        <v>2288743</v>
      </c>
      <c r="R57" s="198">
        <f t="shared" ref="R57:S57" si="150">SUM(R58:R63)</f>
        <v>2534707</v>
      </c>
      <c r="S57" s="198">
        <f t="shared" si="150"/>
        <v>1981562</v>
      </c>
      <c r="T57" s="198">
        <f t="shared" ref="T57:U57" si="151">SUM(T58:T63)</f>
        <v>2074064</v>
      </c>
      <c r="U57" s="200">
        <f t="shared" si="151"/>
        <v>1725007</v>
      </c>
      <c r="V57" s="198">
        <f t="shared" ref="V57:W57" si="152">SUM(V58:V63)</f>
        <v>1527274</v>
      </c>
      <c r="W57" s="198">
        <f t="shared" si="152"/>
        <v>1401019</v>
      </c>
      <c r="X57" s="198">
        <f t="shared" ref="X57" si="153">SUM(X58:X63)</f>
        <v>1382487</v>
      </c>
      <c r="Y57" s="200">
        <f t="shared" ref="Y57" si="154">SUM(Y58:Y63)</f>
        <v>1473053</v>
      </c>
      <c r="Z57" s="198">
        <f t="shared" ref="Z57" si="155">SUM(Z58:Z63)</f>
        <v>1324090</v>
      </c>
      <c r="AA57" s="198">
        <f t="shared" ref="AA57:AE57" si="156">SUM(AA58:AA63)</f>
        <v>1382167</v>
      </c>
      <c r="AB57" s="198">
        <f t="shared" si="156"/>
        <v>1367282</v>
      </c>
      <c r="AC57" s="200">
        <f t="shared" si="156"/>
        <v>1347520</v>
      </c>
      <c r="AD57" s="198">
        <f t="shared" si="156"/>
        <v>1294953</v>
      </c>
      <c r="AE57" s="198">
        <f t="shared" si="156"/>
        <v>1151982</v>
      </c>
      <c r="AF57" s="198">
        <v>1133482</v>
      </c>
      <c r="AG57" s="200">
        <v>990925</v>
      </c>
      <c r="AH57" s="198">
        <v>991682</v>
      </c>
      <c r="AI57" s="198">
        <v>1236723</v>
      </c>
      <c r="AJ57" s="198">
        <v>1202987</v>
      </c>
      <c r="AK57" s="200">
        <v>1081748</v>
      </c>
      <c r="AL57" s="198">
        <v>905045</v>
      </c>
      <c r="AM57" s="198">
        <v>885259</v>
      </c>
      <c r="AN57" s="198">
        <v>869237</v>
      </c>
      <c r="AO57" s="200">
        <v>827223</v>
      </c>
      <c r="AP57" s="200">
        <v>776870</v>
      </c>
      <c r="AQ57" s="200">
        <v>742033</v>
      </c>
    </row>
    <row r="58" spans="1:43" ht="15" thickTop="1">
      <c r="B58" s="229" t="s">
        <v>229</v>
      </c>
      <c r="C58" s="193">
        <v>1170110</v>
      </c>
      <c r="D58" s="193">
        <v>1170110</v>
      </c>
      <c r="E58" s="195">
        <v>1170110</v>
      </c>
      <c r="F58" s="193">
        <v>1170110</v>
      </c>
      <c r="G58" s="193">
        <v>1170110</v>
      </c>
      <c r="H58" s="193">
        <v>927877</v>
      </c>
      <c r="I58" s="195">
        <v>927877</v>
      </c>
      <c r="J58" s="193">
        <v>927877</v>
      </c>
      <c r="K58" s="193">
        <v>927877</v>
      </c>
      <c r="L58" s="193">
        <v>927877</v>
      </c>
      <c r="M58" s="195">
        <v>927877</v>
      </c>
      <c r="N58" s="193">
        <v>927877</v>
      </c>
      <c r="O58" s="193">
        <v>927877</v>
      </c>
      <c r="P58" s="193">
        <v>699002</v>
      </c>
      <c r="Q58" s="195">
        <v>699002</v>
      </c>
      <c r="R58" s="193">
        <v>699002</v>
      </c>
      <c r="S58" s="193">
        <v>699002</v>
      </c>
      <c r="T58" s="193">
        <v>699002</v>
      </c>
      <c r="U58" s="195">
        <v>699002</v>
      </c>
      <c r="V58" s="193">
        <v>699002</v>
      </c>
      <c r="W58" s="193">
        <v>699002</v>
      </c>
      <c r="X58" s="193">
        <v>699002</v>
      </c>
      <c r="Y58" s="195">
        <v>699002</v>
      </c>
      <c r="Z58" s="193">
        <v>699002</v>
      </c>
      <c r="AA58" s="193">
        <v>699002</v>
      </c>
      <c r="AB58" s="193">
        <v>474415</v>
      </c>
      <c r="AC58" s="195">
        <v>474415</v>
      </c>
      <c r="AD58" s="193">
        <v>384331</v>
      </c>
      <c r="AE58" s="193">
        <v>384331</v>
      </c>
      <c r="AF58" s="193">
        <v>384331</v>
      </c>
      <c r="AG58" s="195">
        <v>384331</v>
      </c>
      <c r="AH58" s="193">
        <v>384331</v>
      </c>
      <c r="AI58" s="193">
        <v>384331</v>
      </c>
      <c r="AJ58" s="193">
        <v>384331</v>
      </c>
      <c r="AK58" s="195">
        <v>384331</v>
      </c>
      <c r="AL58" s="193">
        <v>384331</v>
      </c>
      <c r="AM58" s="193">
        <v>384331</v>
      </c>
      <c r="AN58" s="193">
        <v>384331</v>
      </c>
      <c r="AO58" s="195">
        <v>384331</v>
      </c>
      <c r="AP58" s="195">
        <v>384331</v>
      </c>
      <c r="AQ58" s="195">
        <v>384331</v>
      </c>
    </row>
    <row r="59" spans="1:43">
      <c r="B59" s="229" t="s">
        <v>230</v>
      </c>
      <c r="C59" s="193">
        <v>-74788</v>
      </c>
      <c r="D59" s="193">
        <v>-46922</v>
      </c>
      <c r="E59" s="195">
        <v>-22080</v>
      </c>
      <c r="F59" s="193">
        <v>-46819</v>
      </c>
      <c r="G59" s="193">
        <v>-45913</v>
      </c>
      <c r="H59" s="193">
        <v>-45913</v>
      </c>
      <c r="I59" s="195">
        <v>-28276</v>
      </c>
      <c r="J59" s="193">
        <v>-28276</v>
      </c>
      <c r="K59" s="193">
        <v>-32621</v>
      </c>
      <c r="L59" s="193">
        <v>-31039</v>
      </c>
      <c r="M59" s="195">
        <v>-31039</v>
      </c>
      <c r="N59" s="193">
        <v>-31039</v>
      </c>
      <c r="O59" s="193">
        <v>-30802</v>
      </c>
      <c r="P59" s="193">
        <v>-1401</v>
      </c>
      <c r="Q59" s="195">
        <v>-1401</v>
      </c>
      <c r="R59" s="193">
        <v>-1401</v>
      </c>
      <c r="S59" s="193">
        <v>-1401</v>
      </c>
      <c r="T59" s="193">
        <v>-1401</v>
      </c>
      <c r="U59" s="195">
        <v>-1154</v>
      </c>
      <c r="V59" s="193">
        <v>-37378</v>
      </c>
      <c r="W59" s="193">
        <v>-40711</v>
      </c>
      <c r="X59" s="193">
        <v>-27807</v>
      </c>
      <c r="Y59" s="195">
        <v>-101459</v>
      </c>
      <c r="Z59" s="193">
        <v>-91222</v>
      </c>
      <c r="AA59" s="193">
        <v>-41146</v>
      </c>
      <c r="AB59" s="193">
        <v>-12584</v>
      </c>
      <c r="AC59" s="195">
        <v>-33221</v>
      </c>
      <c r="AD59" s="193">
        <v>-14879</v>
      </c>
      <c r="AE59" s="193">
        <v>-14879</v>
      </c>
      <c r="AF59" s="193">
        <v>-14879</v>
      </c>
      <c r="AG59" s="195">
        <v>-14879</v>
      </c>
      <c r="AH59" s="193">
        <v>-14879</v>
      </c>
      <c r="AI59" s="193">
        <v>-14879</v>
      </c>
      <c r="AJ59" s="193">
        <v>-14879</v>
      </c>
      <c r="AK59" s="195">
        <v>-14879</v>
      </c>
      <c r="AL59" s="193">
        <v>-14879</v>
      </c>
      <c r="AM59" s="193">
        <v>-14879</v>
      </c>
      <c r="AN59" s="193">
        <v>-14879</v>
      </c>
      <c r="AO59" s="195">
        <v>-14879</v>
      </c>
      <c r="AP59" s="195">
        <v>-14879</v>
      </c>
      <c r="AQ59" s="195">
        <v>-14879</v>
      </c>
    </row>
    <row r="60" spans="1:43">
      <c r="B60" s="229" t="s">
        <v>231</v>
      </c>
      <c r="C60" s="193">
        <v>1148077</v>
      </c>
      <c r="D60" s="193">
        <v>1142556</v>
      </c>
      <c r="E60" s="195">
        <v>1392556</v>
      </c>
      <c r="F60" s="193">
        <v>1185348</v>
      </c>
      <c r="G60" s="193">
        <v>1178663</v>
      </c>
      <c r="H60" s="193">
        <v>1412878</v>
      </c>
      <c r="I60" s="195">
        <v>1521186</v>
      </c>
      <c r="J60" s="193">
        <v>928860</v>
      </c>
      <c r="K60" s="193">
        <v>928860</v>
      </c>
      <c r="L60" s="193">
        <v>1010773</v>
      </c>
      <c r="M60" s="195">
        <v>1010773</v>
      </c>
      <c r="N60" s="193">
        <v>919223</v>
      </c>
      <c r="O60" s="193">
        <v>919223</v>
      </c>
      <c r="P60" s="193">
        <v>1147566</v>
      </c>
      <c r="Q60" s="195">
        <v>1147566</v>
      </c>
      <c r="R60" s="193">
        <v>682286</v>
      </c>
      <c r="S60" s="193">
        <v>710286</v>
      </c>
      <c r="T60" s="193">
        <v>804599</v>
      </c>
      <c r="U60" s="195">
        <v>804599</v>
      </c>
      <c r="V60" s="193">
        <v>559374</v>
      </c>
      <c r="W60" s="193">
        <v>611711</v>
      </c>
      <c r="X60" s="193">
        <v>611165</v>
      </c>
      <c r="Y60" s="195">
        <v>736249</v>
      </c>
      <c r="Z60" s="193">
        <v>603952</v>
      </c>
      <c r="AA60" s="193">
        <v>603952</v>
      </c>
      <c r="AB60" s="193">
        <v>828039</v>
      </c>
      <c r="AC60" s="195">
        <v>872230</v>
      </c>
      <c r="AD60" s="193">
        <v>580224</v>
      </c>
      <c r="AE60" s="193">
        <v>580224</v>
      </c>
      <c r="AF60" s="193">
        <v>579807</v>
      </c>
      <c r="AG60" s="195">
        <v>579807</v>
      </c>
      <c r="AH60" s="193">
        <v>368260</v>
      </c>
      <c r="AI60" s="193">
        <v>731060</v>
      </c>
      <c r="AJ60" s="193">
        <v>730701</v>
      </c>
      <c r="AK60" s="195">
        <v>730701</v>
      </c>
      <c r="AL60" s="193">
        <v>481046</v>
      </c>
      <c r="AM60" s="193">
        <v>481046</v>
      </c>
      <c r="AN60" s="193">
        <v>480839</v>
      </c>
      <c r="AO60" s="195">
        <v>480839</v>
      </c>
      <c r="AP60" s="195">
        <v>418127</v>
      </c>
      <c r="AQ60" s="195">
        <v>372408</v>
      </c>
    </row>
    <row r="61" spans="1:43">
      <c r="B61" s="229" t="s">
        <v>389</v>
      </c>
      <c r="C61" s="193">
        <v>15495</v>
      </c>
      <c r="D61" s="193">
        <f>3819+10609</f>
        <v>14428</v>
      </c>
      <c r="E61" s="195">
        <v>13360</v>
      </c>
      <c r="F61" s="193">
        <v>13529</v>
      </c>
      <c r="G61" s="193">
        <v>15364</v>
      </c>
      <c r="H61" s="193">
        <v>13186</v>
      </c>
      <c r="I61" s="195">
        <v>11420</v>
      </c>
      <c r="J61" s="193">
        <v>9654</v>
      </c>
      <c r="K61" s="193">
        <v>13266</v>
      </c>
      <c r="L61" s="193">
        <v>9870</v>
      </c>
      <c r="M61" s="195">
        <v>6474</v>
      </c>
      <c r="N61" s="193">
        <v>3078</v>
      </c>
      <c r="O61" s="193"/>
      <c r="P61" s="193"/>
      <c r="Q61" s="195"/>
      <c r="R61" s="193"/>
      <c r="S61" s="193"/>
      <c r="T61" s="193"/>
      <c r="U61" s="195"/>
      <c r="V61" s="193"/>
      <c r="W61" s="193"/>
      <c r="X61" s="193"/>
      <c r="Y61" s="195"/>
      <c r="Z61" s="193"/>
      <c r="AA61" s="193"/>
      <c r="AB61" s="193"/>
      <c r="AC61" s="195"/>
      <c r="AD61" s="193"/>
      <c r="AE61" s="193"/>
      <c r="AF61" s="193"/>
      <c r="AG61" s="195"/>
      <c r="AH61" s="193"/>
      <c r="AI61" s="193"/>
      <c r="AJ61" s="193"/>
      <c r="AK61" s="195"/>
      <c r="AL61" s="193"/>
      <c r="AM61" s="193"/>
      <c r="AN61" s="193"/>
      <c r="AO61" s="195"/>
      <c r="AP61" s="195"/>
      <c r="AQ61" s="195"/>
    </row>
    <row r="62" spans="1:43">
      <c r="B62" s="229" t="s">
        <v>232</v>
      </c>
      <c r="C62" s="193">
        <v>384610</v>
      </c>
      <c r="D62" s="193">
        <v>151382</v>
      </c>
      <c r="E62" s="195">
        <v>0</v>
      </c>
      <c r="F62" s="193">
        <v>263340</v>
      </c>
      <c r="G62" s="193">
        <v>144766</v>
      </c>
      <c r="H62" s="193">
        <v>55992</v>
      </c>
      <c r="I62" s="195">
        <v>0</v>
      </c>
      <c r="J62" s="193">
        <v>627355</v>
      </c>
      <c r="K62" s="193">
        <v>437446</v>
      </c>
      <c r="L62" s="193">
        <v>251769</v>
      </c>
      <c r="M62" s="195">
        <v>0</v>
      </c>
      <c r="N62" s="193">
        <v>552807</v>
      </c>
      <c r="O62" s="193">
        <v>979966</v>
      </c>
      <c r="P62" s="193">
        <v>445396</v>
      </c>
      <c r="Q62" s="195">
        <v>0</v>
      </c>
      <c r="R62" s="193">
        <v>778800</v>
      </c>
      <c r="S62" s="193">
        <v>272620</v>
      </c>
      <c r="T62" s="193">
        <v>277547</v>
      </c>
      <c r="U62" s="195">
        <v>0</v>
      </c>
      <c r="V62" s="193">
        <v>82527</v>
      </c>
      <c r="W62" s="193">
        <v>-72350</v>
      </c>
      <c r="X62" s="193">
        <v>-92219</v>
      </c>
      <c r="Y62" s="195">
        <v>0</v>
      </c>
      <c r="Z62" s="193">
        <v>54199</v>
      </c>
      <c r="AA62" s="193">
        <v>66792</v>
      </c>
      <c r="AB62" s="193">
        <v>56283</v>
      </c>
      <c r="AC62" s="195">
        <v>0</v>
      </c>
      <c r="AD62" s="193">
        <v>374232</v>
      </c>
      <c r="AE62" s="193">
        <v>229629</v>
      </c>
      <c r="AF62" s="193">
        <v>158506</v>
      </c>
      <c r="AG62" s="195">
        <v>0</v>
      </c>
      <c r="AH62" s="193">
        <v>192820</v>
      </c>
      <c r="AI62" s="193">
        <v>59842</v>
      </c>
      <c r="AJ62" s="193">
        <v>34466</v>
      </c>
      <c r="AK62" s="195">
        <v>0</v>
      </c>
      <c r="AL62" s="193">
        <v>65873</v>
      </c>
      <c r="AM62" s="193">
        <v>46591</v>
      </c>
      <c r="AN62" s="193">
        <v>36169</v>
      </c>
      <c r="AO62" s="195">
        <v>0</v>
      </c>
      <c r="AP62" s="195">
        <v>0</v>
      </c>
      <c r="AQ62" s="195">
        <v>173</v>
      </c>
    </row>
    <row r="63" spans="1:43">
      <c r="B63" s="229" t="s">
        <v>233</v>
      </c>
      <c r="C63" s="193">
        <v>166421</v>
      </c>
      <c r="D63" s="193">
        <v>218110</v>
      </c>
      <c r="E63" s="195">
        <v>236511</v>
      </c>
      <c r="F63" s="193">
        <v>177469</v>
      </c>
      <c r="G63" s="193">
        <v>213578</v>
      </c>
      <c r="H63" s="193">
        <v>168332</v>
      </c>
      <c r="I63" s="195">
        <v>-9874</v>
      </c>
      <c r="J63" s="193">
        <v>342873</v>
      </c>
      <c r="K63" s="193">
        <v>334447</v>
      </c>
      <c r="L63" s="193">
        <v>388386</v>
      </c>
      <c r="M63" s="195">
        <v>403319</v>
      </c>
      <c r="N63" s="193">
        <v>446686</v>
      </c>
      <c r="O63" s="193">
        <v>424284</v>
      </c>
      <c r="P63" s="193">
        <v>351805</v>
      </c>
      <c r="Q63" s="195">
        <v>443576</v>
      </c>
      <c r="R63" s="193">
        <v>376020</v>
      </c>
      <c r="S63" s="193">
        <v>301055</v>
      </c>
      <c r="T63" s="193">
        <v>294317</v>
      </c>
      <c r="U63" s="195">
        <v>222560</v>
      </c>
      <c r="V63" s="193">
        <v>223749</v>
      </c>
      <c r="W63" s="193">
        <v>203367</v>
      </c>
      <c r="X63" s="193">
        <v>192346</v>
      </c>
      <c r="Y63" s="195">
        <v>139261</v>
      </c>
      <c r="Z63" s="193">
        <v>58159</v>
      </c>
      <c r="AA63" s="193">
        <v>53567</v>
      </c>
      <c r="AB63" s="193">
        <v>21129</v>
      </c>
      <c r="AC63" s="195">
        <v>34096</v>
      </c>
      <c r="AD63" s="193">
        <v>-28955</v>
      </c>
      <c r="AE63" s="193">
        <v>-27323</v>
      </c>
      <c r="AF63" s="193">
        <v>25717</v>
      </c>
      <c r="AG63" s="195">
        <v>41666</v>
      </c>
      <c r="AH63" s="193">
        <v>61150</v>
      </c>
      <c r="AI63" s="193">
        <v>76369</v>
      </c>
      <c r="AJ63" s="193">
        <v>68368</v>
      </c>
      <c r="AK63" s="195">
        <v>-18405</v>
      </c>
      <c r="AL63" s="193">
        <v>-11326</v>
      </c>
      <c r="AM63" s="193">
        <v>-11830</v>
      </c>
      <c r="AN63" s="193">
        <v>-17223</v>
      </c>
      <c r="AO63" s="195">
        <v>-23068</v>
      </c>
      <c r="AP63" s="195">
        <v>-10709</v>
      </c>
      <c r="AQ63" s="195">
        <v>0</v>
      </c>
    </row>
    <row r="64" spans="1:43">
      <c r="AE64" s="193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</row>
    <row r="65" spans="32:37">
      <c r="AF65" s="231"/>
      <c r="AG65" s="231"/>
      <c r="AH65" s="231"/>
      <c r="AI65" s="231"/>
      <c r="AJ65" s="231"/>
      <c r="AK65" s="231"/>
    </row>
    <row r="66" spans="32:37">
      <c r="AF66" s="231"/>
      <c r="AG66" s="231"/>
      <c r="AH66" s="231"/>
      <c r="AI66" s="231"/>
      <c r="AK66" s="231"/>
    </row>
    <row r="67" spans="32:37">
      <c r="AF67" s="231"/>
      <c r="AG67" s="231"/>
    </row>
    <row r="68" spans="32:37">
      <c r="AF68" s="231"/>
      <c r="AG68" s="231"/>
      <c r="AH68" s="231"/>
      <c r="AI68" s="231"/>
    </row>
    <row r="69" spans="32:37">
      <c r="AF69" s="231"/>
      <c r="AG69" s="231"/>
      <c r="AH69" s="231"/>
      <c r="AI69" s="231"/>
    </row>
    <row r="70" spans="32:37">
      <c r="AF70" s="231"/>
      <c r="AG70" s="231"/>
      <c r="AH70" s="231"/>
      <c r="AI70" s="231"/>
    </row>
  </sheetData>
  <mergeCells count="85">
    <mergeCell ref="K10:K11"/>
    <mergeCell ref="K35:K36"/>
    <mergeCell ref="G10:G11"/>
    <mergeCell ref="G35:G36"/>
    <mergeCell ref="C10:C11"/>
    <mergeCell ref="C35:C36"/>
    <mergeCell ref="AB10:AB11"/>
    <mergeCell ref="V10:V11"/>
    <mergeCell ref="M10:M11"/>
    <mergeCell ref="M35:M36"/>
    <mergeCell ref="P10:P11"/>
    <mergeCell ref="P35:P36"/>
    <mergeCell ref="R35:R36"/>
    <mergeCell ref="AA10:AA11"/>
    <mergeCell ref="N35:N36"/>
    <mergeCell ref="N10:N11"/>
    <mergeCell ref="O10:O11"/>
    <mergeCell ref="O35:O36"/>
    <mergeCell ref="V35:V36"/>
    <mergeCell ref="Q10:Q11"/>
    <mergeCell ref="Q35:Q36"/>
    <mergeCell ref="T10:T11"/>
    <mergeCell ref="AC10:AC11"/>
    <mergeCell ref="AE10:AE11"/>
    <mergeCell ref="AN35:AN36"/>
    <mergeCell ref="AM35:AM36"/>
    <mergeCell ref="AB35:AB36"/>
    <mergeCell ref="AC35:AC36"/>
    <mergeCell ref="AD35:AD36"/>
    <mergeCell ref="AG35:AG36"/>
    <mergeCell ref="AF35:AF36"/>
    <mergeCell ref="AL35:AL36"/>
    <mergeCell ref="AK35:AK36"/>
    <mergeCell ref="AJ35:AJ36"/>
    <mergeCell ref="AF10:AF11"/>
    <mergeCell ref="AD10:AD11"/>
    <mergeCell ref="AG10:AG11"/>
    <mergeCell ref="AN10:AN11"/>
    <mergeCell ref="B7:B8"/>
    <mergeCell ref="B10:B11"/>
    <mergeCell ref="Y35:Y36"/>
    <mergeCell ref="Z35:Z36"/>
    <mergeCell ref="W10:W11"/>
    <mergeCell ref="W35:W36"/>
    <mergeCell ref="X10:X11"/>
    <mergeCell ref="X35:X36"/>
    <mergeCell ref="Y10:Y11"/>
    <mergeCell ref="Z10:Z11"/>
    <mergeCell ref="S10:S11"/>
    <mergeCell ref="S35:S36"/>
    <mergeCell ref="B35:B36"/>
    <mergeCell ref="F10:F11"/>
    <mergeCell ref="F35:F36"/>
    <mergeCell ref="L10:L11"/>
    <mergeCell ref="AQ10:AQ11"/>
    <mergeCell ref="AQ35:AQ36"/>
    <mergeCell ref="AE35:AE36"/>
    <mergeCell ref="AP35:AP36"/>
    <mergeCell ref="AO35:AO36"/>
    <mergeCell ref="AP10:AP11"/>
    <mergeCell ref="AI35:AI36"/>
    <mergeCell ref="AH35:AH36"/>
    <mergeCell ref="AL10:AL11"/>
    <mergeCell ref="AK10:AK11"/>
    <mergeCell ref="AJ10:AJ11"/>
    <mergeCell ref="AI10:AI11"/>
    <mergeCell ref="AO10:AO11"/>
    <mergeCell ref="AH10:AH11"/>
    <mergeCell ref="AM10:AM11"/>
    <mergeCell ref="D10:D11"/>
    <mergeCell ref="D35:D36"/>
    <mergeCell ref="AA35:AA36"/>
    <mergeCell ref="H10:H11"/>
    <mergeCell ref="H35:H36"/>
    <mergeCell ref="J10:J11"/>
    <mergeCell ref="J35:J36"/>
    <mergeCell ref="E10:E11"/>
    <mergeCell ref="E35:E36"/>
    <mergeCell ref="U35:U36"/>
    <mergeCell ref="R10:R11"/>
    <mergeCell ref="T35:T36"/>
    <mergeCell ref="U10:U11"/>
    <mergeCell ref="L35:L36"/>
    <mergeCell ref="I10:I11"/>
    <mergeCell ref="I35:I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22:AE22 S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A4A9-12FE-4E23-B0DA-397B0C6F2B74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0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Q95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68.28515625" style="181" customWidth="1"/>
    <col min="3" max="4" width="11.5703125" style="181" bestFit="1" customWidth="1"/>
    <col min="5" max="6" width="12.28515625" style="181" bestFit="1" customWidth="1"/>
    <col min="7" max="7" width="11.5703125" style="181" bestFit="1" customWidth="1"/>
    <col min="8" max="8" width="10.85546875" style="181" bestFit="1" customWidth="1"/>
    <col min="9" max="9" width="12.28515625" style="181" bestFit="1" customWidth="1"/>
    <col min="10" max="11" width="11.5703125" style="181" bestFit="1" customWidth="1"/>
    <col min="12" max="12" width="10.5703125" style="181" bestFit="1" customWidth="1"/>
    <col min="13" max="14" width="12.28515625" style="181" bestFit="1" customWidth="1"/>
    <col min="15" max="15" width="11.5703125" style="181" bestFit="1" customWidth="1"/>
    <col min="16" max="16" width="10.7109375" style="181" customWidth="1"/>
    <col min="17" max="17" width="12.28515625" style="181" bestFit="1" customWidth="1"/>
    <col min="18" max="18" width="11.5703125" style="181" bestFit="1" customWidth="1"/>
    <col min="19" max="29" width="10.7109375" style="181" customWidth="1"/>
    <col min="30" max="30" width="10.5703125" style="181" bestFit="1" customWidth="1"/>
    <col min="31" max="32" width="10.5703125" style="183" bestFit="1" customWidth="1"/>
    <col min="33" max="33" width="10.7109375" style="181" customWidth="1"/>
    <col min="34" max="35" width="10.5703125" style="183" bestFit="1" customWidth="1"/>
    <col min="36" max="36" width="9.85546875" style="183" bestFit="1" customWidth="1"/>
    <col min="37" max="37" width="10.7109375" style="181" customWidth="1"/>
    <col min="38" max="39" width="10.5703125" style="183" bestFit="1" customWidth="1"/>
    <col min="40" max="40" width="9.85546875" style="183" bestFit="1" customWidth="1"/>
    <col min="41" max="43" width="10.7109375" style="181" customWidth="1"/>
    <col min="44" max="16384" width="9.140625" style="184"/>
  </cols>
  <sheetData>
    <row r="1" spans="1:43" ht="9" customHeight="1"/>
    <row r="2" spans="1:43" ht="15.75" customHeight="1"/>
    <row r="3" spans="1:43" ht="15.75" customHeight="1"/>
    <row r="4" spans="1:43" ht="15.75" customHeight="1"/>
    <row r="5" spans="1:43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G5" s="188"/>
      <c r="AK5" s="188"/>
      <c r="AO5" s="188"/>
      <c r="AP5" s="188"/>
      <c r="AQ5" s="188"/>
    </row>
    <row r="6" spans="1:43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G6" s="188"/>
      <c r="AK6" s="188"/>
      <c r="AO6" s="188"/>
      <c r="AP6" s="188"/>
      <c r="AQ6" s="188"/>
    </row>
    <row r="7" spans="1:43" ht="15" customHeight="1">
      <c r="B7" s="450" t="s">
        <v>382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233"/>
      <c r="AF7" s="233"/>
      <c r="AG7" s="380"/>
      <c r="AH7" s="233"/>
      <c r="AI7" s="233"/>
      <c r="AJ7" s="233"/>
      <c r="AK7" s="380"/>
      <c r="AL7" s="233"/>
      <c r="AM7" s="233"/>
      <c r="AN7" s="232"/>
      <c r="AO7" s="380"/>
      <c r="AP7" s="380"/>
      <c r="AQ7" s="380"/>
    </row>
    <row r="8" spans="1:43" ht="15" customHeight="1">
      <c r="B8" s="45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233"/>
      <c r="AF8" s="233"/>
      <c r="AG8" s="380"/>
      <c r="AH8" s="233"/>
      <c r="AI8" s="233"/>
      <c r="AJ8" s="233"/>
      <c r="AK8" s="380"/>
      <c r="AL8" s="233"/>
      <c r="AM8" s="233"/>
      <c r="AN8" s="232"/>
      <c r="AO8" s="380"/>
      <c r="AP8" s="380"/>
      <c r="AQ8" s="380"/>
    </row>
    <row r="9" spans="1:43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G9" s="188"/>
      <c r="AK9" s="188"/>
      <c r="AO9" s="188"/>
      <c r="AP9" s="188"/>
      <c r="AQ9" s="188"/>
    </row>
    <row r="10" spans="1:43">
      <c r="B10" s="458" t="s">
        <v>163</v>
      </c>
      <c r="C10" s="459" t="s">
        <v>450</v>
      </c>
      <c r="D10" s="461" t="s">
        <v>444</v>
      </c>
      <c r="E10" s="460" t="s">
        <v>437</v>
      </c>
      <c r="F10" s="459" t="s">
        <v>433</v>
      </c>
      <c r="G10" s="459" t="s">
        <v>430</v>
      </c>
      <c r="H10" s="461" t="s">
        <v>420</v>
      </c>
      <c r="I10" s="460" t="s">
        <v>409</v>
      </c>
      <c r="J10" s="459" t="s">
        <v>406</v>
      </c>
      <c r="K10" s="459" t="s">
        <v>403</v>
      </c>
      <c r="L10" s="461" t="s">
        <v>394</v>
      </c>
      <c r="M10" s="460" t="s">
        <v>390</v>
      </c>
      <c r="N10" s="459" t="s">
        <v>387</v>
      </c>
      <c r="O10" s="459" t="s">
        <v>363</v>
      </c>
      <c r="P10" s="461" t="s">
        <v>363</v>
      </c>
      <c r="Q10" s="460" t="s">
        <v>358</v>
      </c>
      <c r="R10" s="459" t="s">
        <v>353</v>
      </c>
      <c r="S10" s="459" t="s">
        <v>349</v>
      </c>
      <c r="T10" s="461" t="s">
        <v>344</v>
      </c>
      <c r="U10" s="460" t="s">
        <v>342</v>
      </c>
      <c r="V10" s="459" t="s">
        <v>336</v>
      </c>
      <c r="W10" s="459" t="s">
        <v>332</v>
      </c>
      <c r="X10" s="449" t="s">
        <v>329</v>
      </c>
      <c r="Y10" s="460" t="s">
        <v>327</v>
      </c>
      <c r="Z10" s="459" t="s">
        <v>326</v>
      </c>
      <c r="AA10" s="459" t="s">
        <v>316</v>
      </c>
      <c r="AB10" s="459" t="s">
        <v>311</v>
      </c>
      <c r="AC10" s="460" t="s">
        <v>308</v>
      </c>
      <c r="AD10" s="459" t="s">
        <v>162</v>
      </c>
      <c r="AE10" s="459" t="s">
        <v>165</v>
      </c>
      <c r="AF10" s="459" t="s">
        <v>167</v>
      </c>
      <c r="AG10" s="460" t="s">
        <v>161</v>
      </c>
      <c r="AH10" s="459" t="s">
        <v>156</v>
      </c>
      <c r="AI10" s="459" t="s">
        <v>170</v>
      </c>
      <c r="AJ10" s="459" t="s">
        <v>172</v>
      </c>
      <c r="AK10" s="460" t="s">
        <v>148</v>
      </c>
      <c r="AL10" s="459" t="s">
        <v>147</v>
      </c>
      <c r="AM10" s="459" t="s">
        <v>175</v>
      </c>
      <c r="AN10" s="459" t="s">
        <v>177</v>
      </c>
      <c r="AO10" s="460" t="s">
        <v>146</v>
      </c>
      <c r="AP10" s="460" t="s">
        <v>145</v>
      </c>
      <c r="AQ10" s="460" t="s">
        <v>178</v>
      </c>
    </row>
    <row r="11" spans="1:43">
      <c r="B11" s="455"/>
      <c r="C11" s="459"/>
      <c r="D11" s="461"/>
      <c r="E11" s="460"/>
      <c r="F11" s="459"/>
      <c r="G11" s="459"/>
      <c r="H11" s="461"/>
      <c r="I11" s="460"/>
      <c r="J11" s="459"/>
      <c r="K11" s="459"/>
      <c r="L11" s="461"/>
      <c r="M11" s="460"/>
      <c r="N11" s="459"/>
      <c r="O11" s="459"/>
      <c r="P11" s="461"/>
      <c r="Q11" s="460"/>
      <c r="R11" s="459"/>
      <c r="S11" s="459"/>
      <c r="T11" s="461"/>
      <c r="U11" s="460"/>
      <c r="V11" s="459"/>
      <c r="W11" s="459"/>
      <c r="X11" s="449"/>
      <c r="Y11" s="460"/>
      <c r="Z11" s="459"/>
      <c r="AA11" s="459"/>
      <c r="AB11" s="459"/>
      <c r="AC11" s="460"/>
      <c r="AD11" s="459"/>
      <c r="AE11" s="459"/>
      <c r="AF11" s="459"/>
      <c r="AG11" s="460"/>
      <c r="AH11" s="459"/>
      <c r="AI11" s="459"/>
      <c r="AJ11" s="459"/>
      <c r="AK11" s="460"/>
      <c r="AL11" s="459"/>
      <c r="AM11" s="459"/>
      <c r="AN11" s="459"/>
      <c r="AO11" s="460"/>
      <c r="AP11" s="460"/>
      <c r="AQ11" s="460"/>
    </row>
    <row r="12" spans="1:43" ht="15.75" thickBot="1">
      <c r="A12" s="196"/>
      <c r="B12" s="197" t="s">
        <v>237</v>
      </c>
      <c r="C12" s="197"/>
      <c r="D12" s="235"/>
      <c r="E12" s="236"/>
      <c r="F12" s="197"/>
      <c r="G12" s="197"/>
      <c r="H12" s="235"/>
      <c r="I12" s="236"/>
      <c r="J12" s="197"/>
      <c r="K12" s="197"/>
      <c r="L12" s="235"/>
      <c r="M12" s="236"/>
      <c r="N12" s="197"/>
      <c r="O12" s="197"/>
      <c r="P12" s="235"/>
      <c r="Q12" s="236"/>
      <c r="R12" s="197"/>
      <c r="S12" s="197"/>
      <c r="T12" s="235"/>
      <c r="U12" s="236"/>
      <c r="V12" s="197"/>
      <c r="W12" s="197"/>
      <c r="X12" s="197"/>
      <c r="Y12" s="236"/>
      <c r="Z12" s="197"/>
      <c r="AA12" s="197"/>
      <c r="AB12" s="197"/>
      <c r="AC12" s="236"/>
      <c r="AD12" s="197"/>
      <c r="AE12" s="198"/>
      <c r="AF12" s="198"/>
      <c r="AG12" s="236"/>
      <c r="AH12" s="198"/>
      <c r="AI12" s="198"/>
      <c r="AJ12" s="198"/>
      <c r="AK12" s="236"/>
      <c r="AL12" s="198"/>
      <c r="AM12" s="198"/>
      <c r="AN12" s="198"/>
      <c r="AO12" s="236"/>
      <c r="AP12" s="236"/>
      <c r="AQ12" s="236"/>
    </row>
    <row r="13" spans="1:43" ht="15" thickTop="1">
      <c r="B13" s="192" t="s">
        <v>198</v>
      </c>
      <c r="C13" s="381"/>
      <c r="D13" s="194"/>
      <c r="E13" s="195"/>
      <c r="F13" s="381"/>
      <c r="G13" s="381"/>
      <c r="H13" s="194"/>
      <c r="I13" s="195"/>
      <c r="J13" s="381"/>
      <c r="K13" s="381"/>
      <c r="L13" s="194"/>
      <c r="M13" s="195"/>
      <c r="N13" s="381"/>
      <c r="O13" s="381"/>
      <c r="P13" s="194"/>
      <c r="Q13" s="195"/>
      <c r="R13" s="381"/>
      <c r="S13" s="381"/>
      <c r="T13" s="194"/>
      <c r="U13" s="195"/>
      <c r="V13" s="193">
        <v>82527</v>
      </c>
      <c r="W13" s="193">
        <v>-72350</v>
      </c>
      <c r="X13" s="193">
        <v>-92219</v>
      </c>
      <c r="Y13" s="195">
        <v>173505</v>
      </c>
      <c r="Z13" s="193">
        <v>54199</v>
      </c>
      <c r="AA13" s="193">
        <v>66792</v>
      </c>
      <c r="AB13" s="193">
        <v>56283</v>
      </c>
      <c r="AC13" s="195">
        <v>528040</v>
      </c>
      <c r="AD13" s="193">
        <v>374232</v>
      </c>
      <c r="AE13" s="193">
        <v>229629</v>
      </c>
      <c r="AF13" s="193">
        <v>158506</v>
      </c>
      <c r="AG13" s="195">
        <v>302657</v>
      </c>
      <c r="AH13" s="193">
        <v>192820</v>
      </c>
      <c r="AI13" s="193">
        <v>59842</v>
      </c>
      <c r="AJ13" s="193">
        <v>34466</v>
      </c>
      <c r="AK13" s="195">
        <v>280836</v>
      </c>
      <c r="AL13" s="193">
        <v>65873</v>
      </c>
      <c r="AM13" s="193">
        <v>46591</v>
      </c>
      <c r="AN13" s="193">
        <v>36169</v>
      </c>
      <c r="AO13" s="195">
        <v>87833</v>
      </c>
      <c r="AP13" s="195">
        <v>65591</v>
      </c>
      <c r="AQ13" s="195">
        <v>360072</v>
      </c>
    </row>
    <row r="14" spans="1:43">
      <c r="B14" s="237" t="s">
        <v>362</v>
      </c>
      <c r="C14" s="193">
        <v>476798</v>
      </c>
      <c r="D14" s="194">
        <v>176923</v>
      </c>
      <c r="E14" s="195">
        <v>699110</v>
      </c>
      <c r="F14" s="193">
        <v>322867</v>
      </c>
      <c r="G14" s="193">
        <v>185972</v>
      </c>
      <c r="H14" s="194">
        <v>78609</v>
      </c>
      <c r="I14" s="195">
        <v>939091</v>
      </c>
      <c r="J14" s="193">
        <v>772056</v>
      </c>
      <c r="K14" s="193">
        <v>571271</v>
      </c>
      <c r="L14" s="194">
        <v>330595</v>
      </c>
      <c r="M14" s="195">
        <v>1649714</v>
      </c>
      <c r="N14" s="193">
        <v>1448196</v>
      </c>
      <c r="O14" s="193">
        <v>1156436</v>
      </c>
      <c r="P14" s="194">
        <v>517315</v>
      </c>
      <c r="Q14" s="195">
        <v>2350671</v>
      </c>
      <c r="R14" s="193">
        <v>1466357</v>
      </c>
      <c r="S14" s="193">
        <v>615142</v>
      </c>
      <c r="T14" s="194">
        <v>309319</v>
      </c>
      <c r="U14" s="195">
        <v>464489</v>
      </c>
      <c r="V14" s="193"/>
      <c r="W14" s="193"/>
      <c r="X14" s="193"/>
      <c r="Y14" s="195"/>
      <c r="Z14" s="193"/>
      <c r="AA14" s="193"/>
      <c r="AB14" s="193"/>
      <c r="AC14" s="195"/>
      <c r="AD14" s="193"/>
      <c r="AE14" s="193"/>
      <c r="AF14" s="193"/>
      <c r="AG14" s="195"/>
      <c r="AH14" s="193"/>
      <c r="AI14" s="193"/>
      <c r="AJ14" s="193"/>
      <c r="AK14" s="195"/>
      <c r="AL14" s="184"/>
      <c r="AM14" s="184"/>
      <c r="AN14" s="184"/>
      <c r="AO14" s="184"/>
      <c r="AP14" s="184"/>
      <c r="AQ14" s="184"/>
    </row>
    <row r="15" spans="1:43" ht="15.75" thickBot="1">
      <c r="A15" s="196"/>
      <c r="B15" s="197" t="s">
        <v>238</v>
      </c>
      <c r="C15" s="198"/>
      <c r="D15" s="199"/>
      <c r="E15" s="200"/>
      <c r="F15" s="198"/>
      <c r="G15" s="198"/>
      <c r="H15" s="199"/>
      <c r="I15" s="200"/>
      <c r="J15" s="198"/>
      <c r="K15" s="198"/>
      <c r="L15" s="199"/>
      <c r="M15" s="200"/>
      <c r="N15" s="198"/>
      <c r="O15" s="198"/>
      <c r="P15" s="199"/>
      <c r="Q15" s="200"/>
      <c r="R15" s="198"/>
      <c r="S15" s="198"/>
      <c r="T15" s="199"/>
      <c r="U15" s="200"/>
      <c r="V15" s="198"/>
      <c r="W15" s="198"/>
      <c r="X15" s="198"/>
      <c r="Y15" s="200"/>
      <c r="Z15" s="198"/>
      <c r="AA15" s="198"/>
      <c r="AB15" s="198"/>
      <c r="AC15" s="200"/>
      <c r="AD15" s="198"/>
      <c r="AE15" s="198"/>
      <c r="AF15" s="198"/>
      <c r="AG15" s="200"/>
      <c r="AH15" s="198"/>
      <c r="AI15" s="198"/>
      <c r="AJ15" s="198"/>
      <c r="AK15" s="200"/>
      <c r="AL15" s="198"/>
      <c r="AM15" s="198"/>
      <c r="AN15" s="198"/>
      <c r="AO15" s="200"/>
      <c r="AP15" s="200"/>
      <c r="AQ15" s="200"/>
    </row>
    <row r="16" spans="1:43" ht="15" thickTop="1">
      <c r="B16" s="201" t="s">
        <v>239</v>
      </c>
      <c r="C16" s="193">
        <v>70460</v>
      </c>
      <c r="D16" s="194">
        <v>35130</v>
      </c>
      <c r="E16" s="195">
        <v>137089</v>
      </c>
      <c r="F16" s="193">
        <v>102593</v>
      </c>
      <c r="G16" s="193">
        <v>67516</v>
      </c>
      <c r="H16" s="194">
        <v>34222</v>
      </c>
      <c r="I16" s="195">
        <v>117942</v>
      </c>
      <c r="J16" s="193">
        <v>70353</v>
      </c>
      <c r="K16" s="193">
        <v>46154</v>
      </c>
      <c r="L16" s="194">
        <v>23032</v>
      </c>
      <c r="M16" s="195">
        <v>95664</v>
      </c>
      <c r="N16" s="193">
        <v>71543</v>
      </c>
      <c r="O16" s="193">
        <v>47687</v>
      </c>
      <c r="P16" s="194">
        <v>23756</v>
      </c>
      <c r="Q16" s="195">
        <v>90086</v>
      </c>
      <c r="R16" s="193">
        <v>65163</v>
      </c>
      <c r="S16" s="193">
        <v>43401</v>
      </c>
      <c r="T16" s="194">
        <v>21702</v>
      </c>
      <c r="U16" s="195">
        <v>87448</v>
      </c>
      <c r="V16" s="193">
        <v>65555</v>
      </c>
      <c r="W16" s="193">
        <v>43680</v>
      </c>
      <c r="X16" s="193">
        <v>21839</v>
      </c>
      <c r="Y16" s="195">
        <v>92552</v>
      </c>
      <c r="Z16" s="193">
        <v>67063</v>
      </c>
      <c r="AA16" s="193">
        <v>45316</v>
      </c>
      <c r="AB16" s="193">
        <v>23105</v>
      </c>
      <c r="AC16" s="195">
        <v>95858</v>
      </c>
      <c r="AD16" s="193">
        <v>71024</v>
      </c>
      <c r="AE16" s="193">
        <v>35167</v>
      </c>
      <c r="AF16" s="193">
        <v>17540</v>
      </c>
      <c r="AG16" s="195">
        <v>68880</v>
      </c>
      <c r="AH16" s="193">
        <v>51451</v>
      </c>
      <c r="AI16" s="193">
        <v>34257</v>
      </c>
      <c r="AJ16" s="193">
        <v>17113</v>
      </c>
      <c r="AK16" s="195">
        <v>109611</v>
      </c>
      <c r="AL16" s="193">
        <v>37726</v>
      </c>
      <c r="AM16" s="193">
        <v>25014</v>
      </c>
      <c r="AN16" s="193">
        <v>12484</v>
      </c>
      <c r="AO16" s="195">
        <v>78326</v>
      </c>
      <c r="AP16" s="195">
        <v>46909</v>
      </c>
      <c r="AQ16" s="195">
        <v>16912</v>
      </c>
    </row>
    <row r="17" spans="1:43">
      <c r="B17" s="201" t="s">
        <v>240</v>
      </c>
      <c r="C17" s="193">
        <v>573</v>
      </c>
      <c r="D17" s="194">
        <v>0</v>
      </c>
      <c r="E17" s="195">
        <v>2855</v>
      </c>
      <c r="F17" s="193">
        <v>2753</v>
      </c>
      <c r="G17" s="193">
        <v>14</v>
      </c>
      <c r="H17" s="194">
        <v>0</v>
      </c>
      <c r="I17" s="195">
        <v>3046</v>
      </c>
      <c r="J17" s="193">
        <v>83</v>
      </c>
      <c r="K17" s="193">
        <v>0</v>
      </c>
      <c r="L17" s="194">
        <v>0</v>
      </c>
      <c r="M17" s="195">
        <v>403</v>
      </c>
      <c r="N17" s="193">
        <v>79</v>
      </c>
      <c r="O17" s="193">
        <v>79</v>
      </c>
      <c r="P17" s="194">
        <v>66</v>
      </c>
      <c r="Q17" s="195">
        <v>1071</v>
      </c>
      <c r="R17" s="193">
        <v>30</v>
      </c>
      <c r="S17" s="193">
        <v>0</v>
      </c>
      <c r="T17" s="194" t="s">
        <v>112</v>
      </c>
      <c r="U17" s="195">
        <v>340</v>
      </c>
      <c r="V17" s="193">
        <v>75</v>
      </c>
      <c r="W17" s="193">
        <v>55</v>
      </c>
      <c r="X17" s="193">
        <v>55</v>
      </c>
      <c r="Y17" s="195">
        <v>95</v>
      </c>
      <c r="Z17" s="193">
        <v>78</v>
      </c>
      <c r="AA17" s="193">
        <v>58</v>
      </c>
      <c r="AB17" s="193">
        <v>24</v>
      </c>
      <c r="AC17" s="195">
        <v>720</v>
      </c>
      <c r="AD17" s="193">
        <v>13</v>
      </c>
      <c r="AE17" s="193">
        <v>13</v>
      </c>
      <c r="AF17" s="193">
        <v>6</v>
      </c>
      <c r="AG17" s="195">
        <v>285</v>
      </c>
      <c r="AH17" s="193">
        <v>271</v>
      </c>
      <c r="AI17" s="193">
        <v>271</v>
      </c>
      <c r="AJ17" s="193">
        <v>119</v>
      </c>
      <c r="AK17" s="195">
        <v>83</v>
      </c>
      <c r="AL17" s="193">
        <v>40</v>
      </c>
      <c r="AM17" s="193">
        <v>34</v>
      </c>
      <c r="AN17" s="193">
        <v>9</v>
      </c>
      <c r="AO17" s="195">
        <v>727</v>
      </c>
      <c r="AP17" s="195">
        <v>-11580</v>
      </c>
      <c r="AQ17" s="195">
        <v>2271</v>
      </c>
    </row>
    <row r="18" spans="1:43">
      <c r="B18" s="201" t="s">
        <v>241</v>
      </c>
      <c r="C18" s="193">
        <v>3249</v>
      </c>
      <c r="D18" s="194">
        <v>5044</v>
      </c>
      <c r="E18" s="195">
        <v>-5016</v>
      </c>
      <c r="F18" s="193">
        <v>3684</v>
      </c>
      <c r="G18" s="193">
        <v>2295</v>
      </c>
      <c r="H18" s="194">
        <v>716</v>
      </c>
      <c r="I18" s="195">
        <v>12581</v>
      </c>
      <c r="J18" s="193">
        <v>9677</v>
      </c>
      <c r="K18" s="193">
        <v>639</v>
      </c>
      <c r="L18" s="194">
        <v>-399</v>
      </c>
      <c r="M18" s="195">
        <v>-2033</v>
      </c>
      <c r="N18" s="193">
        <v>8723</v>
      </c>
      <c r="O18" s="193">
        <v>5801</v>
      </c>
      <c r="P18" s="194">
        <v>-482</v>
      </c>
      <c r="Q18" s="195">
        <v>16509</v>
      </c>
      <c r="R18" s="193">
        <v>13852</v>
      </c>
      <c r="S18" s="193">
        <v>8480</v>
      </c>
      <c r="T18" s="194">
        <v>5550</v>
      </c>
      <c r="U18" s="195">
        <v>-2400</v>
      </c>
      <c r="V18" s="193">
        <v>1894</v>
      </c>
      <c r="W18" s="193">
        <v>-202</v>
      </c>
      <c r="X18" s="193">
        <v>-1001</v>
      </c>
      <c r="Y18" s="195">
        <v>-4561</v>
      </c>
      <c r="Z18" s="193">
        <v>-6609</v>
      </c>
      <c r="AA18" s="193">
        <v>-1056</v>
      </c>
      <c r="AB18" s="193">
        <v>-271</v>
      </c>
      <c r="AC18" s="195">
        <v>-13612</v>
      </c>
      <c r="AD18" s="193">
        <v>-19678</v>
      </c>
      <c r="AE18" s="193">
        <v>2680</v>
      </c>
      <c r="AF18" s="193">
        <v>2513</v>
      </c>
      <c r="AG18" s="195">
        <v>6444</v>
      </c>
      <c r="AH18" s="193">
        <v>-3324</v>
      </c>
      <c r="AI18" s="193">
        <v>267</v>
      </c>
      <c r="AJ18" s="193">
        <v>-221</v>
      </c>
      <c r="AK18" s="195">
        <v>43716</v>
      </c>
      <c r="AL18" s="193">
        <v>12044</v>
      </c>
      <c r="AM18" s="193">
        <v>10034</v>
      </c>
      <c r="AN18" s="193">
        <v>7179</v>
      </c>
      <c r="AO18" s="195">
        <v>11254</v>
      </c>
      <c r="AP18" s="195">
        <v>23657</v>
      </c>
      <c r="AQ18" s="195">
        <v>-12470</v>
      </c>
    </row>
    <row r="19" spans="1:43">
      <c r="B19" s="201" t="s">
        <v>283</v>
      </c>
      <c r="C19" s="193">
        <v>246026</v>
      </c>
      <c r="D19" s="194">
        <v>116975</v>
      </c>
      <c r="E19" s="195">
        <v>329901</v>
      </c>
      <c r="F19" s="193">
        <v>257002</v>
      </c>
      <c r="G19" s="193">
        <v>159732</v>
      </c>
      <c r="H19" s="194">
        <v>76286</v>
      </c>
      <c r="I19" s="195">
        <v>258253</v>
      </c>
      <c r="J19" s="193">
        <v>185637</v>
      </c>
      <c r="K19" s="193">
        <v>128431</v>
      </c>
      <c r="L19" s="194">
        <v>65128</v>
      </c>
      <c r="M19" s="195">
        <v>204281</v>
      </c>
      <c r="N19" s="193">
        <v>136025</v>
      </c>
      <c r="O19" s="193">
        <v>113349</v>
      </c>
      <c r="P19" s="194">
        <v>92048</v>
      </c>
      <c r="Q19" s="195">
        <v>7665</v>
      </c>
      <c r="R19" s="193">
        <v>41859</v>
      </c>
      <c r="S19" s="193">
        <v>34621</v>
      </c>
      <c r="T19" s="194">
        <v>-6654</v>
      </c>
      <c r="U19" s="195">
        <v>-21206</v>
      </c>
      <c r="V19" s="193">
        <v>-46698</v>
      </c>
      <c r="W19" s="193">
        <v>-49802</v>
      </c>
      <c r="X19" s="193">
        <v>-44588</v>
      </c>
      <c r="Y19" s="195">
        <v>8850</v>
      </c>
      <c r="Z19" s="193">
        <v>-5149</v>
      </c>
      <c r="AA19" s="193">
        <v>-6661</v>
      </c>
      <c r="AB19" s="193">
        <v>18995</v>
      </c>
      <c r="AC19" s="195">
        <v>85628</v>
      </c>
      <c r="AD19" s="193">
        <v>66368</v>
      </c>
      <c r="AE19" s="193">
        <v>42794</v>
      </c>
      <c r="AF19" s="193">
        <v>16612</v>
      </c>
      <c r="AG19" s="195">
        <v>51565</v>
      </c>
      <c r="AH19" s="193">
        <v>37615</v>
      </c>
      <c r="AI19" s="193">
        <v>22480</v>
      </c>
      <c r="AJ19" s="193">
        <v>12927</v>
      </c>
      <c r="AK19" s="195">
        <v>74572</v>
      </c>
      <c r="AL19" s="193">
        <v>59337</v>
      </c>
      <c r="AM19" s="193">
        <v>38566</v>
      </c>
      <c r="AN19" s="193">
        <v>19549</v>
      </c>
      <c r="AO19" s="195">
        <v>98312</v>
      </c>
      <c r="AP19" s="195">
        <v>89832</v>
      </c>
      <c r="AQ19" s="195">
        <v>56709</v>
      </c>
    </row>
    <row r="20" spans="1:43">
      <c r="B20" s="201" t="s">
        <v>242</v>
      </c>
      <c r="C20" s="193">
        <v>356</v>
      </c>
      <c r="D20" s="194">
        <v>418</v>
      </c>
      <c r="E20" s="195">
        <v>-380</v>
      </c>
      <c r="F20" s="193">
        <v>-1183</v>
      </c>
      <c r="G20" s="193">
        <v>-2466</v>
      </c>
      <c r="H20" s="194">
        <v>-61</v>
      </c>
      <c r="I20" s="195">
        <v>233</v>
      </c>
      <c r="J20" s="193">
        <v>294</v>
      </c>
      <c r="K20" s="193">
        <v>-82</v>
      </c>
      <c r="L20" s="194">
        <v>0</v>
      </c>
      <c r="M20" s="195">
        <v>-57</v>
      </c>
      <c r="N20" s="193">
        <v>-57</v>
      </c>
      <c r="O20" s="193">
        <v>-57</v>
      </c>
      <c r="P20" s="194">
        <v>-10</v>
      </c>
      <c r="Q20" s="195">
        <v>-453</v>
      </c>
      <c r="R20" s="193">
        <v>-453</v>
      </c>
      <c r="S20" s="193">
        <v>-332</v>
      </c>
      <c r="T20" s="194">
        <v>-136</v>
      </c>
      <c r="U20" s="195">
        <v>-3771</v>
      </c>
      <c r="V20" s="193">
        <v>-5019</v>
      </c>
      <c r="W20" s="193">
        <v>-5461</v>
      </c>
      <c r="X20" s="193">
        <v>-2139</v>
      </c>
      <c r="Y20" s="195">
        <v>-2127</v>
      </c>
      <c r="Z20" s="193">
        <v>-2113</v>
      </c>
      <c r="AA20" s="193">
        <v>-2134</v>
      </c>
      <c r="AB20" s="193">
        <v>-2039</v>
      </c>
      <c r="AC20" s="195">
        <v>-31</v>
      </c>
      <c r="AD20" s="193">
        <v>62</v>
      </c>
      <c r="AE20" s="193">
        <v>-140</v>
      </c>
      <c r="AF20" s="193">
        <v>-64</v>
      </c>
      <c r="AG20" s="195">
        <v>-91</v>
      </c>
      <c r="AH20" s="193">
        <v>-102</v>
      </c>
      <c r="AI20" s="193">
        <v>-57</v>
      </c>
      <c r="AJ20" s="193">
        <v>11</v>
      </c>
      <c r="AK20" s="195">
        <v>55</v>
      </c>
      <c r="AL20" s="193">
        <v>68</v>
      </c>
      <c r="AM20" s="193">
        <v>153</v>
      </c>
      <c r="AN20" s="193">
        <v>409</v>
      </c>
      <c r="AO20" s="195">
        <v>-1037</v>
      </c>
      <c r="AP20" s="195">
        <v>6701</v>
      </c>
      <c r="AQ20" s="195">
        <v>1108</v>
      </c>
    </row>
    <row r="21" spans="1:43">
      <c r="B21" s="201" t="s">
        <v>191</v>
      </c>
      <c r="C21" s="193">
        <v>-129563</v>
      </c>
      <c r="D21" s="194">
        <v>-91264</v>
      </c>
      <c r="E21" s="195">
        <v>-247624</v>
      </c>
      <c r="F21" s="193">
        <v>-126423</v>
      </c>
      <c r="G21" s="193">
        <v>-41742</v>
      </c>
      <c r="H21" s="194">
        <v>13746</v>
      </c>
      <c r="I21" s="195">
        <v>-412017</v>
      </c>
      <c r="J21" s="193">
        <v>-285265</v>
      </c>
      <c r="K21" s="193">
        <v>-177303</v>
      </c>
      <c r="L21" s="194">
        <v>-98677</v>
      </c>
      <c r="M21" s="195">
        <v>-673715</v>
      </c>
      <c r="N21" s="193">
        <v>-648240</v>
      </c>
      <c r="O21" s="193">
        <v>-630653</v>
      </c>
      <c r="P21" s="194">
        <v>-297700</v>
      </c>
      <c r="Q21" s="195">
        <v>-1264909</v>
      </c>
      <c r="R21" s="193">
        <v>-970512</v>
      </c>
      <c r="S21" s="193">
        <v>-340258</v>
      </c>
      <c r="T21" s="194">
        <v>-213333</v>
      </c>
      <c r="U21" s="195">
        <v>-193647</v>
      </c>
      <c r="V21" s="193">
        <v>66073</v>
      </c>
      <c r="W21" s="193">
        <v>162619</v>
      </c>
      <c r="X21" s="193">
        <v>126967</v>
      </c>
      <c r="Y21" s="195">
        <v>32619</v>
      </c>
      <c r="Z21" s="193">
        <v>115467</v>
      </c>
      <c r="AA21" s="193">
        <v>54216</v>
      </c>
      <c r="AB21" s="193">
        <v>-9319</v>
      </c>
      <c r="AC21" s="195">
        <v>-183520</v>
      </c>
      <c r="AD21" s="193">
        <v>-97921</v>
      </c>
      <c r="AE21" s="193">
        <v>-50054</v>
      </c>
      <c r="AF21" s="193">
        <v>-47915</v>
      </c>
      <c r="AG21" s="195">
        <v>-45111</v>
      </c>
      <c r="AH21" s="193">
        <v>-26277</v>
      </c>
      <c r="AI21" s="193">
        <v>37751</v>
      </c>
      <c r="AJ21" s="193">
        <v>17613</v>
      </c>
      <c r="AK21" s="195">
        <v>75431</v>
      </c>
      <c r="AL21" s="193">
        <v>7560</v>
      </c>
      <c r="AM21" s="193">
        <v>826</v>
      </c>
      <c r="AN21" s="193">
        <v>-7024</v>
      </c>
      <c r="AO21" s="195">
        <v>18201</v>
      </c>
      <c r="AP21" s="195">
        <v>3205</v>
      </c>
      <c r="AQ21" s="195">
        <v>-35839</v>
      </c>
    </row>
    <row r="22" spans="1:43">
      <c r="B22" s="201" t="s">
        <v>243</v>
      </c>
      <c r="C22" s="193">
        <v>0</v>
      </c>
      <c r="D22" s="194">
        <v>0</v>
      </c>
      <c r="E22" s="195">
        <v>0</v>
      </c>
      <c r="F22" s="193">
        <v>0</v>
      </c>
      <c r="G22" s="193">
        <v>0</v>
      </c>
      <c r="H22" s="194">
        <v>0</v>
      </c>
      <c r="I22" s="195">
        <v>0</v>
      </c>
      <c r="J22" s="193">
        <v>0</v>
      </c>
      <c r="K22" s="193">
        <v>0</v>
      </c>
      <c r="L22" s="194">
        <v>0</v>
      </c>
      <c r="M22" s="195">
        <v>0</v>
      </c>
      <c r="N22" s="193">
        <v>0</v>
      </c>
      <c r="O22" s="193">
        <v>0</v>
      </c>
      <c r="P22" s="194">
        <v>0</v>
      </c>
      <c r="Q22" s="195">
        <v>0</v>
      </c>
      <c r="R22" s="193">
        <v>0</v>
      </c>
      <c r="S22" s="193">
        <v>0</v>
      </c>
      <c r="T22" s="194">
        <v>0</v>
      </c>
      <c r="U22" s="195">
        <v>0</v>
      </c>
      <c r="V22" s="193">
        <v>21733</v>
      </c>
      <c r="W22" s="193">
        <v>19058</v>
      </c>
      <c r="X22" s="193">
        <v>832</v>
      </c>
      <c r="Y22" s="195">
        <v>-2689</v>
      </c>
      <c r="Z22" s="193">
        <v>7021</v>
      </c>
      <c r="AA22" s="193">
        <v>4615</v>
      </c>
      <c r="AB22" s="193">
        <v>-1046</v>
      </c>
      <c r="AC22" s="195">
        <v>39303</v>
      </c>
      <c r="AD22" s="193">
        <v>53067</v>
      </c>
      <c r="AE22" s="193">
        <v>44841</v>
      </c>
      <c r="AF22" s="193">
        <v>29656</v>
      </c>
      <c r="AG22" s="195">
        <v>-8749</v>
      </c>
      <c r="AH22" s="193">
        <v>32361</v>
      </c>
      <c r="AI22" s="193">
        <v>24245</v>
      </c>
      <c r="AJ22" s="193">
        <v>13032</v>
      </c>
      <c r="AK22" s="195">
        <v>140744</v>
      </c>
      <c r="AL22" s="193">
        <v>4357</v>
      </c>
      <c r="AM22" s="193">
        <v>2111</v>
      </c>
      <c r="AN22" s="193">
        <v>164</v>
      </c>
      <c r="AO22" s="195">
        <v>-26748</v>
      </c>
      <c r="AP22" s="195">
        <v>-4103</v>
      </c>
      <c r="AQ22" s="195">
        <v>-2987</v>
      </c>
    </row>
    <row r="23" spans="1:43">
      <c r="B23" s="201" t="s">
        <v>244</v>
      </c>
      <c r="C23" s="193">
        <v>0</v>
      </c>
      <c r="D23" s="194">
        <v>0</v>
      </c>
      <c r="E23" s="195">
        <v>-79668</v>
      </c>
      <c r="F23" s="193">
        <v>0</v>
      </c>
      <c r="G23" s="193">
        <v>0</v>
      </c>
      <c r="H23" s="194">
        <v>0</v>
      </c>
      <c r="I23" s="195">
        <v>0</v>
      </c>
      <c r="J23" s="193">
        <v>0</v>
      </c>
      <c r="K23" s="193">
        <v>0</v>
      </c>
      <c r="L23" s="194">
        <v>0</v>
      </c>
      <c r="M23" s="195">
        <v>0</v>
      </c>
      <c r="N23" s="193">
        <v>0</v>
      </c>
      <c r="O23" s="193">
        <v>0</v>
      </c>
      <c r="P23" s="194">
        <v>0</v>
      </c>
      <c r="Q23" s="195">
        <v>0</v>
      </c>
      <c r="R23" s="193">
        <v>0</v>
      </c>
      <c r="S23" s="193">
        <v>0</v>
      </c>
      <c r="T23" s="194">
        <v>1433</v>
      </c>
      <c r="U23" s="195">
        <v>1433</v>
      </c>
      <c r="V23" s="193">
        <v>1433</v>
      </c>
      <c r="W23" s="193">
        <v>1230</v>
      </c>
      <c r="X23" s="193">
        <v>617</v>
      </c>
      <c r="Y23" s="195">
        <v>-7305</v>
      </c>
      <c r="Z23" s="193">
        <v>-7922</v>
      </c>
      <c r="AA23" s="193">
        <v>1720</v>
      </c>
      <c r="AB23" s="193">
        <v>883</v>
      </c>
      <c r="AC23" s="195">
        <v>3883</v>
      </c>
      <c r="AD23" s="193">
        <v>2976</v>
      </c>
      <c r="AE23" s="193">
        <v>2010</v>
      </c>
      <c r="AF23" s="193">
        <v>1462</v>
      </c>
      <c r="AG23" s="195">
        <v>25473</v>
      </c>
      <c r="AH23" s="193">
        <v>22690</v>
      </c>
      <c r="AI23" s="193">
        <v>15136</v>
      </c>
      <c r="AJ23" s="193">
        <v>7123</v>
      </c>
      <c r="AK23" s="195">
        <v>41932</v>
      </c>
      <c r="AL23" s="193">
        <v>33864</v>
      </c>
      <c r="AM23" s="193">
        <v>24616</v>
      </c>
      <c r="AN23" s="193">
        <v>12134</v>
      </c>
      <c r="AO23" s="195">
        <v>20829</v>
      </c>
      <c r="AP23" s="195">
        <v>0</v>
      </c>
      <c r="AQ23" s="195">
        <v>0</v>
      </c>
    </row>
    <row r="24" spans="1:43">
      <c r="A24" s="184"/>
      <c r="B24" s="201" t="s">
        <v>245</v>
      </c>
      <c r="C24" s="193">
        <v>0</v>
      </c>
      <c r="D24" s="194">
        <v>0</v>
      </c>
      <c r="E24" s="195">
        <v>0</v>
      </c>
      <c r="F24" s="193">
        <v>0</v>
      </c>
      <c r="G24" s="193">
        <v>0</v>
      </c>
      <c r="H24" s="194">
        <v>0</v>
      </c>
      <c r="I24" s="195">
        <v>0</v>
      </c>
      <c r="J24" s="193">
        <v>0</v>
      </c>
      <c r="K24" s="193">
        <v>0</v>
      </c>
      <c r="L24" s="194">
        <v>0</v>
      </c>
      <c r="M24" s="195">
        <v>0</v>
      </c>
      <c r="N24" s="193">
        <v>0</v>
      </c>
      <c r="O24" s="193">
        <v>0</v>
      </c>
      <c r="P24" s="194">
        <v>0</v>
      </c>
      <c r="Q24" s="195">
        <v>0</v>
      </c>
      <c r="R24" s="193">
        <v>0</v>
      </c>
      <c r="S24" s="193">
        <v>0</v>
      </c>
      <c r="T24" s="194">
        <v>0</v>
      </c>
      <c r="U24" s="195">
        <v>0</v>
      </c>
      <c r="V24" s="193">
        <v>0</v>
      </c>
      <c r="W24" s="193">
        <v>0</v>
      </c>
      <c r="X24" s="193">
        <v>0</v>
      </c>
      <c r="Y24" s="195">
        <v>0</v>
      </c>
      <c r="Z24" s="193">
        <v>0</v>
      </c>
      <c r="AA24" s="193">
        <v>0</v>
      </c>
      <c r="AB24" s="193">
        <v>0</v>
      </c>
      <c r="AC24" s="195">
        <v>0</v>
      </c>
      <c r="AD24" s="193">
        <v>0</v>
      </c>
      <c r="AE24" s="193">
        <v>0</v>
      </c>
      <c r="AF24" s="193">
        <v>0</v>
      </c>
      <c r="AG24" s="195">
        <v>-19765</v>
      </c>
      <c r="AH24" s="193">
        <v>-19765</v>
      </c>
      <c r="AI24" s="193">
        <v>-19765</v>
      </c>
      <c r="AJ24" s="193">
        <v>-19765</v>
      </c>
      <c r="AK24" s="195">
        <v>0</v>
      </c>
      <c r="AL24" s="193">
        <v>0</v>
      </c>
      <c r="AM24" s="193">
        <v>0</v>
      </c>
      <c r="AN24" s="193">
        <v>0</v>
      </c>
      <c r="AO24" s="195">
        <v>0</v>
      </c>
      <c r="AP24" s="195">
        <v>0</v>
      </c>
      <c r="AQ24" s="195">
        <v>-344226</v>
      </c>
    </row>
    <row r="25" spans="1:43">
      <c r="A25" s="184"/>
      <c r="B25" s="201" t="s">
        <v>346</v>
      </c>
      <c r="C25" s="193">
        <v>0</v>
      </c>
      <c r="D25" s="194">
        <v>0</v>
      </c>
      <c r="E25" s="195">
        <v>0</v>
      </c>
      <c r="F25" s="193">
        <v>0</v>
      </c>
      <c r="G25" s="193">
        <v>0</v>
      </c>
      <c r="H25" s="194">
        <v>0</v>
      </c>
      <c r="I25" s="195">
        <v>0</v>
      </c>
      <c r="J25" s="193">
        <v>0</v>
      </c>
      <c r="K25" s="193">
        <v>0</v>
      </c>
      <c r="L25" s="194">
        <v>0</v>
      </c>
      <c r="M25" s="195">
        <v>25203</v>
      </c>
      <c r="N25" s="193">
        <v>-12705</v>
      </c>
      <c r="O25" s="193">
        <v>0</v>
      </c>
      <c r="P25" s="194">
        <v>0</v>
      </c>
      <c r="Q25" s="195">
        <v>-7452</v>
      </c>
      <c r="R25" s="193">
        <v>-9316</v>
      </c>
      <c r="S25" s="193">
        <v>-5968</v>
      </c>
      <c r="T25" s="194">
        <v>-5151</v>
      </c>
      <c r="U25" s="195">
        <v>0</v>
      </c>
      <c r="V25" s="193">
        <v>0</v>
      </c>
      <c r="W25" s="193">
        <v>0</v>
      </c>
      <c r="X25" s="193">
        <v>0</v>
      </c>
      <c r="Y25" s="195">
        <v>0</v>
      </c>
      <c r="Z25" s="193">
        <v>0</v>
      </c>
      <c r="AA25" s="193">
        <v>0</v>
      </c>
      <c r="AB25" s="193">
        <v>0</v>
      </c>
      <c r="AC25" s="195">
        <v>0</v>
      </c>
      <c r="AD25" s="193">
        <v>0</v>
      </c>
      <c r="AE25" s="193">
        <v>0</v>
      </c>
      <c r="AF25" s="193">
        <v>0</v>
      </c>
      <c r="AG25" s="195">
        <v>0</v>
      </c>
      <c r="AH25" s="193">
        <v>0</v>
      </c>
      <c r="AI25" s="193">
        <v>0</v>
      </c>
      <c r="AJ25" s="193">
        <v>0</v>
      </c>
      <c r="AK25" s="195">
        <v>0</v>
      </c>
      <c r="AL25" s="193">
        <v>0</v>
      </c>
      <c r="AM25" s="193">
        <v>0</v>
      </c>
      <c r="AN25" s="193">
        <v>0</v>
      </c>
      <c r="AO25" s="195">
        <v>0</v>
      </c>
      <c r="AP25" s="195">
        <v>0</v>
      </c>
      <c r="AQ25" s="195">
        <v>0</v>
      </c>
    </row>
    <row r="26" spans="1:43">
      <c r="A26" s="184"/>
      <c r="B26" s="201" t="s">
        <v>330</v>
      </c>
      <c r="C26" s="193">
        <v>2135</v>
      </c>
      <c r="D26" s="194">
        <v>1068</v>
      </c>
      <c r="E26" s="195">
        <v>6450</v>
      </c>
      <c r="F26" s="193">
        <v>5383</v>
      </c>
      <c r="G26" s="193">
        <v>3945</v>
      </c>
      <c r="H26" s="194">
        <v>1766</v>
      </c>
      <c r="I26" s="195">
        <v>10867</v>
      </c>
      <c r="J26" s="193">
        <v>9101</v>
      </c>
      <c r="K26" s="193">
        <v>6792</v>
      </c>
      <c r="L26" s="194">
        <v>3396</v>
      </c>
      <c r="M26" s="195">
        <v>0</v>
      </c>
      <c r="N26" s="193">
        <v>17264</v>
      </c>
      <c r="O26" s="193">
        <v>0</v>
      </c>
      <c r="P26" s="194">
        <v>0</v>
      </c>
      <c r="Q26" s="195">
        <v>0</v>
      </c>
      <c r="R26" s="193">
        <v>0</v>
      </c>
      <c r="S26" s="193">
        <v>0</v>
      </c>
      <c r="T26" s="194">
        <v>0</v>
      </c>
      <c r="U26" s="195">
        <v>24770</v>
      </c>
      <c r="V26" s="193">
        <v>24770</v>
      </c>
      <c r="W26" s="193">
        <v>24770</v>
      </c>
      <c r="X26" s="193">
        <v>24770</v>
      </c>
      <c r="Y26" s="195">
        <v>0</v>
      </c>
      <c r="Z26" s="193">
        <v>0</v>
      </c>
      <c r="AA26" s="193">
        <v>0</v>
      </c>
      <c r="AB26" s="193">
        <v>0</v>
      </c>
      <c r="AC26" s="195">
        <v>0</v>
      </c>
      <c r="AD26" s="193">
        <v>0</v>
      </c>
      <c r="AE26" s="193">
        <v>0</v>
      </c>
      <c r="AF26" s="193">
        <v>0</v>
      </c>
      <c r="AG26" s="195">
        <v>0</v>
      </c>
      <c r="AH26" s="193">
        <v>0</v>
      </c>
      <c r="AI26" s="193">
        <v>0</v>
      </c>
      <c r="AJ26" s="193">
        <v>0</v>
      </c>
      <c r="AK26" s="195">
        <v>0</v>
      </c>
      <c r="AL26" s="193">
        <v>0</v>
      </c>
      <c r="AM26" s="193">
        <v>0</v>
      </c>
      <c r="AN26" s="193">
        <v>0</v>
      </c>
      <c r="AO26" s="195">
        <v>0</v>
      </c>
      <c r="AP26" s="195">
        <v>0</v>
      </c>
      <c r="AQ26" s="195">
        <v>0</v>
      </c>
    </row>
    <row r="27" spans="1:43">
      <c r="A27" s="184"/>
      <c r="B27" s="239" t="s">
        <v>343</v>
      </c>
      <c r="C27" s="193">
        <v>0</v>
      </c>
      <c r="D27" s="194">
        <v>0</v>
      </c>
      <c r="E27" s="195">
        <v>0</v>
      </c>
      <c r="F27" s="193">
        <v>0</v>
      </c>
      <c r="G27" s="193">
        <v>0</v>
      </c>
      <c r="H27" s="194">
        <v>0</v>
      </c>
      <c r="I27" s="195">
        <v>0</v>
      </c>
      <c r="J27" s="193">
        <v>0</v>
      </c>
      <c r="K27" s="193">
        <v>0</v>
      </c>
      <c r="L27" s="194">
        <v>0</v>
      </c>
      <c r="M27" s="195">
        <v>20660</v>
      </c>
      <c r="N27" s="193">
        <v>0</v>
      </c>
      <c r="O27" s="193">
        <v>0</v>
      </c>
      <c r="P27" s="194">
        <v>0</v>
      </c>
      <c r="Q27" s="195">
        <v>0</v>
      </c>
      <c r="R27" s="193">
        <v>0</v>
      </c>
      <c r="S27" s="193">
        <v>0</v>
      </c>
      <c r="T27" s="194">
        <v>0</v>
      </c>
      <c r="U27" s="195">
        <v>-1600</v>
      </c>
      <c r="V27" s="193">
        <v>0</v>
      </c>
      <c r="W27" s="193">
        <v>0</v>
      </c>
      <c r="X27" s="193">
        <v>0</v>
      </c>
      <c r="Y27" s="195">
        <v>0</v>
      </c>
      <c r="Z27" s="193">
        <v>0</v>
      </c>
      <c r="AA27" s="193">
        <v>0</v>
      </c>
      <c r="AB27" s="193">
        <v>0</v>
      </c>
      <c r="AC27" s="195">
        <v>0</v>
      </c>
      <c r="AD27" s="193">
        <v>0</v>
      </c>
      <c r="AE27" s="193">
        <v>0</v>
      </c>
      <c r="AF27" s="193">
        <v>0</v>
      </c>
      <c r="AG27" s="195">
        <v>0</v>
      </c>
      <c r="AH27" s="193">
        <v>0</v>
      </c>
      <c r="AI27" s="193">
        <v>0</v>
      </c>
      <c r="AJ27" s="193">
        <v>0</v>
      </c>
      <c r="AK27" s="195">
        <v>0</v>
      </c>
      <c r="AL27" s="193">
        <v>0</v>
      </c>
      <c r="AM27" s="193">
        <v>0</v>
      </c>
      <c r="AN27" s="193">
        <v>0</v>
      </c>
      <c r="AO27" s="195">
        <v>0</v>
      </c>
      <c r="AP27" s="195">
        <v>0</v>
      </c>
      <c r="AQ27" s="195">
        <v>0</v>
      </c>
    </row>
    <row r="28" spans="1:43">
      <c r="A28" s="184"/>
      <c r="B28" s="201" t="s">
        <v>246</v>
      </c>
      <c r="C28" s="193">
        <v>0</v>
      </c>
      <c r="D28" s="194">
        <v>0</v>
      </c>
      <c r="E28" s="195">
        <v>0</v>
      </c>
      <c r="F28" s="193">
        <v>0</v>
      </c>
      <c r="G28" s="193">
        <v>0</v>
      </c>
      <c r="H28" s="194">
        <v>0</v>
      </c>
      <c r="I28" s="195">
        <v>0</v>
      </c>
      <c r="J28" s="193">
        <v>0</v>
      </c>
      <c r="K28" s="193">
        <v>0</v>
      </c>
      <c r="L28" s="194">
        <v>0</v>
      </c>
      <c r="M28" s="195">
        <v>0</v>
      </c>
      <c r="N28" s="193">
        <v>0</v>
      </c>
      <c r="O28" s="193">
        <v>0</v>
      </c>
      <c r="P28" s="194">
        <v>0</v>
      </c>
      <c r="Q28" s="195">
        <v>0</v>
      </c>
      <c r="R28" s="193">
        <v>0</v>
      </c>
      <c r="S28" s="193">
        <v>0</v>
      </c>
      <c r="T28" s="194">
        <v>0</v>
      </c>
      <c r="U28" s="195">
        <v>0</v>
      </c>
      <c r="V28" s="193">
        <v>0</v>
      </c>
      <c r="W28" s="193">
        <v>0</v>
      </c>
      <c r="X28" s="193">
        <v>0</v>
      </c>
      <c r="Y28" s="195">
        <v>0</v>
      </c>
      <c r="Z28" s="193">
        <v>0</v>
      </c>
      <c r="AA28" s="193">
        <v>0</v>
      </c>
      <c r="AB28" s="193">
        <v>0</v>
      </c>
      <c r="AC28" s="195">
        <v>0</v>
      </c>
      <c r="AD28" s="193">
        <v>0</v>
      </c>
      <c r="AE28" s="193">
        <v>0</v>
      </c>
      <c r="AF28" s="193">
        <v>0</v>
      </c>
      <c r="AG28" s="195">
        <v>0</v>
      </c>
      <c r="AH28" s="193">
        <v>0</v>
      </c>
      <c r="AI28" s="193">
        <v>0</v>
      </c>
      <c r="AJ28" s="193">
        <v>0</v>
      </c>
      <c r="AK28" s="195">
        <v>37990</v>
      </c>
      <c r="AL28" s="193">
        <v>0</v>
      </c>
      <c r="AM28" s="193">
        <v>0</v>
      </c>
      <c r="AN28" s="193">
        <v>0</v>
      </c>
      <c r="AO28" s="195">
        <v>0</v>
      </c>
      <c r="AP28" s="195">
        <v>0</v>
      </c>
      <c r="AQ28" s="195">
        <v>-1058</v>
      </c>
    </row>
    <row r="29" spans="1:43">
      <c r="A29" s="184"/>
      <c r="B29" s="201" t="s">
        <v>247</v>
      </c>
      <c r="C29" s="193">
        <v>0</v>
      </c>
      <c r="D29" s="194">
        <v>0</v>
      </c>
      <c r="E29" s="195">
        <v>0</v>
      </c>
      <c r="F29" s="193">
        <v>0</v>
      </c>
      <c r="G29" s="193">
        <v>0</v>
      </c>
      <c r="H29" s="194">
        <v>0</v>
      </c>
      <c r="I29" s="195">
        <v>0</v>
      </c>
      <c r="J29" s="193">
        <v>0</v>
      </c>
      <c r="K29" s="193">
        <v>0</v>
      </c>
      <c r="L29" s="194">
        <v>0</v>
      </c>
      <c r="M29" s="195">
        <v>0</v>
      </c>
      <c r="N29" s="193">
        <v>0</v>
      </c>
      <c r="O29" s="193">
        <v>0</v>
      </c>
      <c r="P29" s="194">
        <v>0</v>
      </c>
      <c r="Q29" s="195">
        <v>0</v>
      </c>
      <c r="R29" s="193">
        <v>0</v>
      </c>
      <c r="S29" s="193">
        <v>0</v>
      </c>
      <c r="T29" s="194">
        <v>0</v>
      </c>
      <c r="U29" s="195">
        <v>0</v>
      </c>
      <c r="V29" s="193">
        <v>0</v>
      </c>
      <c r="W29" s="193">
        <v>0</v>
      </c>
      <c r="X29" s="193">
        <v>0</v>
      </c>
      <c r="Y29" s="195">
        <v>0</v>
      </c>
      <c r="Z29" s="193">
        <v>0</v>
      </c>
      <c r="AA29" s="193">
        <v>0</v>
      </c>
      <c r="AB29" s="193">
        <v>0</v>
      </c>
      <c r="AC29" s="195">
        <v>0</v>
      </c>
      <c r="AD29" s="193">
        <v>0</v>
      </c>
      <c r="AE29" s="193">
        <v>0</v>
      </c>
      <c r="AF29" s="193">
        <v>0</v>
      </c>
      <c r="AG29" s="195">
        <v>55000</v>
      </c>
      <c r="AH29" s="193">
        <v>0</v>
      </c>
      <c r="AI29" s="193">
        <v>0</v>
      </c>
      <c r="AJ29" s="193">
        <v>0</v>
      </c>
      <c r="AK29" s="195">
        <v>0</v>
      </c>
      <c r="AL29" s="193">
        <v>0</v>
      </c>
      <c r="AM29" s="193">
        <v>0</v>
      </c>
      <c r="AN29" s="193">
        <v>0</v>
      </c>
      <c r="AO29" s="195">
        <v>0</v>
      </c>
      <c r="AP29" s="195">
        <v>0</v>
      </c>
      <c r="AQ29" s="195">
        <v>0</v>
      </c>
    </row>
    <row r="30" spans="1:43">
      <c r="A30" s="184"/>
      <c r="B30" s="201" t="s">
        <v>248</v>
      </c>
      <c r="C30" s="193">
        <v>0</v>
      </c>
      <c r="D30" s="194">
        <v>0</v>
      </c>
      <c r="E30" s="195">
        <v>0</v>
      </c>
      <c r="F30" s="193">
        <v>0</v>
      </c>
      <c r="G30" s="193">
        <v>0</v>
      </c>
      <c r="H30" s="194">
        <v>0</v>
      </c>
      <c r="I30" s="195">
        <v>0</v>
      </c>
      <c r="J30" s="193">
        <v>0</v>
      </c>
      <c r="K30" s="193">
        <v>0</v>
      </c>
      <c r="L30" s="194">
        <v>0</v>
      </c>
      <c r="M30" s="195">
        <v>0</v>
      </c>
      <c r="N30" s="193">
        <v>0</v>
      </c>
      <c r="O30" s="193">
        <v>0</v>
      </c>
      <c r="P30" s="194">
        <v>0</v>
      </c>
      <c r="Q30" s="195">
        <v>0</v>
      </c>
      <c r="R30" s="193">
        <v>0</v>
      </c>
      <c r="S30" s="193">
        <v>0</v>
      </c>
      <c r="T30" s="194">
        <v>0</v>
      </c>
      <c r="U30" s="195">
        <v>0</v>
      </c>
      <c r="V30" s="193">
        <v>0</v>
      </c>
      <c r="W30" s="193">
        <v>0</v>
      </c>
      <c r="X30" s="193">
        <v>0</v>
      </c>
      <c r="Y30" s="195">
        <v>0</v>
      </c>
      <c r="Z30" s="193">
        <v>0</v>
      </c>
      <c r="AA30" s="193">
        <v>0</v>
      </c>
      <c r="AB30" s="193">
        <v>0</v>
      </c>
      <c r="AC30" s="195">
        <v>0</v>
      </c>
      <c r="AD30" s="193">
        <v>0</v>
      </c>
      <c r="AE30" s="193">
        <v>0</v>
      </c>
      <c r="AF30" s="193">
        <v>0</v>
      </c>
      <c r="AG30" s="195">
        <v>-110203</v>
      </c>
      <c r="AH30" s="193">
        <v>0</v>
      </c>
      <c r="AI30" s="193">
        <v>0</v>
      </c>
      <c r="AJ30" s="193">
        <v>0</v>
      </c>
      <c r="AK30" s="195">
        <v>0</v>
      </c>
      <c r="AL30" s="193">
        <v>0</v>
      </c>
      <c r="AM30" s="193">
        <v>0</v>
      </c>
      <c r="AN30" s="193">
        <v>0</v>
      </c>
      <c r="AO30" s="195">
        <v>0</v>
      </c>
      <c r="AP30" s="195">
        <v>0</v>
      </c>
      <c r="AQ30" s="195">
        <v>0</v>
      </c>
    </row>
    <row r="31" spans="1:43">
      <c r="A31" s="184"/>
      <c r="B31" s="201" t="s">
        <v>249</v>
      </c>
      <c r="C31" s="193">
        <v>0</v>
      </c>
      <c r="D31" s="194">
        <v>0</v>
      </c>
      <c r="E31" s="195">
        <v>0</v>
      </c>
      <c r="F31" s="193">
        <v>0</v>
      </c>
      <c r="G31" s="193">
        <v>0</v>
      </c>
      <c r="H31" s="194">
        <v>0</v>
      </c>
      <c r="I31" s="195">
        <v>0</v>
      </c>
      <c r="J31" s="193">
        <v>0</v>
      </c>
      <c r="K31" s="193">
        <v>0</v>
      </c>
      <c r="L31" s="194">
        <v>0</v>
      </c>
      <c r="M31" s="195">
        <v>0</v>
      </c>
      <c r="N31" s="193">
        <v>0</v>
      </c>
      <c r="O31" s="193">
        <v>0</v>
      </c>
      <c r="P31" s="194">
        <v>0</v>
      </c>
      <c r="Q31" s="195">
        <v>0</v>
      </c>
      <c r="R31" s="193">
        <v>0</v>
      </c>
      <c r="S31" s="193">
        <v>0</v>
      </c>
      <c r="T31" s="194">
        <v>0</v>
      </c>
      <c r="U31" s="195">
        <v>0</v>
      </c>
      <c r="V31" s="193">
        <v>0</v>
      </c>
      <c r="W31" s="193">
        <v>0</v>
      </c>
      <c r="X31" s="193">
        <v>0</v>
      </c>
      <c r="Y31" s="195">
        <v>0</v>
      </c>
      <c r="Z31" s="193">
        <v>0</v>
      </c>
      <c r="AA31" s="193">
        <v>0</v>
      </c>
      <c r="AB31" s="193">
        <v>0</v>
      </c>
      <c r="AC31" s="195">
        <v>0</v>
      </c>
      <c r="AD31" s="193">
        <v>0</v>
      </c>
      <c r="AE31" s="193">
        <v>0</v>
      </c>
      <c r="AF31" s="193">
        <v>0</v>
      </c>
      <c r="AG31" s="195">
        <v>16432</v>
      </c>
      <c r="AH31" s="193">
        <v>0</v>
      </c>
      <c r="AI31" s="193">
        <v>0</v>
      </c>
      <c r="AJ31" s="193">
        <v>0</v>
      </c>
      <c r="AK31" s="195">
        <v>0</v>
      </c>
      <c r="AL31" s="193">
        <v>0</v>
      </c>
      <c r="AM31" s="193">
        <v>0</v>
      </c>
      <c r="AN31" s="193">
        <v>0</v>
      </c>
      <c r="AO31" s="195">
        <v>0</v>
      </c>
      <c r="AP31" s="195">
        <v>0</v>
      </c>
      <c r="AQ31" s="195">
        <v>0</v>
      </c>
    </row>
    <row r="32" spans="1:43">
      <c r="A32" s="184"/>
      <c r="B32" s="201" t="s">
        <v>250</v>
      </c>
      <c r="C32" s="193">
        <v>0</v>
      </c>
      <c r="D32" s="194">
        <v>0</v>
      </c>
      <c r="E32" s="195">
        <v>0</v>
      </c>
      <c r="F32" s="193">
        <v>0</v>
      </c>
      <c r="G32" s="193">
        <v>0</v>
      </c>
      <c r="H32" s="194">
        <v>0</v>
      </c>
      <c r="I32" s="195">
        <v>0</v>
      </c>
      <c r="J32" s="193">
        <v>0</v>
      </c>
      <c r="K32" s="193">
        <v>0</v>
      </c>
      <c r="L32" s="194">
        <v>0</v>
      </c>
      <c r="M32" s="195">
        <v>0</v>
      </c>
      <c r="N32" s="193">
        <v>0</v>
      </c>
      <c r="O32" s="193">
        <v>0</v>
      </c>
      <c r="P32" s="194">
        <v>0</v>
      </c>
      <c r="Q32" s="195">
        <v>0</v>
      </c>
      <c r="R32" s="193">
        <v>0</v>
      </c>
      <c r="S32" s="193">
        <v>0</v>
      </c>
      <c r="T32" s="194">
        <v>0</v>
      </c>
      <c r="U32" s="195">
        <v>0</v>
      </c>
      <c r="V32" s="193">
        <v>0</v>
      </c>
      <c r="W32" s="193">
        <v>0</v>
      </c>
      <c r="X32" s="193">
        <v>0</v>
      </c>
      <c r="Y32" s="195">
        <v>0</v>
      </c>
      <c r="Z32" s="193">
        <v>0</v>
      </c>
      <c r="AA32" s="193">
        <v>0</v>
      </c>
      <c r="AB32" s="193">
        <v>0</v>
      </c>
      <c r="AC32" s="195">
        <v>0</v>
      </c>
      <c r="AD32" s="193">
        <v>0</v>
      </c>
      <c r="AE32" s="193">
        <v>0</v>
      </c>
      <c r="AF32" s="193">
        <v>0</v>
      </c>
      <c r="AG32" s="195">
        <v>10804</v>
      </c>
      <c r="AH32" s="193">
        <v>0</v>
      </c>
      <c r="AI32" s="193">
        <v>0</v>
      </c>
      <c r="AJ32" s="193">
        <v>0</v>
      </c>
      <c r="AK32" s="195">
        <v>0</v>
      </c>
      <c r="AL32" s="193">
        <v>0</v>
      </c>
      <c r="AM32" s="193">
        <v>0</v>
      </c>
      <c r="AN32" s="193">
        <v>0</v>
      </c>
      <c r="AO32" s="195">
        <v>0</v>
      </c>
      <c r="AP32" s="195">
        <v>0</v>
      </c>
      <c r="AQ32" s="195">
        <v>0</v>
      </c>
    </row>
    <row r="33" spans="1:43">
      <c r="A33" s="184"/>
      <c r="B33" s="201" t="s">
        <v>251</v>
      </c>
      <c r="C33" s="193">
        <v>0</v>
      </c>
      <c r="D33" s="194">
        <v>0</v>
      </c>
      <c r="E33" s="195">
        <v>0</v>
      </c>
      <c r="F33" s="193">
        <v>0</v>
      </c>
      <c r="G33" s="193">
        <v>0</v>
      </c>
      <c r="H33" s="194">
        <v>0</v>
      </c>
      <c r="I33" s="195">
        <v>0</v>
      </c>
      <c r="J33" s="193">
        <v>0</v>
      </c>
      <c r="K33" s="193">
        <v>0</v>
      </c>
      <c r="L33" s="194">
        <v>0</v>
      </c>
      <c r="M33" s="195">
        <v>0</v>
      </c>
      <c r="N33" s="193">
        <v>0</v>
      </c>
      <c r="O33" s="193">
        <v>0</v>
      </c>
      <c r="P33" s="194">
        <v>0</v>
      </c>
      <c r="Q33" s="195">
        <v>0</v>
      </c>
      <c r="R33" s="193">
        <v>0</v>
      </c>
      <c r="S33" s="193">
        <v>0</v>
      </c>
      <c r="T33" s="194">
        <v>0</v>
      </c>
      <c r="U33" s="195">
        <v>0</v>
      </c>
      <c r="V33" s="193">
        <v>0</v>
      </c>
      <c r="W33" s="193">
        <v>0</v>
      </c>
      <c r="X33" s="193">
        <v>0</v>
      </c>
      <c r="Y33" s="195">
        <v>0</v>
      </c>
      <c r="Z33" s="193">
        <v>0</v>
      </c>
      <c r="AA33" s="193">
        <v>0</v>
      </c>
      <c r="AB33" s="193">
        <v>0</v>
      </c>
      <c r="AC33" s="195">
        <v>0</v>
      </c>
      <c r="AD33" s="193">
        <v>0</v>
      </c>
      <c r="AE33" s="193">
        <v>0</v>
      </c>
      <c r="AF33" s="193">
        <v>0</v>
      </c>
      <c r="AG33" s="195">
        <v>55000</v>
      </c>
      <c r="AH33" s="193">
        <v>0</v>
      </c>
      <c r="AI33" s="193">
        <v>0</v>
      </c>
      <c r="AJ33" s="193">
        <v>0</v>
      </c>
      <c r="AK33" s="195">
        <v>0</v>
      </c>
      <c r="AL33" s="193">
        <v>0</v>
      </c>
      <c r="AM33" s="193">
        <v>0</v>
      </c>
      <c r="AN33" s="193">
        <v>0</v>
      </c>
      <c r="AO33" s="195">
        <v>0</v>
      </c>
      <c r="AP33" s="195">
        <v>0</v>
      </c>
      <c r="AQ33" s="195">
        <v>0</v>
      </c>
    </row>
    <row r="34" spans="1:43">
      <c r="A34" s="184"/>
      <c r="B34" s="201" t="s">
        <v>252</v>
      </c>
      <c r="C34" s="193">
        <v>0</v>
      </c>
      <c r="D34" s="194">
        <v>0</v>
      </c>
      <c r="E34" s="195">
        <v>0</v>
      </c>
      <c r="F34" s="193">
        <v>0</v>
      </c>
      <c r="G34" s="193">
        <v>0</v>
      </c>
      <c r="H34" s="194">
        <v>0</v>
      </c>
      <c r="I34" s="195">
        <v>0</v>
      </c>
      <c r="J34" s="193">
        <v>0</v>
      </c>
      <c r="K34" s="193">
        <v>0</v>
      </c>
      <c r="L34" s="194">
        <v>0</v>
      </c>
      <c r="M34" s="195">
        <v>0</v>
      </c>
      <c r="N34" s="193">
        <v>0</v>
      </c>
      <c r="O34" s="193">
        <v>0</v>
      </c>
      <c r="P34" s="194">
        <v>0</v>
      </c>
      <c r="Q34" s="195">
        <v>0</v>
      </c>
      <c r="R34" s="193">
        <v>0</v>
      </c>
      <c r="S34" s="193">
        <v>0</v>
      </c>
      <c r="T34" s="194">
        <v>0</v>
      </c>
      <c r="U34" s="195">
        <v>0</v>
      </c>
      <c r="V34" s="193">
        <v>0</v>
      </c>
      <c r="W34" s="193">
        <v>0</v>
      </c>
      <c r="X34" s="193">
        <v>0</v>
      </c>
      <c r="Y34" s="195">
        <v>0</v>
      </c>
      <c r="Z34" s="193">
        <v>0</v>
      </c>
      <c r="AA34" s="193">
        <v>0</v>
      </c>
      <c r="AB34" s="193">
        <v>0</v>
      </c>
      <c r="AC34" s="195">
        <v>0</v>
      </c>
      <c r="AD34" s="193">
        <v>0</v>
      </c>
      <c r="AE34" s="193">
        <v>0</v>
      </c>
      <c r="AF34" s="193">
        <v>0</v>
      </c>
      <c r="AG34" s="195">
        <v>0</v>
      </c>
      <c r="AH34" s="193">
        <v>0</v>
      </c>
      <c r="AI34" s="193">
        <v>0</v>
      </c>
      <c r="AJ34" s="193">
        <v>0</v>
      </c>
      <c r="AK34" s="195">
        <v>-4999</v>
      </c>
      <c r="AL34" s="193">
        <v>-4145</v>
      </c>
      <c r="AM34" s="193">
        <v>-2999</v>
      </c>
      <c r="AN34" s="193">
        <v>-1684</v>
      </c>
      <c r="AO34" s="195">
        <v>-3155</v>
      </c>
      <c r="AP34" s="195">
        <v>0</v>
      </c>
      <c r="AQ34" s="195">
        <v>0</v>
      </c>
    </row>
    <row r="35" spans="1:43">
      <c r="A35" s="184"/>
      <c r="B35" s="201" t="s">
        <v>253</v>
      </c>
      <c r="C35" s="193">
        <v>0</v>
      </c>
      <c r="D35" s="194">
        <v>0</v>
      </c>
      <c r="E35" s="195">
        <v>0</v>
      </c>
      <c r="F35" s="193">
        <v>0</v>
      </c>
      <c r="G35" s="193">
        <v>0</v>
      </c>
      <c r="H35" s="194">
        <v>0</v>
      </c>
      <c r="I35" s="195">
        <v>0</v>
      </c>
      <c r="J35" s="193">
        <v>0</v>
      </c>
      <c r="K35" s="193">
        <v>0</v>
      </c>
      <c r="L35" s="194">
        <v>0</v>
      </c>
      <c r="M35" s="195">
        <v>0</v>
      </c>
      <c r="N35" s="193">
        <v>0</v>
      </c>
      <c r="O35" s="193">
        <v>0</v>
      </c>
      <c r="P35" s="194">
        <v>0</v>
      </c>
      <c r="Q35" s="195">
        <v>0</v>
      </c>
      <c r="R35" s="193">
        <v>0</v>
      </c>
      <c r="S35" s="193">
        <v>0</v>
      </c>
      <c r="T35" s="194">
        <v>0</v>
      </c>
      <c r="U35" s="195">
        <v>0</v>
      </c>
      <c r="V35" s="193">
        <v>0</v>
      </c>
      <c r="W35" s="193">
        <v>0</v>
      </c>
      <c r="X35" s="193">
        <v>0</v>
      </c>
      <c r="Y35" s="195">
        <v>0</v>
      </c>
      <c r="Z35" s="193">
        <v>0</v>
      </c>
      <c r="AA35" s="193">
        <v>0</v>
      </c>
      <c r="AB35" s="193">
        <v>0</v>
      </c>
      <c r="AC35" s="195">
        <v>0</v>
      </c>
      <c r="AD35" s="193">
        <v>0</v>
      </c>
      <c r="AE35" s="193">
        <v>0</v>
      </c>
      <c r="AF35" s="193">
        <v>0</v>
      </c>
      <c r="AG35" s="195">
        <v>0</v>
      </c>
      <c r="AH35" s="193">
        <v>0</v>
      </c>
      <c r="AI35" s="193">
        <v>0</v>
      </c>
      <c r="AJ35" s="193">
        <v>0</v>
      </c>
      <c r="AK35" s="195">
        <v>0</v>
      </c>
      <c r="AL35" s="193">
        <v>10341</v>
      </c>
      <c r="AM35" s="193">
        <v>11798</v>
      </c>
      <c r="AN35" s="193">
        <v>0</v>
      </c>
      <c r="AO35" s="195">
        <v>0</v>
      </c>
      <c r="AP35" s="195">
        <v>0</v>
      </c>
      <c r="AQ35" s="195">
        <v>0</v>
      </c>
    </row>
    <row r="36" spans="1:43">
      <c r="B36" s="201" t="s">
        <v>188</v>
      </c>
      <c r="C36" s="193">
        <v>0</v>
      </c>
      <c r="D36" s="194">
        <v>0</v>
      </c>
      <c r="E36" s="195">
        <v>0</v>
      </c>
      <c r="F36" s="193">
        <v>0</v>
      </c>
      <c r="G36" s="193">
        <v>0</v>
      </c>
      <c r="H36" s="194">
        <v>0</v>
      </c>
      <c r="I36" s="195">
        <v>0</v>
      </c>
      <c r="J36" s="193">
        <v>0</v>
      </c>
      <c r="K36" s="193">
        <v>0</v>
      </c>
      <c r="L36" s="194">
        <v>0</v>
      </c>
      <c r="M36" s="195">
        <v>0</v>
      </c>
      <c r="N36" s="193">
        <v>0</v>
      </c>
      <c r="O36" s="193">
        <v>0</v>
      </c>
      <c r="P36" s="194">
        <v>0</v>
      </c>
      <c r="Q36" s="195">
        <v>0</v>
      </c>
      <c r="R36" s="193">
        <v>0</v>
      </c>
      <c r="S36" s="193">
        <v>0</v>
      </c>
      <c r="T36" s="194">
        <v>0</v>
      </c>
      <c r="U36" s="195">
        <v>0</v>
      </c>
      <c r="V36" s="193">
        <v>0</v>
      </c>
      <c r="W36" s="193">
        <v>0</v>
      </c>
      <c r="X36" s="193">
        <v>0</v>
      </c>
      <c r="Y36" s="195">
        <v>0</v>
      </c>
      <c r="Z36" s="193">
        <v>0</v>
      </c>
      <c r="AA36" s="193">
        <v>0</v>
      </c>
      <c r="AB36" s="193">
        <v>0</v>
      </c>
      <c r="AC36" s="195">
        <v>0</v>
      </c>
      <c r="AD36" s="193">
        <v>0</v>
      </c>
      <c r="AE36" s="193">
        <v>0</v>
      </c>
      <c r="AF36" s="193">
        <v>0</v>
      </c>
      <c r="AG36" s="195">
        <v>0</v>
      </c>
      <c r="AH36" s="193">
        <v>0</v>
      </c>
      <c r="AI36" s="193">
        <v>0</v>
      </c>
      <c r="AJ36" s="193">
        <v>0</v>
      </c>
      <c r="AK36" s="195">
        <v>-490627</v>
      </c>
      <c r="AL36" s="193">
        <v>0</v>
      </c>
      <c r="AM36" s="193">
        <v>0</v>
      </c>
      <c r="AN36" s="193">
        <v>0</v>
      </c>
      <c r="AO36" s="195">
        <v>0</v>
      </c>
      <c r="AP36" s="195">
        <v>0</v>
      </c>
      <c r="AQ36" s="195">
        <v>0</v>
      </c>
    </row>
    <row r="37" spans="1:43">
      <c r="B37" s="201" t="s">
        <v>254</v>
      </c>
      <c r="C37" s="193">
        <v>-1785</v>
      </c>
      <c r="D37" s="194">
        <v>0</v>
      </c>
      <c r="E37" s="195">
        <v>1264</v>
      </c>
      <c r="F37" s="193">
        <v>-1457</v>
      </c>
      <c r="G37" s="193">
        <v>230</v>
      </c>
      <c r="H37" s="194">
        <v>-958</v>
      </c>
      <c r="I37" s="195">
        <v>-836</v>
      </c>
      <c r="J37" s="193">
        <v>-2477</v>
      </c>
      <c r="K37" s="193">
        <v>-1585</v>
      </c>
      <c r="L37" s="194">
        <v>-3344</v>
      </c>
      <c r="M37" s="195">
        <v>5957</v>
      </c>
      <c r="N37" s="193">
        <v>0</v>
      </c>
      <c r="O37" s="193">
        <v>0</v>
      </c>
      <c r="P37" s="194">
        <v>0</v>
      </c>
      <c r="Q37" s="195">
        <v>0</v>
      </c>
      <c r="R37" s="193">
        <v>0</v>
      </c>
      <c r="S37" s="193">
        <v>0</v>
      </c>
      <c r="T37" s="194">
        <v>0</v>
      </c>
      <c r="U37" s="195">
        <v>0</v>
      </c>
      <c r="V37" s="193">
        <v>0</v>
      </c>
      <c r="W37" s="193">
        <v>0</v>
      </c>
      <c r="X37" s="193">
        <v>0</v>
      </c>
      <c r="Y37" s="195">
        <v>0</v>
      </c>
      <c r="Z37" s="193">
        <v>0</v>
      </c>
      <c r="AA37" s="193">
        <v>0</v>
      </c>
      <c r="AB37" s="193">
        <v>0</v>
      </c>
      <c r="AC37" s="195">
        <v>0</v>
      </c>
      <c r="AD37" s="193">
        <v>0</v>
      </c>
      <c r="AE37" s="193">
        <v>0</v>
      </c>
      <c r="AF37" s="193">
        <v>0</v>
      </c>
      <c r="AG37" s="195">
        <v>0</v>
      </c>
      <c r="AH37" s="193">
        <v>0</v>
      </c>
      <c r="AI37" s="193">
        <v>0</v>
      </c>
      <c r="AJ37" s="193">
        <v>0</v>
      </c>
      <c r="AK37" s="195">
        <v>0</v>
      </c>
      <c r="AL37" s="193">
        <v>-1699</v>
      </c>
      <c r="AM37" s="193">
        <v>-49</v>
      </c>
      <c r="AN37" s="193">
        <v>-53</v>
      </c>
      <c r="AO37" s="195">
        <v>2257</v>
      </c>
      <c r="AP37" s="195">
        <v>-706</v>
      </c>
      <c r="AQ37" s="195">
        <v>46</v>
      </c>
    </row>
    <row r="38" spans="1:43">
      <c r="B38" s="201" t="s">
        <v>356</v>
      </c>
      <c r="C38" s="193">
        <v>1011</v>
      </c>
      <c r="D38" s="194">
        <v>222</v>
      </c>
      <c r="E38" s="195">
        <v>1447</v>
      </c>
      <c r="F38" s="193">
        <v>860</v>
      </c>
      <c r="G38" s="193">
        <v>609</v>
      </c>
      <c r="H38" s="194">
        <v>1280</v>
      </c>
      <c r="I38" s="195">
        <v>1402</v>
      </c>
      <c r="J38" s="193">
        <v>1047</v>
      </c>
      <c r="K38" s="193">
        <v>965</v>
      </c>
      <c r="L38" s="194">
        <v>267</v>
      </c>
      <c r="M38" s="195">
        <v>3387</v>
      </c>
      <c r="N38" s="193">
        <v>2429</v>
      </c>
      <c r="O38" s="193">
        <v>1078</v>
      </c>
      <c r="P38" s="194">
        <v>539</v>
      </c>
      <c r="Q38" s="195">
        <v>2765</v>
      </c>
      <c r="R38" s="193">
        <v>2492</v>
      </c>
      <c r="S38" s="193">
        <v>0</v>
      </c>
      <c r="T38" s="194">
        <v>0</v>
      </c>
      <c r="U38" s="195">
        <v>0</v>
      </c>
      <c r="V38" s="193">
        <v>0</v>
      </c>
      <c r="W38" s="193">
        <v>0</v>
      </c>
      <c r="X38" s="193">
        <v>0</v>
      </c>
      <c r="Y38" s="195">
        <v>0</v>
      </c>
      <c r="Z38" s="193">
        <v>0</v>
      </c>
      <c r="AA38" s="193">
        <v>0</v>
      </c>
      <c r="AB38" s="193">
        <v>0</v>
      </c>
      <c r="AC38" s="195">
        <v>0</v>
      </c>
      <c r="AD38" s="193">
        <v>0</v>
      </c>
      <c r="AE38" s="193">
        <v>0</v>
      </c>
      <c r="AF38" s="193">
        <v>0</v>
      </c>
      <c r="AG38" s="195">
        <v>0</v>
      </c>
      <c r="AH38" s="193">
        <v>0</v>
      </c>
      <c r="AI38" s="193">
        <v>0</v>
      </c>
      <c r="AJ38" s="193">
        <v>0</v>
      </c>
      <c r="AK38" s="195">
        <v>0</v>
      </c>
      <c r="AL38" s="193">
        <v>0</v>
      </c>
      <c r="AM38" s="193">
        <v>0</v>
      </c>
      <c r="AN38" s="193">
        <v>0</v>
      </c>
      <c r="AO38" s="195">
        <v>0</v>
      </c>
      <c r="AP38" s="195">
        <v>0</v>
      </c>
      <c r="AQ38" s="195">
        <v>0</v>
      </c>
    </row>
    <row r="39" spans="1:43">
      <c r="B39" s="201" t="s">
        <v>354</v>
      </c>
      <c r="C39" s="193">
        <v>0</v>
      </c>
      <c r="D39" s="194">
        <v>0</v>
      </c>
      <c r="E39" s="195">
        <v>0</v>
      </c>
      <c r="F39" s="193">
        <v>0</v>
      </c>
      <c r="G39" s="193">
        <v>0</v>
      </c>
      <c r="H39" s="194">
        <v>0</v>
      </c>
      <c r="I39" s="195">
        <v>0</v>
      </c>
      <c r="J39" s="193">
        <v>0</v>
      </c>
      <c r="K39" s="193">
        <v>0</v>
      </c>
      <c r="L39" s="194">
        <v>0</v>
      </c>
      <c r="M39" s="195">
        <v>0</v>
      </c>
      <c r="N39" s="193">
        <v>0</v>
      </c>
      <c r="O39" s="193">
        <v>0</v>
      </c>
      <c r="P39" s="194">
        <v>0</v>
      </c>
      <c r="Q39" s="195">
        <v>-122794</v>
      </c>
      <c r="R39" s="193">
        <v>-163318</v>
      </c>
      <c r="S39" s="193">
        <v>0</v>
      </c>
      <c r="T39" s="194">
        <v>0</v>
      </c>
      <c r="U39" s="195">
        <v>0</v>
      </c>
      <c r="V39" s="193">
        <v>0</v>
      </c>
      <c r="W39" s="193">
        <v>0</v>
      </c>
      <c r="X39" s="193">
        <v>0</v>
      </c>
      <c r="Y39" s="195">
        <v>0</v>
      </c>
      <c r="Z39" s="193">
        <v>0</v>
      </c>
      <c r="AA39" s="193">
        <v>0</v>
      </c>
      <c r="AB39" s="193">
        <v>0</v>
      </c>
      <c r="AC39" s="195">
        <v>0</v>
      </c>
      <c r="AD39" s="193">
        <v>0</v>
      </c>
      <c r="AE39" s="193">
        <v>0</v>
      </c>
      <c r="AF39" s="193">
        <v>0</v>
      </c>
      <c r="AG39" s="195">
        <v>0</v>
      </c>
      <c r="AH39" s="193">
        <v>0</v>
      </c>
      <c r="AI39" s="193">
        <v>0</v>
      </c>
      <c r="AJ39" s="193">
        <v>0</v>
      </c>
      <c r="AK39" s="195">
        <v>0</v>
      </c>
      <c r="AL39" s="193">
        <v>0</v>
      </c>
      <c r="AM39" s="193">
        <v>0</v>
      </c>
      <c r="AN39" s="193">
        <v>0</v>
      </c>
      <c r="AO39" s="195">
        <v>0</v>
      </c>
      <c r="AP39" s="195">
        <v>0</v>
      </c>
      <c r="AQ39" s="195">
        <v>0</v>
      </c>
    </row>
    <row r="40" spans="1:43">
      <c r="B40" s="201" t="s">
        <v>413</v>
      </c>
      <c r="C40" s="193">
        <v>988</v>
      </c>
      <c r="D40" s="194">
        <v>492</v>
      </c>
      <c r="E40" s="195">
        <v>1354</v>
      </c>
      <c r="F40" s="193">
        <v>920</v>
      </c>
      <c r="G40" s="193">
        <v>581</v>
      </c>
      <c r="H40" s="194">
        <v>267</v>
      </c>
      <c r="I40" s="195">
        <v>244</v>
      </c>
      <c r="J40" s="193">
        <v>0</v>
      </c>
      <c r="K40" s="193">
        <v>0</v>
      </c>
      <c r="L40" s="194">
        <v>0</v>
      </c>
      <c r="M40" s="195">
        <v>0</v>
      </c>
      <c r="N40" s="193">
        <v>0</v>
      </c>
      <c r="O40" s="193">
        <v>0</v>
      </c>
      <c r="P40" s="194">
        <v>0</v>
      </c>
      <c r="Q40" s="195">
        <v>0</v>
      </c>
      <c r="R40" s="193">
        <v>0</v>
      </c>
      <c r="S40" s="193">
        <v>0</v>
      </c>
      <c r="T40" s="194">
        <v>0</v>
      </c>
      <c r="U40" s="195">
        <v>0</v>
      </c>
      <c r="V40" s="193">
        <v>0</v>
      </c>
      <c r="W40" s="193">
        <v>0</v>
      </c>
      <c r="X40" s="193">
        <v>0</v>
      </c>
      <c r="Y40" s="195">
        <v>0</v>
      </c>
      <c r="Z40" s="193">
        <v>0</v>
      </c>
      <c r="AA40" s="193">
        <v>0</v>
      </c>
      <c r="AB40" s="193">
        <v>0</v>
      </c>
      <c r="AC40" s="195">
        <v>0</v>
      </c>
      <c r="AD40" s="193">
        <v>0</v>
      </c>
      <c r="AE40" s="193">
        <v>0</v>
      </c>
      <c r="AF40" s="193">
        <v>0</v>
      </c>
      <c r="AG40" s="195">
        <v>0</v>
      </c>
      <c r="AH40" s="193">
        <v>0</v>
      </c>
      <c r="AI40" s="193">
        <v>0</v>
      </c>
      <c r="AJ40" s="193">
        <v>0</v>
      </c>
      <c r="AK40" s="195">
        <v>0</v>
      </c>
      <c r="AL40" s="184"/>
      <c r="AM40" s="184"/>
      <c r="AN40" s="184"/>
      <c r="AO40" s="184"/>
      <c r="AP40" s="184"/>
      <c r="AQ40" s="184"/>
    </row>
    <row r="41" spans="1:43">
      <c r="B41" s="201" t="s">
        <v>414</v>
      </c>
      <c r="C41" s="193">
        <v>759</v>
      </c>
      <c r="D41" s="194">
        <v>385</v>
      </c>
      <c r="E41" s="195">
        <v>1509</v>
      </c>
      <c r="F41" s="193">
        <v>1202</v>
      </c>
      <c r="G41" s="193">
        <v>0</v>
      </c>
      <c r="H41" s="194">
        <v>0</v>
      </c>
      <c r="I41" s="195">
        <v>174</v>
      </c>
      <c r="J41" s="193">
        <v>0</v>
      </c>
      <c r="K41" s="193">
        <v>0</v>
      </c>
      <c r="L41" s="194">
        <v>0</v>
      </c>
      <c r="M41" s="195">
        <v>0</v>
      </c>
      <c r="N41" s="193">
        <v>0</v>
      </c>
      <c r="O41" s="193">
        <v>0</v>
      </c>
      <c r="P41" s="194">
        <v>0</v>
      </c>
      <c r="Q41" s="195">
        <v>0</v>
      </c>
      <c r="R41" s="193">
        <v>0</v>
      </c>
      <c r="S41" s="193">
        <v>0</v>
      </c>
      <c r="T41" s="194">
        <v>0</v>
      </c>
      <c r="U41" s="195">
        <v>0</v>
      </c>
      <c r="V41" s="193">
        <v>0</v>
      </c>
      <c r="W41" s="193">
        <v>0</v>
      </c>
      <c r="X41" s="193">
        <v>0</v>
      </c>
      <c r="Y41" s="195">
        <v>0</v>
      </c>
      <c r="Z41" s="193">
        <v>0</v>
      </c>
      <c r="AA41" s="193">
        <v>0</v>
      </c>
      <c r="AB41" s="193">
        <v>0</v>
      </c>
      <c r="AC41" s="195">
        <v>0</v>
      </c>
      <c r="AD41" s="193">
        <v>0</v>
      </c>
      <c r="AE41" s="193">
        <v>0</v>
      </c>
      <c r="AF41" s="193">
        <v>0</v>
      </c>
      <c r="AG41" s="195">
        <v>0</v>
      </c>
      <c r="AH41" s="193">
        <v>0</v>
      </c>
      <c r="AI41" s="193">
        <v>0</v>
      </c>
      <c r="AJ41" s="193">
        <v>0</v>
      </c>
      <c r="AK41" s="195">
        <v>0</v>
      </c>
      <c r="AL41" s="184"/>
      <c r="AM41" s="184"/>
      <c r="AN41" s="184"/>
      <c r="AO41" s="184"/>
      <c r="AP41" s="184"/>
      <c r="AQ41" s="184"/>
    </row>
    <row r="42" spans="1:43">
      <c r="B42" s="201" t="s">
        <v>408</v>
      </c>
      <c r="C42" s="193">
        <v>0</v>
      </c>
      <c r="D42" s="194">
        <v>0</v>
      </c>
      <c r="E42" s="195">
        <v>0</v>
      </c>
      <c r="F42" s="193">
        <v>0</v>
      </c>
      <c r="G42" s="193">
        <v>0</v>
      </c>
      <c r="H42" s="194">
        <v>0</v>
      </c>
      <c r="I42" s="195">
        <v>7</v>
      </c>
      <c r="J42" s="193">
        <v>7</v>
      </c>
      <c r="K42" s="193">
        <v>7</v>
      </c>
      <c r="L42" s="194">
        <v>7</v>
      </c>
      <c r="M42" s="195">
        <v>0</v>
      </c>
      <c r="N42" s="193">
        <v>0</v>
      </c>
      <c r="O42" s="193">
        <v>0</v>
      </c>
      <c r="P42" s="194">
        <v>0</v>
      </c>
      <c r="Q42" s="195">
        <v>0</v>
      </c>
      <c r="R42" s="193">
        <v>0</v>
      </c>
      <c r="S42" s="193">
        <v>0</v>
      </c>
      <c r="T42" s="194">
        <v>0</v>
      </c>
      <c r="U42" s="195">
        <v>0</v>
      </c>
      <c r="V42" s="193">
        <v>0</v>
      </c>
      <c r="W42" s="193"/>
      <c r="X42" s="193"/>
      <c r="Y42" s="195"/>
      <c r="Z42" s="193"/>
      <c r="AA42" s="193"/>
      <c r="AB42" s="193"/>
      <c r="AC42" s="195"/>
      <c r="AD42" s="193"/>
      <c r="AE42" s="193"/>
      <c r="AF42" s="193"/>
      <c r="AG42" s="195"/>
      <c r="AH42" s="193"/>
      <c r="AI42" s="193"/>
      <c r="AJ42" s="193"/>
      <c r="AK42" s="195"/>
      <c r="AL42" s="193"/>
      <c r="AM42" s="193"/>
      <c r="AN42" s="193"/>
      <c r="AO42" s="195"/>
      <c r="AP42" s="195"/>
      <c r="AQ42" s="195"/>
    </row>
    <row r="43" spans="1:43">
      <c r="B43" s="201" t="s">
        <v>422</v>
      </c>
      <c r="C43" s="193">
        <v>0</v>
      </c>
      <c r="D43" s="194">
        <v>0</v>
      </c>
      <c r="E43" s="195">
        <v>0</v>
      </c>
      <c r="F43" s="193">
        <v>0</v>
      </c>
      <c r="G43" s="193">
        <v>828</v>
      </c>
      <c r="H43" s="194">
        <v>404</v>
      </c>
      <c r="I43" s="195">
        <v>0</v>
      </c>
      <c r="J43" s="193">
        <v>0</v>
      </c>
      <c r="K43" s="193">
        <v>0</v>
      </c>
      <c r="L43" s="194">
        <v>0</v>
      </c>
      <c r="M43" s="195">
        <v>0</v>
      </c>
      <c r="N43" s="193">
        <v>0</v>
      </c>
      <c r="O43" s="193">
        <v>0</v>
      </c>
      <c r="P43" s="194">
        <v>0</v>
      </c>
      <c r="Q43" s="195">
        <v>0</v>
      </c>
      <c r="R43" s="193">
        <v>0</v>
      </c>
      <c r="S43" s="193">
        <v>0</v>
      </c>
      <c r="T43" s="194">
        <v>0</v>
      </c>
      <c r="U43" s="195">
        <v>0</v>
      </c>
      <c r="V43" s="193">
        <v>0</v>
      </c>
      <c r="W43" s="193">
        <v>0</v>
      </c>
      <c r="X43" s="193">
        <v>0</v>
      </c>
      <c r="Y43" s="195">
        <v>0</v>
      </c>
      <c r="Z43" s="193">
        <v>0</v>
      </c>
      <c r="AA43" s="193">
        <v>0</v>
      </c>
      <c r="AB43" s="193">
        <v>0</v>
      </c>
      <c r="AC43" s="195">
        <v>0</v>
      </c>
      <c r="AD43" s="193">
        <v>0</v>
      </c>
      <c r="AE43" s="193">
        <v>0</v>
      </c>
      <c r="AF43" s="193">
        <v>0</v>
      </c>
      <c r="AG43" s="195">
        <v>0</v>
      </c>
      <c r="AH43" s="193">
        <v>0</v>
      </c>
      <c r="AI43" s="193">
        <v>0</v>
      </c>
      <c r="AJ43" s="193">
        <v>0</v>
      </c>
      <c r="AK43" s="195">
        <v>0</v>
      </c>
      <c r="AL43" s="184"/>
      <c r="AM43" s="184"/>
      <c r="AN43" s="184"/>
      <c r="AO43" s="184"/>
      <c r="AP43" s="184"/>
      <c r="AQ43" s="184"/>
    </row>
    <row r="44" spans="1:43">
      <c r="B44" s="201" t="s">
        <v>443</v>
      </c>
      <c r="C44" s="193">
        <v>-9709</v>
      </c>
      <c r="D44" s="194"/>
      <c r="E44" s="195"/>
      <c r="F44" s="193"/>
      <c r="G44" s="193"/>
      <c r="H44" s="194"/>
      <c r="I44" s="195"/>
      <c r="J44" s="193"/>
      <c r="K44" s="193"/>
      <c r="L44" s="194"/>
      <c r="M44" s="195"/>
      <c r="N44" s="193"/>
      <c r="O44" s="193"/>
      <c r="P44" s="194"/>
      <c r="Q44" s="195"/>
      <c r="R44" s="193"/>
      <c r="S44" s="193"/>
      <c r="T44" s="194"/>
      <c r="U44" s="195"/>
      <c r="V44" s="193"/>
      <c r="W44" s="193"/>
      <c r="X44" s="193"/>
      <c r="Y44" s="195"/>
      <c r="Z44" s="193"/>
      <c r="AA44" s="193"/>
      <c r="AB44" s="193"/>
      <c r="AC44" s="195"/>
      <c r="AD44" s="193"/>
      <c r="AE44" s="193"/>
      <c r="AF44" s="193"/>
      <c r="AG44" s="195"/>
      <c r="AH44" s="193"/>
      <c r="AI44" s="193"/>
      <c r="AJ44" s="193"/>
      <c r="AK44" s="195"/>
      <c r="AL44" s="184"/>
      <c r="AM44" s="184"/>
      <c r="AN44" s="184"/>
      <c r="AO44" s="184"/>
      <c r="AP44" s="184"/>
      <c r="AQ44" s="184"/>
    </row>
    <row r="45" spans="1:43">
      <c r="B45" s="201" t="s">
        <v>441</v>
      </c>
      <c r="C45" s="193">
        <v>333</v>
      </c>
      <c r="D45" s="194">
        <v>167</v>
      </c>
      <c r="E45" s="195">
        <v>248</v>
      </c>
      <c r="F45" s="193">
        <v>0</v>
      </c>
      <c r="G45" s="193">
        <v>0</v>
      </c>
      <c r="H45" s="194">
        <v>0</v>
      </c>
      <c r="I45" s="195">
        <v>0</v>
      </c>
      <c r="J45" s="193">
        <v>0</v>
      </c>
      <c r="K45" s="193">
        <v>0</v>
      </c>
      <c r="L45" s="194">
        <v>0</v>
      </c>
      <c r="M45" s="195">
        <v>0</v>
      </c>
      <c r="N45" s="193">
        <v>0</v>
      </c>
      <c r="O45" s="193">
        <v>0</v>
      </c>
      <c r="P45" s="194">
        <v>0</v>
      </c>
      <c r="Q45" s="195">
        <v>0</v>
      </c>
      <c r="R45" s="193">
        <v>0</v>
      </c>
      <c r="S45" s="193">
        <v>0</v>
      </c>
      <c r="T45" s="194">
        <v>0</v>
      </c>
      <c r="U45" s="195">
        <v>0</v>
      </c>
      <c r="V45" s="193">
        <v>0</v>
      </c>
      <c r="W45" s="193"/>
      <c r="X45" s="193"/>
      <c r="Y45" s="195"/>
      <c r="Z45" s="193"/>
      <c r="AA45" s="193"/>
      <c r="AB45" s="193"/>
      <c r="AC45" s="195"/>
      <c r="AD45" s="193"/>
      <c r="AE45" s="193"/>
      <c r="AF45" s="193"/>
      <c r="AG45" s="195"/>
      <c r="AH45" s="193"/>
      <c r="AI45" s="193"/>
      <c r="AJ45" s="193"/>
      <c r="AK45" s="195"/>
      <c r="AL45" s="184"/>
      <c r="AM45" s="184"/>
      <c r="AN45" s="184"/>
      <c r="AO45" s="184"/>
      <c r="AP45" s="184"/>
      <c r="AQ45" s="184"/>
    </row>
    <row r="46" spans="1:43">
      <c r="B46" s="201"/>
      <c r="C46" s="240">
        <f>SUM(C13:C45)</f>
        <v>661631</v>
      </c>
      <c r="D46" s="241">
        <f>SUM(D13:D45)</f>
        <v>245560</v>
      </c>
      <c r="E46" s="242">
        <f>SUM(E13:E45)</f>
        <v>848539</v>
      </c>
      <c r="F46" s="240">
        <f t="shared" ref="F46" si="0">SUM(F13:F43)</f>
        <v>568201</v>
      </c>
      <c r="G46" s="240">
        <f t="shared" ref="G46" si="1">SUM(G13:G43)</f>
        <v>377514</v>
      </c>
      <c r="H46" s="241">
        <f>SUM(H13:H43)</f>
        <v>206277</v>
      </c>
      <c r="I46" s="242">
        <f>SUM(I13:I42)</f>
        <v>930987</v>
      </c>
      <c r="J46" s="240">
        <f>SUM(J13:J42)</f>
        <v>760513</v>
      </c>
      <c r="K46" s="240">
        <f>SUM(K13:K42)</f>
        <v>575289</v>
      </c>
      <c r="L46" s="241">
        <f>SUM(L13:L42)</f>
        <v>320005</v>
      </c>
      <c r="M46" s="242">
        <f>SUM(M13:M42)</f>
        <v>1329464</v>
      </c>
      <c r="N46" s="240">
        <f>SUM(N13:N39)</f>
        <v>1023257</v>
      </c>
      <c r="O46" s="240">
        <f>SUM(O13:O39)</f>
        <v>693720</v>
      </c>
      <c r="P46" s="241">
        <v>335532</v>
      </c>
      <c r="Q46" s="382">
        <v>1073159</v>
      </c>
      <c r="R46" s="240">
        <f>SUM(R13:R39)</f>
        <v>446154</v>
      </c>
      <c r="S46" s="240">
        <f>SUM(S13:S39)</f>
        <v>355086</v>
      </c>
      <c r="T46" s="241">
        <f t="shared" ref="T46:AE46" si="2">SUM(T13:T37)</f>
        <v>112730</v>
      </c>
      <c r="U46" s="382">
        <f t="shared" si="2"/>
        <v>355856</v>
      </c>
      <c r="V46" s="240">
        <f t="shared" si="2"/>
        <v>212343</v>
      </c>
      <c r="W46" s="240">
        <f t="shared" si="2"/>
        <v>123597</v>
      </c>
      <c r="X46" s="240">
        <f t="shared" si="2"/>
        <v>35133</v>
      </c>
      <c r="Y46" s="382">
        <f t="shared" si="2"/>
        <v>290939</v>
      </c>
      <c r="Z46" s="240">
        <f t="shared" si="2"/>
        <v>222035</v>
      </c>
      <c r="AA46" s="240">
        <f t="shared" si="2"/>
        <v>162866</v>
      </c>
      <c r="AB46" s="240">
        <f t="shared" si="2"/>
        <v>86615</v>
      </c>
      <c r="AC46" s="382">
        <f t="shared" si="2"/>
        <v>556269</v>
      </c>
      <c r="AD46" s="244">
        <f t="shared" si="2"/>
        <v>450143</v>
      </c>
      <c r="AE46" s="244">
        <f t="shared" si="2"/>
        <v>306940</v>
      </c>
      <c r="AF46" s="244">
        <v>178316</v>
      </c>
      <c r="AG46" s="382">
        <v>408621</v>
      </c>
      <c r="AH46" s="244">
        <v>287740</v>
      </c>
      <c r="AI46" s="244">
        <v>174427</v>
      </c>
      <c r="AJ46" s="244">
        <v>82418</v>
      </c>
      <c r="AK46" s="382">
        <v>309344</v>
      </c>
      <c r="AL46" s="244">
        <v>225366</v>
      </c>
      <c r="AM46" s="244">
        <v>156695</v>
      </c>
      <c r="AN46" s="244">
        <v>79336</v>
      </c>
      <c r="AO46" s="382">
        <v>286799</v>
      </c>
      <c r="AP46" s="382">
        <v>219506</v>
      </c>
      <c r="AQ46" s="382">
        <v>40538</v>
      </c>
    </row>
    <row r="47" spans="1:43" ht="15.75" thickBot="1">
      <c r="A47" s="196"/>
      <c r="B47" s="207" t="s">
        <v>255</v>
      </c>
      <c r="C47" s="198"/>
      <c r="D47" s="199"/>
      <c r="E47" s="200"/>
      <c r="F47" s="198"/>
      <c r="G47" s="198"/>
      <c r="H47" s="199"/>
      <c r="I47" s="200"/>
      <c r="J47" s="198"/>
      <c r="K47" s="198"/>
      <c r="L47" s="199"/>
      <c r="M47" s="200"/>
      <c r="N47" s="198"/>
      <c r="O47" s="198"/>
      <c r="P47" s="199"/>
      <c r="Q47" s="200"/>
      <c r="R47" s="198"/>
      <c r="S47" s="198"/>
      <c r="T47" s="199"/>
      <c r="U47" s="200"/>
      <c r="V47" s="198"/>
      <c r="W47" s="198"/>
      <c r="X47" s="198"/>
      <c r="Y47" s="200"/>
      <c r="Z47" s="198"/>
      <c r="AA47" s="198"/>
      <c r="AB47" s="198"/>
      <c r="AC47" s="200"/>
      <c r="AD47" s="198"/>
      <c r="AE47" s="198"/>
      <c r="AF47" s="198"/>
      <c r="AG47" s="200"/>
      <c r="AH47" s="198"/>
      <c r="AI47" s="198"/>
      <c r="AJ47" s="198"/>
      <c r="AK47" s="200"/>
      <c r="AL47" s="198"/>
      <c r="AM47" s="198"/>
      <c r="AN47" s="198"/>
      <c r="AO47" s="200"/>
      <c r="AP47" s="200"/>
      <c r="AQ47" s="200"/>
    </row>
    <row r="48" spans="1:43" ht="15" thickTop="1">
      <c r="B48" s="202" t="s">
        <v>203</v>
      </c>
      <c r="C48" s="193">
        <v>7268</v>
      </c>
      <c r="D48" s="194">
        <v>-1537</v>
      </c>
      <c r="E48" s="195">
        <v>4772</v>
      </c>
      <c r="F48" s="193">
        <v>32310</v>
      </c>
      <c r="G48" s="193">
        <v>23773</v>
      </c>
      <c r="H48" s="194">
        <v>48748</v>
      </c>
      <c r="I48" s="195">
        <v>38109</v>
      </c>
      <c r="J48" s="193">
        <v>46230</v>
      </c>
      <c r="K48" s="193">
        <v>22338</v>
      </c>
      <c r="L48" s="194">
        <v>2613</v>
      </c>
      <c r="M48" s="195">
        <v>-46591</v>
      </c>
      <c r="N48" s="193">
        <v>-62002</v>
      </c>
      <c r="O48" s="193">
        <v>-16349</v>
      </c>
      <c r="P48" s="194">
        <v>-24231</v>
      </c>
      <c r="Q48" s="195">
        <v>-78126</v>
      </c>
      <c r="R48" s="193">
        <v>-56950</v>
      </c>
      <c r="S48" s="193">
        <v>-32026</v>
      </c>
      <c r="T48" s="194">
        <v>-8711</v>
      </c>
      <c r="U48" s="195">
        <v>692</v>
      </c>
      <c r="V48" s="193">
        <v>-14656</v>
      </c>
      <c r="W48" s="193">
        <v>-5410</v>
      </c>
      <c r="X48" s="193">
        <v>-6697</v>
      </c>
      <c r="Y48" s="195">
        <v>-23300</v>
      </c>
      <c r="Z48" s="193">
        <v>-8771</v>
      </c>
      <c r="AA48" s="193">
        <v>-25834</v>
      </c>
      <c r="AB48" s="193">
        <v>-21686</v>
      </c>
      <c r="AC48" s="195">
        <v>-2278</v>
      </c>
      <c r="AD48" s="193">
        <v>-19765</v>
      </c>
      <c r="AE48" s="193">
        <v>-34537</v>
      </c>
      <c r="AF48" s="193">
        <v>-24470</v>
      </c>
      <c r="AG48" s="195">
        <v>-14181</v>
      </c>
      <c r="AH48" s="193">
        <v>-22113</v>
      </c>
      <c r="AI48" s="193">
        <v>-14146</v>
      </c>
      <c r="AJ48" s="193">
        <v>-20934</v>
      </c>
      <c r="AK48" s="195">
        <v>3466</v>
      </c>
      <c r="AL48" s="193">
        <v>-2007</v>
      </c>
      <c r="AM48" s="193">
        <v>-2590</v>
      </c>
      <c r="AN48" s="193">
        <v>-4798</v>
      </c>
      <c r="AO48" s="195">
        <v>-11859</v>
      </c>
      <c r="AP48" s="195">
        <v>-3975</v>
      </c>
      <c r="AQ48" s="195">
        <v>14276</v>
      </c>
    </row>
    <row r="49" spans="1:43">
      <c r="B49" s="202" t="s">
        <v>256</v>
      </c>
      <c r="C49" s="193">
        <v>-86094</v>
      </c>
      <c r="D49" s="194">
        <v>-85504</v>
      </c>
      <c r="E49" s="195">
        <v>-27484</v>
      </c>
      <c r="F49" s="193">
        <v>-8856</v>
      </c>
      <c r="G49" s="193">
        <v>-4318</v>
      </c>
      <c r="H49" s="194">
        <v>-27985</v>
      </c>
      <c r="I49" s="195">
        <v>42846</v>
      </c>
      <c r="J49" s="193">
        <v>29618</v>
      </c>
      <c r="K49" s="193">
        <v>31730</v>
      </c>
      <c r="L49" s="194">
        <v>22695</v>
      </c>
      <c r="M49" s="195">
        <v>120554</v>
      </c>
      <c r="N49" s="193">
        <v>73664</v>
      </c>
      <c r="O49" s="193">
        <v>59206</v>
      </c>
      <c r="P49" s="194">
        <v>48453</v>
      </c>
      <c r="Q49" s="195">
        <v>43470</v>
      </c>
      <c r="R49" s="193">
        <v>-3306</v>
      </c>
      <c r="S49" s="193">
        <v>-89983</v>
      </c>
      <c r="T49" s="194">
        <v>1759</v>
      </c>
      <c r="U49" s="195">
        <v>5611</v>
      </c>
      <c r="V49" s="193">
        <v>6025</v>
      </c>
      <c r="W49" s="193">
        <v>5937</v>
      </c>
      <c r="X49" s="193">
        <v>7520</v>
      </c>
      <c r="Y49" s="195">
        <v>-5118</v>
      </c>
      <c r="Z49" s="193">
        <v>-1956</v>
      </c>
      <c r="AA49" s="193">
        <v>-845</v>
      </c>
      <c r="AB49" s="193">
        <v>2192</v>
      </c>
      <c r="AC49" s="195">
        <v>9856</v>
      </c>
      <c r="AD49" s="193">
        <v>550</v>
      </c>
      <c r="AE49" s="193">
        <v>-2244</v>
      </c>
      <c r="AF49" s="193">
        <v>-162</v>
      </c>
      <c r="AG49" s="195">
        <v>-7537</v>
      </c>
      <c r="AH49" s="193">
        <v>3046</v>
      </c>
      <c r="AI49" s="193">
        <v>3884</v>
      </c>
      <c r="AJ49" s="193">
        <v>5737</v>
      </c>
      <c r="AK49" s="195">
        <v>2474</v>
      </c>
      <c r="AL49" s="193">
        <v>3090</v>
      </c>
      <c r="AM49" s="193">
        <v>4017</v>
      </c>
      <c r="AN49" s="193">
        <v>6454</v>
      </c>
      <c r="AO49" s="195">
        <v>-5171</v>
      </c>
      <c r="AP49" s="195">
        <v>24075</v>
      </c>
      <c r="AQ49" s="195">
        <v>667</v>
      </c>
    </row>
    <row r="50" spans="1:43">
      <c r="B50" s="202" t="s">
        <v>205</v>
      </c>
      <c r="C50" s="193">
        <v>-3578</v>
      </c>
      <c r="D50" s="194">
        <v>-9119</v>
      </c>
      <c r="E50" s="195">
        <v>-3735</v>
      </c>
      <c r="F50" s="193">
        <v>-13286</v>
      </c>
      <c r="G50" s="193">
        <v>-3167</v>
      </c>
      <c r="H50" s="194">
        <v>-5305</v>
      </c>
      <c r="I50" s="195">
        <v>-3250</v>
      </c>
      <c r="J50" s="193">
        <v>-12399</v>
      </c>
      <c r="K50" s="193">
        <v>208</v>
      </c>
      <c r="L50" s="194">
        <v>-9062</v>
      </c>
      <c r="M50" s="195">
        <v>12365</v>
      </c>
      <c r="N50" s="193">
        <v>15956</v>
      </c>
      <c r="O50" s="193">
        <v>1498</v>
      </c>
      <c r="P50" s="194">
        <v>9068</v>
      </c>
      <c r="Q50" s="195">
        <v>-43821</v>
      </c>
      <c r="R50" s="193">
        <v>-2755</v>
      </c>
      <c r="S50" s="193">
        <v>-18637</v>
      </c>
      <c r="T50" s="194">
        <v>-15843</v>
      </c>
      <c r="U50" s="195">
        <v>-3149</v>
      </c>
      <c r="V50" s="193">
        <v>-11369</v>
      </c>
      <c r="W50" s="193">
        <v>-23116</v>
      </c>
      <c r="X50" s="193">
        <v>7471</v>
      </c>
      <c r="Y50" s="195">
        <v>-1388</v>
      </c>
      <c r="Z50" s="193">
        <v>-13820</v>
      </c>
      <c r="AA50" s="193">
        <v>-9558</v>
      </c>
      <c r="AB50" s="193">
        <v>-1115</v>
      </c>
      <c r="AC50" s="195">
        <v>-8215</v>
      </c>
      <c r="AD50" s="193">
        <v>-9021</v>
      </c>
      <c r="AE50" s="193">
        <v>-6558</v>
      </c>
      <c r="AF50" s="193">
        <v>7693</v>
      </c>
      <c r="AG50" s="195">
        <v>360</v>
      </c>
      <c r="AH50" s="193">
        <v>-3289</v>
      </c>
      <c r="AI50" s="193">
        <v>-2552</v>
      </c>
      <c r="AJ50" s="193">
        <v>143</v>
      </c>
      <c r="AK50" s="195">
        <v>-6508</v>
      </c>
      <c r="AL50" s="193">
        <v>-9645</v>
      </c>
      <c r="AM50" s="193">
        <v>-2731</v>
      </c>
      <c r="AN50" s="193">
        <v>-3452</v>
      </c>
      <c r="AO50" s="195">
        <v>-3522</v>
      </c>
      <c r="AP50" s="195">
        <v>-4996</v>
      </c>
      <c r="AQ50" s="195">
        <v>-4325</v>
      </c>
    </row>
    <row r="51" spans="1:43">
      <c r="B51" s="201" t="s">
        <v>257</v>
      </c>
      <c r="C51" s="193">
        <v>4184</v>
      </c>
      <c r="D51" s="194">
        <v>-22432</v>
      </c>
      <c r="E51" s="195">
        <v>-14151</v>
      </c>
      <c r="F51" s="193">
        <v>-42047</v>
      </c>
      <c r="G51" s="193">
        <v>-42299</v>
      </c>
      <c r="H51" s="194">
        <v>-20051</v>
      </c>
      <c r="I51" s="195">
        <v>-1304</v>
      </c>
      <c r="J51" s="193">
        <v>-9942</v>
      </c>
      <c r="K51" s="193">
        <v>-12282</v>
      </c>
      <c r="L51" s="194">
        <v>-6923</v>
      </c>
      <c r="M51" s="195">
        <v>10527</v>
      </c>
      <c r="N51" s="193">
        <v>10360</v>
      </c>
      <c r="O51" s="193">
        <v>-5492</v>
      </c>
      <c r="P51" s="194">
        <v>-9124</v>
      </c>
      <c r="Q51" s="195">
        <v>-45526</v>
      </c>
      <c r="R51" s="193">
        <v>20614</v>
      </c>
      <c r="S51" s="193">
        <v>-9349</v>
      </c>
      <c r="T51" s="194">
        <v>-8683</v>
      </c>
      <c r="U51" s="195">
        <v>-8163</v>
      </c>
      <c r="V51" s="193">
        <v>-33793</v>
      </c>
      <c r="W51" s="193">
        <v>-22794</v>
      </c>
      <c r="X51" s="193">
        <v>-21416</v>
      </c>
      <c r="Y51" s="195">
        <v>14797</v>
      </c>
      <c r="Z51" s="193">
        <v>981</v>
      </c>
      <c r="AA51" s="193">
        <v>-6549</v>
      </c>
      <c r="AB51" s="193">
        <v>-7439</v>
      </c>
      <c r="AC51" s="195">
        <v>-17682</v>
      </c>
      <c r="AD51" s="193">
        <v>-15697</v>
      </c>
      <c r="AE51" s="193">
        <v>-13230</v>
      </c>
      <c r="AF51" s="193">
        <v>-8427</v>
      </c>
      <c r="AG51" s="195">
        <v>2440</v>
      </c>
      <c r="AH51" s="193">
        <v>205</v>
      </c>
      <c r="AI51" s="193">
        <v>-1873</v>
      </c>
      <c r="AJ51" s="193">
        <v>-6670</v>
      </c>
      <c r="AK51" s="195">
        <v>-8626</v>
      </c>
      <c r="AL51" s="193">
        <v>-502</v>
      </c>
      <c r="AM51" s="193">
        <v>-1982</v>
      </c>
      <c r="AN51" s="193">
        <v>5642</v>
      </c>
      <c r="AO51" s="195">
        <v>-15597</v>
      </c>
      <c r="AP51" s="195">
        <v>-2480</v>
      </c>
      <c r="AQ51" s="195">
        <v>2348</v>
      </c>
    </row>
    <row r="52" spans="1:43">
      <c r="B52" s="201" t="s">
        <v>216</v>
      </c>
      <c r="C52" s="193">
        <v>-19734</v>
      </c>
      <c r="D52" s="194">
        <v>-6470</v>
      </c>
      <c r="E52" s="195">
        <v>14652</v>
      </c>
      <c r="F52" s="193">
        <v>11818</v>
      </c>
      <c r="G52" s="193">
        <v>9710</v>
      </c>
      <c r="H52" s="194">
        <v>25338</v>
      </c>
      <c r="I52" s="195">
        <v>2554</v>
      </c>
      <c r="J52" s="193">
        <v>12854</v>
      </c>
      <c r="K52" s="193">
        <v>3948</v>
      </c>
      <c r="L52" s="194">
        <v>21462</v>
      </c>
      <c r="M52" s="195">
        <v>-20905</v>
      </c>
      <c r="N52" s="193">
        <v>-1609</v>
      </c>
      <c r="O52" s="193">
        <v>-23935</v>
      </c>
      <c r="P52" s="194">
        <v>-15894</v>
      </c>
      <c r="Q52" s="195">
        <v>25644</v>
      </c>
      <c r="R52" s="193">
        <v>1428</v>
      </c>
      <c r="S52" s="193">
        <v>7298</v>
      </c>
      <c r="T52" s="194">
        <v>-11308</v>
      </c>
      <c r="U52" s="195">
        <v>-2560</v>
      </c>
      <c r="V52" s="193">
        <v>-4944</v>
      </c>
      <c r="W52" s="193">
        <v>19358</v>
      </c>
      <c r="X52" s="193">
        <v>-2302</v>
      </c>
      <c r="Y52" s="195">
        <v>-930</v>
      </c>
      <c r="Z52" s="193">
        <v>-7379</v>
      </c>
      <c r="AA52" s="193">
        <v>-210</v>
      </c>
      <c r="AB52" s="193">
        <v>3692</v>
      </c>
      <c r="AC52" s="195">
        <v>-1007</v>
      </c>
      <c r="AD52" s="193">
        <v>-23565</v>
      </c>
      <c r="AE52" s="193">
        <v>-8056</v>
      </c>
      <c r="AF52" s="193">
        <v>-11243</v>
      </c>
      <c r="AG52" s="195">
        <v>-1142</v>
      </c>
      <c r="AH52" s="193">
        <v>-4727</v>
      </c>
      <c r="AI52" s="193">
        <v>-9221</v>
      </c>
      <c r="AJ52" s="193">
        <v>-10772</v>
      </c>
      <c r="AK52" s="195">
        <v>11753</v>
      </c>
      <c r="AL52" s="193">
        <v>-897</v>
      </c>
      <c r="AM52" s="193">
        <v>-598</v>
      </c>
      <c r="AN52" s="193">
        <v>-928</v>
      </c>
      <c r="AO52" s="195">
        <v>5392</v>
      </c>
      <c r="AP52" s="195">
        <v>496</v>
      </c>
      <c r="AQ52" s="195">
        <v>1928</v>
      </c>
    </row>
    <row r="53" spans="1:43">
      <c r="B53" s="201" t="s">
        <v>218</v>
      </c>
      <c r="C53" s="193">
        <v>-22346</v>
      </c>
      <c r="D53" s="194">
        <v>-26871</v>
      </c>
      <c r="E53" s="195">
        <v>5458</v>
      </c>
      <c r="F53" s="193">
        <v>-9477</v>
      </c>
      <c r="G53" s="193">
        <v>-18008</v>
      </c>
      <c r="H53" s="194">
        <v>-23059</v>
      </c>
      <c r="I53" s="195">
        <v>-2939</v>
      </c>
      <c r="J53" s="193">
        <v>-11715</v>
      </c>
      <c r="K53" s="193">
        <v>-17420</v>
      </c>
      <c r="L53" s="194">
        <v>-21958</v>
      </c>
      <c r="M53" s="195">
        <v>4806</v>
      </c>
      <c r="N53" s="193">
        <v>153</v>
      </c>
      <c r="O53" s="193">
        <v>-11176</v>
      </c>
      <c r="P53" s="194">
        <v>-20811</v>
      </c>
      <c r="Q53" s="195">
        <v>19007</v>
      </c>
      <c r="R53" s="193">
        <v>3857</v>
      </c>
      <c r="S53" s="193">
        <v>-7075</v>
      </c>
      <c r="T53" s="194">
        <v>-13333</v>
      </c>
      <c r="U53" s="195">
        <v>18192</v>
      </c>
      <c r="V53" s="193">
        <v>15643</v>
      </c>
      <c r="W53" s="193">
        <v>11072</v>
      </c>
      <c r="X53" s="193">
        <v>2720</v>
      </c>
      <c r="Y53" s="195">
        <v>-17221</v>
      </c>
      <c r="Z53" s="193">
        <v>-15646</v>
      </c>
      <c r="AA53" s="193">
        <v>-18063</v>
      </c>
      <c r="AB53" s="193">
        <v>-1816</v>
      </c>
      <c r="AC53" s="195">
        <v>10057</v>
      </c>
      <c r="AD53" s="193">
        <v>-1104</v>
      </c>
      <c r="AE53" s="193">
        <v>-6402</v>
      </c>
      <c r="AF53" s="193">
        <v>4216</v>
      </c>
      <c r="AG53" s="195">
        <v>847</v>
      </c>
      <c r="AH53" s="193">
        <v>-2264</v>
      </c>
      <c r="AI53" s="193">
        <v>-6976</v>
      </c>
      <c r="AJ53" s="193">
        <v>3092</v>
      </c>
      <c r="AK53" s="195">
        <v>1996</v>
      </c>
      <c r="AL53" s="193">
        <v>1859</v>
      </c>
      <c r="AM53" s="193">
        <v>-3606</v>
      </c>
      <c r="AN53" s="193">
        <v>8071</v>
      </c>
      <c r="AO53" s="195">
        <v>2170</v>
      </c>
      <c r="AP53" s="195">
        <v>7210</v>
      </c>
      <c r="AQ53" s="195">
        <v>1081</v>
      </c>
    </row>
    <row r="54" spans="1:43">
      <c r="B54" s="201" t="s">
        <v>258</v>
      </c>
      <c r="C54" s="193">
        <v>-9970</v>
      </c>
      <c r="D54" s="194">
        <v>1962</v>
      </c>
      <c r="E54" s="195">
        <v>-3354</v>
      </c>
      <c r="F54" s="193">
        <v>-4581</v>
      </c>
      <c r="G54" s="193">
        <v>-2117</v>
      </c>
      <c r="H54" s="194">
        <v>-1571</v>
      </c>
      <c r="I54" s="195">
        <v>-28742</v>
      </c>
      <c r="J54" s="193">
        <v>-28572</v>
      </c>
      <c r="K54" s="193">
        <v>-22902</v>
      </c>
      <c r="L54" s="194">
        <v>-7438</v>
      </c>
      <c r="M54" s="195">
        <v>-973</v>
      </c>
      <c r="N54" s="193">
        <v>3592</v>
      </c>
      <c r="O54" s="193">
        <v>197</v>
      </c>
      <c r="P54" s="194">
        <v>11922</v>
      </c>
      <c r="Q54" s="195">
        <v>6364</v>
      </c>
      <c r="R54" s="193">
        <v>4241</v>
      </c>
      <c r="S54" s="193">
        <v>2607</v>
      </c>
      <c r="T54" s="194">
        <v>7124</v>
      </c>
      <c r="U54" s="195">
        <v>38853</v>
      </c>
      <c r="V54" s="193">
        <v>56847</v>
      </c>
      <c r="W54" s="193">
        <v>49016</v>
      </c>
      <c r="X54" s="193">
        <v>1254</v>
      </c>
      <c r="Y54" s="195">
        <v>845</v>
      </c>
      <c r="Z54" s="193">
        <v>-1012</v>
      </c>
      <c r="AA54" s="193">
        <v>1638</v>
      </c>
      <c r="AB54" s="193">
        <v>7155</v>
      </c>
      <c r="AC54" s="195">
        <v>-1521</v>
      </c>
      <c r="AD54" s="193">
        <v>1892</v>
      </c>
      <c r="AE54" s="193">
        <v>7526</v>
      </c>
      <c r="AF54" s="193">
        <v>5777</v>
      </c>
      <c r="AG54" s="195">
        <v>2152</v>
      </c>
      <c r="AH54" s="193">
        <v>5340</v>
      </c>
      <c r="AI54" s="193">
        <v>845</v>
      </c>
      <c r="AJ54" s="193">
        <v>4860</v>
      </c>
      <c r="AK54" s="195">
        <v>-1888</v>
      </c>
      <c r="AL54" s="193">
        <v>-3961</v>
      </c>
      <c r="AM54" s="193">
        <v>-467</v>
      </c>
      <c r="AN54" s="193">
        <v>403</v>
      </c>
      <c r="AO54" s="195">
        <v>5276</v>
      </c>
      <c r="AP54" s="195">
        <v>1713</v>
      </c>
      <c r="AQ54" s="195">
        <v>-4279</v>
      </c>
    </row>
    <row r="55" spans="1:43">
      <c r="B55" s="201" t="s">
        <v>219</v>
      </c>
      <c r="C55" s="193">
        <v>0</v>
      </c>
      <c r="D55" s="194">
        <v>0</v>
      </c>
      <c r="E55" s="195">
        <v>0</v>
      </c>
      <c r="F55" s="193">
        <v>0</v>
      </c>
      <c r="G55" s="193">
        <v>0</v>
      </c>
      <c r="H55" s="194">
        <v>0</v>
      </c>
      <c r="I55" s="195">
        <v>-12470</v>
      </c>
      <c r="J55" s="193">
        <v>2072</v>
      </c>
      <c r="K55" s="193">
        <v>1920</v>
      </c>
      <c r="L55" s="194">
        <v>0</v>
      </c>
      <c r="M55" s="195">
        <v>-61206</v>
      </c>
      <c r="N55" s="193">
        <v>-41456</v>
      </c>
      <c r="O55" s="193">
        <v>-41456</v>
      </c>
      <c r="P55" s="194">
        <v>-41456</v>
      </c>
      <c r="Q55" s="195">
        <v>-9882</v>
      </c>
      <c r="R55" s="193">
        <v>-1917</v>
      </c>
      <c r="S55" s="193">
        <v>-2562</v>
      </c>
      <c r="T55" s="194">
        <v>22008</v>
      </c>
      <c r="U55" s="195">
        <v>-8332</v>
      </c>
      <c r="V55" s="193">
        <v>52019</v>
      </c>
      <c r="W55" s="193">
        <v>22538</v>
      </c>
      <c r="X55" s="193">
        <v>9159</v>
      </c>
      <c r="Y55" s="195">
        <v>94191</v>
      </c>
      <c r="Z55" s="193">
        <v>74560</v>
      </c>
      <c r="AA55" s="193">
        <v>57019</v>
      </c>
      <c r="AB55" s="193">
        <v>18032</v>
      </c>
      <c r="AC55" s="195">
        <v>102804</v>
      </c>
      <c r="AD55" s="193">
        <v>80930</v>
      </c>
      <c r="AE55" s="193">
        <v>53478</v>
      </c>
      <c r="AF55" s="193">
        <v>30118</v>
      </c>
      <c r="AG55" s="195">
        <v>29394</v>
      </c>
      <c r="AH55" s="193">
        <v>23873</v>
      </c>
      <c r="AI55" s="193">
        <v>24779</v>
      </c>
      <c r="AJ55" s="193">
        <v>10776</v>
      </c>
      <c r="AK55" s="195">
        <v>37219</v>
      </c>
      <c r="AL55" s="193">
        <v>26829</v>
      </c>
      <c r="AM55" s="193">
        <v>15854</v>
      </c>
      <c r="AN55" s="193">
        <v>-6028</v>
      </c>
      <c r="AO55" s="195">
        <v>36412</v>
      </c>
      <c r="AP55" s="195">
        <v>0</v>
      </c>
      <c r="AQ55" s="195">
        <v>0</v>
      </c>
    </row>
    <row r="56" spans="1:43">
      <c r="B56" s="201" t="s">
        <v>259</v>
      </c>
      <c r="C56" s="193">
        <v>-179</v>
      </c>
      <c r="D56" s="194">
        <v>-90</v>
      </c>
      <c r="E56" s="195">
        <v>-131</v>
      </c>
      <c r="F56" s="193">
        <v>-528</v>
      </c>
      <c r="G56" s="193">
        <v>-377</v>
      </c>
      <c r="H56" s="194">
        <v>-148</v>
      </c>
      <c r="I56" s="195">
        <v>-583</v>
      </c>
      <c r="J56" s="193">
        <v>148</v>
      </c>
      <c r="K56" s="193">
        <v>87</v>
      </c>
      <c r="L56" s="194">
        <v>68</v>
      </c>
      <c r="M56" s="195">
        <v>193</v>
      </c>
      <c r="N56" s="193">
        <v>252</v>
      </c>
      <c r="O56" s="193">
        <v>177</v>
      </c>
      <c r="P56" s="194">
        <v>90</v>
      </c>
      <c r="Q56" s="195">
        <v>-105</v>
      </c>
      <c r="R56" s="193">
        <v>40</v>
      </c>
      <c r="S56" s="193">
        <v>6</v>
      </c>
      <c r="T56" s="194">
        <v>168</v>
      </c>
      <c r="U56" s="195">
        <v>54</v>
      </c>
      <c r="V56" s="193">
        <v>-7</v>
      </c>
      <c r="W56" s="193">
        <v>-38</v>
      </c>
      <c r="X56" s="193">
        <v>-50</v>
      </c>
      <c r="Y56" s="195">
        <v>-364</v>
      </c>
      <c r="Z56" s="193">
        <v>-260</v>
      </c>
      <c r="AA56" s="193">
        <v>-166</v>
      </c>
      <c r="AB56" s="193">
        <v>-69</v>
      </c>
      <c r="AC56" s="195">
        <v>-649</v>
      </c>
      <c r="AD56" s="193">
        <v>-582</v>
      </c>
      <c r="AE56" s="193">
        <v>-483</v>
      </c>
      <c r="AF56" s="193">
        <v>-143</v>
      </c>
      <c r="AG56" s="195">
        <v>-1126</v>
      </c>
      <c r="AH56" s="193">
        <v>-886</v>
      </c>
      <c r="AI56" s="193">
        <v>-669</v>
      </c>
      <c r="AJ56" s="193">
        <v>-392</v>
      </c>
      <c r="AK56" s="195">
        <v>1894</v>
      </c>
      <c r="AL56" s="193">
        <v>-8</v>
      </c>
      <c r="AM56" s="193">
        <v>-74</v>
      </c>
      <c r="AN56" s="193">
        <v>-67</v>
      </c>
      <c r="AO56" s="195">
        <v>-3139</v>
      </c>
      <c r="AP56" s="195">
        <v>2308</v>
      </c>
      <c r="AQ56" s="195">
        <v>-10096</v>
      </c>
    </row>
    <row r="57" spans="1:43">
      <c r="B57" s="201" t="s">
        <v>260</v>
      </c>
      <c r="C57" s="179">
        <v>6716</v>
      </c>
      <c r="D57" s="194">
        <v>159</v>
      </c>
      <c r="E57" s="195">
        <v>15464</v>
      </c>
      <c r="F57" s="193">
        <v>27397</v>
      </c>
      <c r="G57" s="179">
        <v>28260</v>
      </c>
      <c r="H57" s="194">
        <v>4257</v>
      </c>
      <c r="I57" s="195">
        <v>-17181</v>
      </c>
      <c r="J57" s="179">
        <v>1013</v>
      </c>
      <c r="K57" s="179">
        <v>10941</v>
      </c>
      <c r="L57" s="194">
        <v>4198</v>
      </c>
      <c r="M57" s="195">
        <v>-26500</v>
      </c>
      <c r="N57" s="193">
        <v>-32634</v>
      </c>
      <c r="O57" s="193">
        <v>-25332</v>
      </c>
      <c r="P57" s="194">
        <v>-10053</v>
      </c>
      <c r="Q57" s="195">
        <v>42293</v>
      </c>
      <c r="R57" s="193">
        <v>6177</v>
      </c>
      <c r="S57" s="193">
        <v>9813</v>
      </c>
      <c r="T57" s="194">
        <v>8958</v>
      </c>
      <c r="U57" s="195">
        <v>1566</v>
      </c>
      <c r="V57" s="193">
        <v>4158</v>
      </c>
      <c r="W57" s="193">
        <v>2014</v>
      </c>
      <c r="X57" s="193">
        <v>1162</v>
      </c>
      <c r="Y57" s="195">
        <v>10521</v>
      </c>
      <c r="Z57" s="193">
        <v>6939</v>
      </c>
      <c r="AA57" s="193">
        <v>17262</v>
      </c>
      <c r="AB57" s="193">
        <v>15276</v>
      </c>
      <c r="AC57" s="195">
        <v>-56452</v>
      </c>
      <c r="AD57" s="193">
        <v>-41247</v>
      </c>
      <c r="AE57" s="193">
        <v>-10870</v>
      </c>
      <c r="AF57" s="193">
        <v>-9326</v>
      </c>
      <c r="AG57" s="195">
        <v>-15389</v>
      </c>
      <c r="AH57" s="193">
        <v>-6731</v>
      </c>
      <c r="AI57" s="193">
        <v>-22952</v>
      </c>
      <c r="AJ57" s="193">
        <v>3001</v>
      </c>
      <c r="AK57" s="195">
        <v>-149</v>
      </c>
      <c r="AL57" s="193">
        <v>5230</v>
      </c>
      <c r="AM57" s="193">
        <v>2856</v>
      </c>
      <c r="AN57" s="193">
        <v>4086</v>
      </c>
      <c r="AO57" s="195">
        <v>6798</v>
      </c>
      <c r="AP57" s="195">
        <v>-20148</v>
      </c>
      <c r="AQ57" s="195">
        <v>427</v>
      </c>
    </row>
    <row r="58" spans="1:43">
      <c r="B58" s="201" t="s">
        <v>261</v>
      </c>
      <c r="C58" s="193">
        <v>0</v>
      </c>
      <c r="D58" s="194">
        <v>0</v>
      </c>
      <c r="E58" s="195">
        <v>0</v>
      </c>
      <c r="F58" s="193">
        <v>0</v>
      </c>
      <c r="G58" s="193">
        <v>0</v>
      </c>
      <c r="H58" s="194">
        <v>0</v>
      </c>
      <c r="I58" s="195">
        <v>0</v>
      </c>
      <c r="J58" s="193">
        <v>0</v>
      </c>
      <c r="K58" s="193">
        <v>0</v>
      </c>
      <c r="L58" s="194">
        <v>0</v>
      </c>
      <c r="M58" s="195">
        <v>0</v>
      </c>
      <c r="N58" s="193">
        <v>0</v>
      </c>
      <c r="O58" s="193">
        <v>0</v>
      </c>
      <c r="P58" s="194">
        <v>0</v>
      </c>
      <c r="Q58" s="195">
        <v>0</v>
      </c>
      <c r="R58" s="193">
        <v>0</v>
      </c>
      <c r="S58" s="193">
        <v>0</v>
      </c>
      <c r="T58" s="194">
        <v>0</v>
      </c>
      <c r="U58" s="195">
        <v>0</v>
      </c>
      <c r="V58" s="193">
        <v>0</v>
      </c>
      <c r="W58" s="193">
        <v>0</v>
      </c>
      <c r="X58" s="193">
        <v>0</v>
      </c>
      <c r="Y58" s="195">
        <v>0</v>
      </c>
      <c r="Z58" s="193">
        <v>0</v>
      </c>
      <c r="AA58" s="193">
        <v>0</v>
      </c>
      <c r="AB58" s="193">
        <v>0</v>
      </c>
      <c r="AC58" s="195">
        <v>0</v>
      </c>
      <c r="AD58" s="193">
        <v>0</v>
      </c>
      <c r="AE58" s="193">
        <v>0</v>
      </c>
      <c r="AF58" s="193">
        <v>0</v>
      </c>
      <c r="AG58" s="195">
        <v>0</v>
      </c>
      <c r="AH58" s="193">
        <v>0</v>
      </c>
      <c r="AI58" s="193">
        <v>0</v>
      </c>
      <c r="AJ58" s="193">
        <v>0</v>
      </c>
      <c r="AK58" s="195">
        <v>0</v>
      </c>
      <c r="AL58" s="193">
        <v>0</v>
      </c>
      <c r="AM58" s="193">
        <v>0</v>
      </c>
      <c r="AN58" s="193">
        <v>0</v>
      </c>
      <c r="AO58" s="195">
        <v>0</v>
      </c>
      <c r="AP58" s="195">
        <v>0</v>
      </c>
      <c r="AQ58" s="195">
        <v>12486</v>
      </c>
    </row>
    <row r="59" spans="1:43" ht="15">
      <c r="A59" s="196"/>
      <c r="B59" s="202" t="s">
        <v>266</v>
      </c>
      <c r="C59" s="383">
        <v>0</v>
      </c>
      <c r="D59" s="432">
        <v>0</v>
      </c>
      <c r="E59" s="195">
        <v>0</v>
      </c>
      <c r="F59" s="383">
        <v>0</v>
      </c>
      <c r="G59" s="383">
        <v>0</v>
      </c>
      <c r="H59" s="432">
        <v>0</v>
      </c>
      <c r="I59" s="195">
        <v>0</v>
      </c>
      <c r="J59" s="383">
        <v>0</v>
      </c>
      <c r="K59" s="383">
        <v>0</v>
      </c>
      <c r="L59" s="432">
        <v>0</v>
      </c>
      <c r="M59" s="195">
        <v>0</v>
      </c>
      <c r="N59" s="383">
        <v>0</v>
      </c>
      <c r="O59" s="383">
        <v>0</v>
      </c>
      <c r="P59" s="194">
        <v>0</v>
      </c>
      <c r="Q59" s="195">
        <v>0</v>
      </c>
      <c r="R59" s="193">
        <v>0</v>
      </c>
      <c r="S59" s="383">
        <v>0</v>
      </c>
      <c r="T59" s="194">
        <v>0</v>
      </c>
      <c r="U59" s="195">
        <v>0</v>
      </c>
      <c r="V59" s="193">
        <v>0</v>
      </c>
      <c r="W59" s="193">
        <v>0</v>
      </c>
      <c r="X59" s="193">
        <v>0</v>
      </c>
      <c r="Y59" s="195">
        <v>0</v>
      </c>
      <c r="Z59" s="193">
        <v>0</v>
      </c>
      <c r="AA59" s="193">
        <v>0</v>
      </c>
      <c r="AB59" s="193">
        <v>0</v>
      </c>
      <c r="AC59" s="195">
        <v>0</v>
      </c>
      <c r="AD59" s="193">
        <v>0</v>
      </c>
      <c r="AE59" s="193">
        <v>0</v>
      </c>
      <c r="AF59" s="193">
        <v>0</v>
      </c>
      <c r="AG59" s="195">
        <v>0</v>
      </c>
      <c r="AH59" s="193">
        <v>0</v>
      </c>
      <c r="AI59" s="193">
        <v>0</v>
      </c>
      <c r="AJ59" s="193">
        <v>0</v>
      </c>
      <c r="AK59" s="195">
        <v>0</v>
      </c>
      <c r="AL59" s="193">
        <v>0</v>
      </c>
      <c r="AM59" s="193">
        <v>0</v>
      </c>
      <c r="AN59" s="193">
        <v>0</v>
      </c>
      <c r="AO59" s="195">
        <v>8876</v>
      </c>
      <c r="AP59" s="195">
        <v>-3776</v>
      </c>
      <c r="AQ59" s="195">
        <v>98686</v>
      </c>
    </row>
    <row r="60" spans="1:43">
      <c r="B60" s="201"/>
      <c r="C60" s="240">
        <f t="shared" ref="C60" si="3">SUM(C48:C59)</f>
        <v>-123733</v>
      </c>
      <c r="D60" s="241">
        <f t="shared" ref="D60" si="4">SUM(D48:D59)</f>
        <v>-149902</v>
      </c>
      <c r="E60" s="242">
        <f t="shared" ref="E60" si="5">SUM(E48:E59)</f>
        <v>-8509</v>
      </c>
      <c r="F60" s="240">
        <f t="shared" ref="F60" si="6">SUM(F48:F59)</f>
        <v>-7250</v>
      </c>
      <c r="G60" s="240">
        <f t="shared" ref="G60" si="7">SUM(G48:G59)</f>
        <v>-8543</v>
      </c>
      <c r="H60" s="241">
        <f t="shared" ref="H60" si="8">SUM(H48:H59)</f>
        <v>224</v>
      </c>
      <c r="I60" s="242">
        <f t="shared" ref="I60" si="9">SUM(I48:I59)</f>
        <v>17040</v>
      </c>
      <c r="J60" s="240">
        <f t="shared" ref="J60" si="10">SUM(J48:J59)</f>
        <v>29307</v>
      </c>
      <c r="K60" s="240">
        <f t="shared" ref="K60" si="11">SUM(K48:K59)</f>
        <v>18568</v>
      </c>
      <c r="L60" s="241">
        <f t="shared" ref="L60:M60" si="12">SUM(L48:L59)</f>
        <v>5655</v>
      </c>
      <c r="M60" s="242">
        <f t="shared" si="12"/>
        <v>-7730</v>
      </c>
      <c r="N60" s="240">
        <f t="shared" ref="N60" si="13">SUM(N48:N59)</f>
        <v>-33724</v>
      </c>
      <c r="O60" s="240">
        <f t="shared" ref="O60" si="14">SUM(O48:O59)</f>
        <v>-62662</v>
      </c>
      <c r="P60" s="241">
        <v>-52036</v>
      </c>
      <c r="Q60" s="382">
        <v>-40682</v>
      </c>
      <c r="R60" s="240">
        <f t="shared" ref="R60:S60" si="15">SUM(R48:R59)</f>
        <v>-28571</v>
      </c>
      <c r="S60" s="240">
        <f t="shared" si="15"/>
        <v>-139908</v>
      </c>
      <c r="T60" s="241">
        <f t="shared" ref="T60:Y60" si="16">SUM(T48:T59)</f>
        <v>-17861</v>
      </c>
      <c r="U60" s="382">
        <f t="shared" si="16"/>
        <v>42764</v>
      </c>
      <c r="V60" s="240">
        <f t="shared" si="16"/>
        <v>69923</v>
      </c>
      <c r="W60" s="240">
        <f t="shared" si="16"/>
        <v>58577</v>
      </c>
      <c r="X60" s="240">
        <f t="shared" si="16"/>
        <v>-1179</v>
      </c>
      <c r="Y60" s="382">
        <f t="shared" si="16"/>
        <v>72033</v>
      </c>
      <c r="Z60" s="240">
        <f t="shared" ref="Z60" si="17">SUM(Z48:Z59)</f>
        <v>33636</v>
      </c>
      <c r="AA60" s="240">
        <f t="shared" ref="AA60:AE60" si="18">SUM(AA48:AA59)</f>
        <v>14694</v>
      </c>
      <c r="AB60" s="240">
        <f t="shared" si="18"/>
        <v>14222</v>
      </c>
      <c r="AC60" s="382">
        <f t="shared" si="18"/>
        <v>34913</v>
      </c>
      <c r="AD60" s="244">
        <f t="shared" si="18"/>
        <v>-27609</v>
      </c>
      <c r="AE60" s="244">
        <f t="shared" si="18"/>
        <v>-21376</v>
      </c>
      <c r="AF60" s="244">
        <v>-5967</v>
      </c>
      <c r="AG60" s="382">
        <v>-4182</v>
      </c>
      <c r="AH60" s="244">
        <v>-7546</v>
      </c>
      <c r="AI60" s="244">
        <v>-28881</v>
      </c>
      <c r="AJ60" s="244">
        <v>-11159</v>
      </c>
      <c r="AK60" s="382">
        <v>41631</v>
      </c>
      <c r="AL60" s="244">
        <v>19988</v>
      </c>
      <c r="AM60" s="244">
        <v>10679</v>
      </c>
      <c r="AN60" s="244">
        <v>9383</v>
      </c>
      <c r="AO60" s="382">
        <v>25636</v>
      </c>
      <c r="AP60" s="382">
        <v>427</v>
      </c>
      <c r="AQ60" s="382">
        <v>113199</v>
      </c>
    </row>
    <row r="61" spans="1:43">
      <c r="B61" s="201"/>
      <c r="C61" s="240"/>
      <c r="D61" s="241"/>
      <c r="E61" s="242"/>
      <c r="F61" s="240"/>
      <c r="G61" s="240"/>
      <c r="H61" s="241"/>
      <c r="I61" s="242"/>
      <c r="J61" s="240"/>
      <c r="K61" s="240"/>
      <c r="L61" s="241"/>
      <c r="M61" s="242"/>
      <c r="N61" s="240"/>
      <c r="O61" s="240"/>
      <c r="P61" s="241"/>
      <c r="Q61" s="382"/>
      <c r="R61" s="240"/>
      <c r="S61" s="240"/>
      <c r="T61" s="241"/>
      <c r="U61" s="382"/>
      <c r="V61" s="240"/>
      <c r="W61" s="240"/>
      <c r="X61" s="240"/>
      <c r="Y61" s="382"/>
      <c r="Z61" s="240"/>
      <c r="AA61" s="240"/>
      <c r="AB61" s="240"/>
      <c r="AC61" s="382"/>
      <c r="AD61" s="244"/>
      <c r="AE61" s="244"/>
      <c r="AF61" s="244"/>
      <c r="AG61" s="382"/>
      <c r="AH61" s="244"/>
      <c r="AI61" s="244"/>
      <c r="AJ61" s="244"/>
      <c r="AK61" s="382"/>
      <c r="AL61" s="244"/>
      <c r="AM61" s="244"/>
      <c r="AN61" s="244"/>
      <c r="AO61" s="382"/>
      <c r="AP61" s="382"/>
      <c r="AQ61" s="382"/>
    </row>
    <row r="62" spans="1:43" ht="15.75" thickBot="1">
      <c r="A62" s="196"/>
      <c r="B62" s="197" t="s">
        <v>262</v>
      </c>
      <c r="C62" s="198">
        <f t="shared" ref="C62" si="19">C46+C60</f>
        <v>537898</v>
      </c>
      <c r="D62" s="199">
        <f t="shared" ref="D62" si="20">D46+D60</f>
        <v>95658</v>
      </c>
      <c r="E62" s="200">
        <f t="shared" ref="E62" si="21">E46+E60</f>
        <v>840030</v>
      </c>
      <c r="F62" s="198">
        <f t="shared" ref="F62" si="22">F46+F60</f>
        <v>560951</v>
      </c>
      <c r="G62" s="198">
        <f t="shared" ref="G62" si="23">G46+G60</f>
        <v>368971</v>
      </c>
      <c r="H62" s="199">
        <f t="shared" ref="H62" si="24">H46+H60</f>
        <v>206501</v>
      </c>
      <c r="I62" s="200">
        <f t="shared" ref="I62" si="25">I46+I60</f>
        <v>948027</v>
      </c>
      <c r="J62" s="198">
        <f t="shared" ref="J62" si="26">J46+J60</f>
        <v>789820</v>
      </c>
      <c r="K62" s="198">
        <f t="shared" ref="K62" si="27">K46+K60</f>
        <v>593857</v>
      </c>
      <c r="L62" s="199">
        <f t="shared" ref="L62:M62" si="28">L46+L60</f>
        <v>325660</v>
      </c>
      <c r="M62" s="200">
        <f t="shared" si="28"/>
        <v>1321734</v>
      </c>
      <c r="N62" s="198">
        <f t="shared" ref="N62" si="29">N46+N60</f>
        <v>989533</v>
      </c>
      <c r="O62" s="198">
        <f t="shared" ref="O62" si="30">O46+O60</f>
        <v>631058</v>
      </c>
      <c r="P62" s="199">
        <v>283496</v>
      </c>
      <c r="Q62" s="200">
        <v>1032477</v>
      </c>
      <c r="R62" s="198">
        <f t="shared" ref="R62:S62" si="31">R46+R60</f>
        <v>417583</v>
      </c>
      <c r="S62" s="198">
        <f t="shared" si="31"/>
        <v>215178</v>
      </c>
      <c r="T62" s="199">
        <f>T46+T60</f>
        <v>94869</v>
      </c>
      <c r="U62" s="200">
        <f>U46+U60</f>
        <v>398620</v>
      </c>
      <c r="V62" s="198">
        <f t="shared" ref="V62:Z62" si="32">V46+V60</f>
        <v>282266</v>
      </c>
      <c r="W62" s="198">
        <f t="shared" si="32"/>
        <v>182174</v>
      </c>
      <c r="X62" s="198">
        <f t="shared" si="32"/>
        <v>33954</v>
      </c>
      <c r="Y62" s="200">
        <f t="shared" ref="Y62" si="33">Y46+Y60</f>
        <v>362972</v>
      </c>
      <c r="Z62" s="198">
        <f t="shared" si="32"/>
        <v>255671</v>
      </c>
      <c r="AA62" s="198">
        <f t="shared" ref="AA62:AE62" si="34">AA46+AA60</f>
        <v>177560</v>
      </c>
      <c r="AB62" s="198">
        <f t="shared" si="34"/>
        <v>100837</v>
      </c>
      <c r="AC62" s="200">
        <f t="shared" si="34"/>
        <v>591182</v>
      </c>
      <c r="AD62" s="198">
        <f t="shared" si="34"/>
        <v>422534</v>
      </c>
      <c r="AE62" s="198">
        <f t="shared" si="34"/>
        <v>285564</v>
      </c>
      <c r="AF62" s="198">
        <v>172349</v>
      </c>
      <c r="AG62" s="200">
        <v>404439</v>
      </c>
      <c r="AH62" s="198">
        <v>280194</v>
      </c>
      <c r="AI62" s="198">
        <v>145546</v>
      </c>
      <c r="AJ62" s="198">
        <v>71259</v>
      </c>
      <c r="AK62" s="200">
        <v>350975</v>
      </c>
      <c r="AL62" s="198">
        <v>245354</v>
      </c>
      <c r="AM62" s="198">
        <f>AM46+AM60</f>
        <v>167374</v>
      </c>
      <c r="AN62" s="198">
        <v>88719</v>
      </c>
      <c r="AO62" s="200">
        <v>312435</v>
      </c>
      <c r="AP62" s="200">
        <v>219933</v>
      </c>
      <c r="AQ62" s="200">
        <v>153737</v>
      </c>
    </row>
    <row r="63" spans="1:43" ht="15" thickTop="1">
      <c r="B63" s="192" t="s">
        <v>263</v>
      </c>
      <c r="C63" s="247">
        <v>-25146</v>
      </c>
      <c r="D63" s="248">
        <v>-429</v>
      </c>
      <c r="E63" s="249">
        <v>-126206</v>
      </c>
      <c r="F63" s="247">
        <v>-102310</v>
      </c>
      <c r="G63" s="247">
        <v>-84214</v>
      </c>
      <c r="H63" s="248">
        <v>-69223</v>
      </c>
      <c r="I63" s="249">
        <v>-392748</v>
      </c>
      <c r="J63" s="247">
        <v>-348010</v>
      </c>
      <c r="K63" s="247">
        <v>-309556</v>
      </c>
      <c r="L63" s="248">
        <v>-275771</v>
      </c>
      <c r="M63" s="249">
        <v>-152382</v>
      </c>
      <c r="N63" s="247">
        <v>-124911</v>
      </c>
      <c r="O63" s="247">
        <v>-96187</v>
      </c>
      <c r="P63" s="248">
        <v>-68533</v>
      </c>
      <c r="Q63" s="384">
        <v>-103962</v>
      </c>
      <c r="R63" s="247">
        <v>-83708</v>
      </c>
      <c r="S63" s="247">
        <v>-67163</v>
      </c>
      <c r="T63" s="248">
        <v>-51552</v>
      </c>
      <c r="U63" s="384">
        <v>-62964</v>
      </c>
      <c r="V63" s="247">
        <v>-46994</v>
      </c>
      <c r="W63" s="247">
        <v>-34046</v>
      </c>
      <c r="X63" s="247">
        <v>-25565</v>
      </c>
      <c r="Y63" s="384">
        <v>-113020</v>
      </c>
      <c r="Z63" s="247">
        <v>-98659</v>
      </c>
      <c r="AA63" s="247">
        <v>-82420</v>
      </c>
      <c r="AB63" s="247">
        <v>-53372</v>
      </c>
      <c r="AC63" s="384">
        <v>-47230</v>
      </c>
      <c r="AD63" s="247">
        <v>-34291</v>
      </c>
      <c r="AE63" s="247">
        <v>-20014</v>
      </c>
      <c r="AF63" s="247">
        <v>-8312</v>
      </c>
      <c r="AG63" s="384">
        <v>-37444</v>
      </c>
      <c r="AH63" s="247">
        <v>-26380</v>
      </c>
      <c r="AI63" s="247">
        <v>-19427</v>
      </c>
      <c r="AJ63" s="247">
        <v>-8461</v>
      </c>
      <c r="AK63" s="384">
        <v>-42098</v>
      </c>
      <c r="AL63" s="247">
        <v>-30526</v>
      </c>
      <c r="AM63" s="247">
        <v>-23904</v>
      </c>
      <c r="AN63" s="247">
        <v>-13394</v>
      </c>
      <c r="AO63" s="384">
        <v>-21738</v>
      </c>
      <c r="AP63" s="384">
        <v>-1094</v>
      </c>
      <c r="AQ63" s="384">
        <v>-2257</v>
      </c>
    </row>
    <row r="64" spans="1:43" ht="15.75" thickBot="1">
      <c r="A64" s="196"/>
      <c r="B64" s="197" t="s">
        <v>264</v>
      </c>
      <c r="C64" s="198">
        <f t="shared" ref="C64" si="35">C62+C63</f>
        <v>512752</v>
      </c>
      <c r="D64" s="199">
        <f t="shared" ref="D64" si="36">D62+D63</f>
        <v>95229</v>
      </c>
      <c r="E64" s="200">
        <f t="shared" ref="E64" si="37">E62+E63</f>
        <v>713824</v>
      </c>
      <c r="F64" s="198">
        <f t="shared" ref="F64" si="38">F62+F63</f>
        <v>458641</v>
      </c>
      <c r="G64" s="198">
        <f t="shared" ref="G64" si="39">G62+G63</f>
        <v>284757</v>
      </c>
      <c r="H64" s="199">
        <f t="shared" ref="H64" si="40">H62+H63</f>
        <v>137278</v>
      </c>
      <c r="I64" s="200">
        <f t="shared" ref="I64" si="41">I62+I63</f>
        <v>555279</v>
      </c>
      <c r="J64" s="198">
        <f t="shared" ref="J64" si="42">J62+J63</f>
        <v>441810</v>
      </c>
      <c r="K64" s="198">
        <f t="shared" ref="K64" si="43">K62+K63</f>
        <v>284301</v>
      </c>
      <c r="L64" s="199">
        <f t="shared" ref="L64:M64" si="44">L62+L63</f>
        <v>49889</v>
      </c>
      <c r="M64" s="200">
        <f t="shared" si="44"/>
        <v>1169352</v>
      </c>
      <c r="N64" s="198">
        <f t="shared" ref="N64" si="45">N62+N63</f>
        <v>864622</v>
      </c>
      <c r="O64" s="198">
        <f t="shared" ref="O64" si="46">O62+O63</f>
        <v>534871</v>
      </c>
      <c r="P64" s="199">
        <v>214963</v>
      </c>
      <c r="Q64" s="200">
        <v>928515</v>
      </c>
      <c r="R64" s="198">
        <f t="shared" ref="R64:S64" si="47">R62+R63</f>
        <v>333875</v>
      </c>
      <c r="S64" s="198">
        <f t="shared" si="47"/>
        <v>148015</v>
      </c>
      <c r="T64" s="199">
        <f>T62+T63</f>
        <v>43317</v>
      </c>
      <c r="U64" s="200">
        <f>U62+U63</f>
        <v>335656</v>
      </c>
      <c r="V64" s="198">
        <f>V62+V63</f>
        <v>235272</v>
      </c>
      <c r="W64" s="198">
        <f>W62+W63</f>
        <v>148128</v>
      </c>
      <c r="X64" s="198">
        <f>X62+X63</f>
        <v>8389</v>
      </c>
      <c r="Y64" s="200">
        <f t="shared" ref="Y64" si="48">Y62+Y63</f>
        <v>249952</v>
      </c>
      <c r="Z64" s="198">
        <f t="shared" ref="Z64" si="49">Z62+Z63</f>
        <v>157012</v>
      </c>
      <c r="AA64" s="198">
        <f t="shared" ref="AA64:AE64" si="50">AA62+AA63</f>
        <v>95140</v>
      </c>
      <c r="AB64" s="198">
        <f t="shared" si="50"/>
        <v>47465</v>
      </c>
      <c r="AC64" s="200">
        <f t="shared" si="50"/>
        <v>543952</v>
      </c>
      <c r="AD64" s="198">
        <f t="shared" si="50"/>
        <v>388243</v>
      </c>
      <c r="AE64" s="198">
        <f t="shared" si="50"/>
        <v>265550</v>
      </c>
      <c r="AF64" s="198">
        <v>164037</v>
      </c>
      <c r="AG64" s="200">
        <v>366995</v>
      </c>
      <c r="AH64" s="198">
        <v>253814</v>
      </c>
      <c r="AI64" s="198">
        <v>126119</v>
      </c>
      <c r="AJ64" s="198">
        <v>62798</v>
      </c>
      <c r="AK64" s="200">
        <v>308877</v>
      </c>
      <c r="AL64" s="198">
        <v>214828</v>
      </c>
      <c r="AM64" s="198">
        <f>AM62+AM63</f>
        <v>143470</v>
      </c>
      <c r="AN64" s="198">
        <v>75325</v>
      </c>
      <c r="AO64" s="200">
        <v>290697</v>
      </c>
      <c r="AP64" s="200">
        <v>218839</v>
      </c>
      <c r="AQ64" s="200">
        <v>151480</v>
      </c>
    </row>
    <row r="65" spans="1:43" ht="16.5" thickTop="1" thickBot="1">
      <c r="A65" s="196"/>
      <c r="B65" s="197" t="s">
        <v>265</v>
      </c>
      <c r="C65" s="198"/>
      <c r="D65" s="199"/>
      <c r="E65" s="200"/>
      <c r="F65" s="198"/>
      <c r="G65" s="198"/>
      <c r="H65" s="199"/>
      <c r="I65" s="200"/>
      <c r="J65" s="198"/>
      <c r="K65" s="198"/>
      <c r="L65" s="199"/>
      <c r="M65" s="200"/>
      <c r="N65" s="198"/>
      <c r="O65" s="198"/>
      <c r="P65" s="199"/>
      <c r="Q65" s="200"/>
      <c r="R65" s="198"/>
      <c r="S65" s="198"/>
      <c r="T65" s="199"/>
      <c r="U65" s="200"/>
      <c r="V65" s="198"/>
      <c r="W65" s="198"/>
      <c r="X65" s="198"/>
      <c r="Y65" s="200"/>
      <c r="Z65" s="198"/>
      <c r="AA65" s="198"/>
      <c r="AB65" s="198"/>
      <c r="AC65" s="200"/>
      <c r="AD65" s="198"/>
      <c r="AE65" s="198"/>
      <c r="AF65" s="198"/>
      <c r="AG65" s="200"/>
      <c r="AH65" s="198"/>
      <c r="AI65" s="198"/>
      <c r="AJ65" s="198"/>
      <c r="AK65" s="200"/>
      <c r="AL65" s="198"/>
      <c r="AM65" s="198"/>
      <c r="AN65" s="198"/>
      <c r="AO65" s="200"/>
      <c r="AP65" s="200"/>
      <c r="AQ65" s="200"/>
    </row>
    <row r="66" spans="1:43" ht="15.75" thickTop="1">
      <c r="A66" s="196"/>
      <c r="B66" s="202" t="s">
        <v>266</v>
      </c>
      <c r="C66" s="381">
        <v>155314</v>
      </c>
      <c r="D66" s="433">
        <v>53795</v>
      </c>
      <c r="E66" s="195">
        <v>-11421</v>
      </c>
      <c r="F66" s="381">
        <v>-478102</v>
      </c>
      <c r="G66" s="381">
        <v>-31771</v>
      </c>
      <c r="H66" s="433">
        <v>28669</v>
      </c>
      <c r="I66" s="195">
        <v>227292</v>
      </c>
      <c r="J66" s="381">
        <v>373234</v>
      </c>
      <c r="K66" s="381">
        <v>425157</v>
      </c>
      <c r="L66" s="433">
        <v>417582</v>
      </c>
      <c r="M66" s="195">
        <v>-166573</v>
      </c>
      <c r="N66" s="381">
        <v>206180</v>
      </c>
      <c r="O66" s="381">
        <v>-46679</v>
      </c>
      <c r="P66" s="194">
        <v>-100468</v>
      </c>
      <c r="Q66" s="195">
        <v>-350086</v>
      </c>
      <c r="R66" s="381">
        <v>-117366</v>
      </c>
      <c r="S66" s="381">
        <v>-39607</v>
      </c>
      <c r="T66" s="194">
        <v>-23938</v>
      </c>
      <c r="U66" s="195">
        <v>76934</v>
      </c>
      <c r="V66" s="193">
        <v>92828</v>
      </c>
      <c r="W66" s="193">
        <v>114793</v>
      </c>
      <c r="X66" s="193">
        <v>91004</v>
      </c>
      <c r="Y66" s="195">
        <v>356042</v>
      </c>
      <c r="Z66" s="193">
        <v>191195</v>
      </c>
      <c r="AA66" s="193">
        <v>235626</v>
      </c>
      <c r="AB66" s="193">
        <v>77198</v>
      </c>
      <c r="AC66" s="195">
        <v>-304169</v>
      </c>
      <c r="AD66" s="193">
        <v>-308031</v>
      </c>
      <c r="AE66" s="193">
        <v>-418342</v>
      </c>
      <c r="AF66" s="193">
        <v>-453017</v>
      </c>
      <c r="AG66" s="195">
        <v>-92194</v>
      </c>
      <c r="AH66" s="193">
        <v>-132444</v>
      </c>
      <c r="AI66" s="193">
        <v>-21536</v>
      </c>
      <c r="AJ66" s="193">
        <v>-71922</v>
      </c>
      <c r="AK66" s="195">
        <v>12302</v>
      </c>
      <c r="AL66" s="193">
        <v>-105135</v>
      </c>
      <c r="AM66" s="193">
        <v>-105567</v>
      </c>
      <c r="AN66" s="193">
        <v>-42920</v>
      </c>
      <c r="AO66" s="195">
        <v>7855</v>
      </c>
      <c r="AP66" s="195">
        <v>2870</v>
      </c>
      <c r="AQ66" s="195">
        <f>78144-25431</f>
        <v>52713</v>
      </c>
    </row>
    <row r="67" spans="1:43">
      <c r="B67" s="201" t="s">
        <v>267</v>
      </c>
      <c r="C67" s="193">
        <v>0</v>
      </c>
      <c r="D67" s="194">
        <v>0</v>
      </c>
      <c r="E67" s="195">
        <v>0</v>
      </c>
      <c r="F67" s="193">
        <v>0</v>
      </c>
      <c r="G67" s="193">
        <v>0</v>
      </c>
      <c r="H67" s="194">
        <v>0</v>
      </c>
      <c r="I67" s="195">
        <v>0</v>
      </c>
      <c r="J67" s="193">
        <v>0</v>
      </c>
      <c r="K67" s="193">
        <v>0</v>
      </c>
      <c r="L67" s="194">
        <v>0</v>
      </c>
      <c r="M67" s="195">
        <v>0</v>
      </c>
      <c r="N67" s="193">
        <v>0</v>
      </c>
      <c r="O67" s="193">
        <v>0</v>
      </c>
      <c r="P67" s="194">
        <v>0</v>
      </c>
      <c r="Q67" s="195">
        <v>0</v>
      </c>
      <c r="R67" s="193">
        <v>0</v>
      </c>
      <c r="S67" s="193">
        <v>0</v>
      </c>
      <c r="T67" s="194">
        <v>0</v>
      </c>
      <c r="U67" s="195">
        <v>0</v>
      </c>
      <c r="V67" s="193">
        <v>0</v>
      </c>
      <c r="W67" s="193">
        <v>0</v>
      </c>
      <c r="X67" s="193">
        <v>0</v>
      </c>
      <c r="Y67" s="195">
        <v>0</v>
      </c>
      <c r="Z67" s="193">
        <v>0</v>
      </c>
      <c r="AA67" s="193">
        <v>0</v>
      </c>
      <c r="AB67" s="193">
        <v>0</v>
      </c>
      <c r="AC67" s="195">
        <v>0</v>
      </c>
      <c r="AD67" s="193">
        <v>0</v>
      </c>
      <c r="AE67" s="193">
        <v>0</v>
      </c>
      <c r="AF67" s="193">
        <v>0</v>
      </c>
      <c r="AG67" s="195">
        <v>11668</v>
      </c>
      <c r="AH67" s="193">
        <v>11668</v>
      </c>
      <c r="AI67" s="193">
        <v>11668</v>
      </c>
      <c r="AJ67" s="193">
        <v>11668</v>
      </c>
      <c r="AK67" s="195">
        <v>0</v>
      </c>
      <c r="AL67" s="193">
        <v>0</v>
      </c>
      <c r="AM67" s="193">
        <v>0</v>
      </c>
      <c r="AN67" s="193">
        <v>0</v>
      </c>
      <c r="AO67" s="195">
        <v>0</v>
      </c>
      <c r="AP67" s="195">
        <v>0</v>
      </c>
      <c r="AQ67" s="195">
        <v>49833</v>
      </c>
    </row>
    <row r="68" spans="1:43">
      <c r="B68" s="201" t="s">
        <v>268</v>
      </c>
      <c r="C68" s="193">
        <v>-471354</v>
      </c>
      <c r="D68" s="194">
        <v>-276947</v>
      </c>
      <c r="E68" s="195">
        <v>-490858</v>
      </c>
      <c r="F68" s="193">
        <v>-295275</v>
      </c>
      <c r="G68" s="193">
        <v>-151949</v>
      </c>
      <c r="H68" s="194">
        <v>-63465</v>
      </c>
      <c r="I68" s="195">
        <v>-238753</v>
      </c>
      <c r="J68" s="193">
        <v>-178256</v>
      </c>
      <c r="K68" s="193">
        <v>-134680</v>
      </c>
      <c r="L68" s="194">
        <v>-37834</v>
      </c>
      <c r="M68" s="195">
        <v>-72354</v>
      </c>
      <c r="N68" s="193">
        <v>-44311</v>
      </c>
      <c r="O68" s="193">
        <v>-14357</v>
      </c>
      <c r="P68" s="194">
        <v>-3175</v>
      </c>
      <c r="Q68" s="195">
        <v>-59126</v>
      </c>
      <c r="R68" s="193">
        <v>-39624</v>
      </c>
      <c r="S68" s="193">
        <v>-20665</v>
      </c>
      <c r="T68" s="194">
        <v>-6665</v>
      </c>
      <c r="U68" s="195">
        <v>-45298</v>
      </c>
      <c r="V68" s="193">
        <v>-34754</v>
      </c>
      <c r="W68" s="193">
        <v>-21988</v>
      </c>
      <c r="X68" s="193">
        <v>-9043</v>
      </c>
      <c r="Y68" s="195">
        <v>-38976</v>
      </c>
      <c r="Z68" s="193">
        <v>-26448</v>
      </c>
      <c r="AA68" s="193">
        <v>-12436</v>
      </c>
      <c r="AB68" s="193">
        <v>-9881</v>
      </c>
      <c r="AC68" s="195">
        <v>-47445</v>
      </c>
      <c r="AD68" s="193">
        <v>-19821</v>
      </c>
      <c r="AE68" s="193">
        <v>-10597</v>
      </c>
      <c r="AF68" s="193">
        <v>-5351</v>
      </c>
      <c r="AG68" s="195">
        <v>-35889</v>
      </c>
      <c r="AH68" s="193">
        <v>-21712</v>
      </c>
      <c r="AI68" s="193">
        <v>-15900</v>
      </c>
      <c r="AJ68" s="193">
        <v>-4617</v>
      </c>
      <c r="AK68" s="195">
        <v>-39754</v>
      </c>
      <c r="AL68" s="193">
        <v>-26348</v>
      </c>
      <c r="AM68" s="193">
        <v>-17168</v>
      </c>
      <c r="AN68" s="193">
        <v>-5493</v>
      </c>
      <c r="AO68" s="195">
        <v>-33431</v>
      </c>
      <c r="AP68" s="195">
        <v>-43302</v>
      </c>
      <c r="AQ68" s="195">
        <v>-13481</v>
      </c>
    </row>
    <row r="69" spans="1:43">
      <c r="B69" s="201" t="s">
        <v>269</v>
      </c>
      <c r="C69" s="193">
        <v>0</v>
      </c>
      <c r="D69" s="194">
        <v>0</v>
      </c>
      <c r="E69" s="195">
        <v>0</v>
      </c>
      <c r="F69" s="193">
        <v>0</v>
      </c>
      <c r="G69" s="193">
        <v>0</v>
      </c>
      <c r="H69" s="194">
        <v>0</v>
      </c>
      <c r="I69" s="195">
        <v>0</v>
      </c>
      <c r="J69" s="193">
        <v>0</v>
      </c>
      <c r="K69" s="193">
        <v>0</v>
      </c>
      <c r="L69" s="194">
        <v>0</v>
      </c>
      <c r="M69" s="195">
        <v>0</v>
      </c>
      <c r="N69" s="193">
        <v>0</v>
      </c>
      <c r="O69" s="193">
        <v>0</v>
      </c>
      <c r="P69" s="194">
        <v>0</v>
      </c>
      <c r="Q69" s="195">
        <v>0</v>
      </c>
      <c r="R69" s="193">
        <v>0</v>
      </c>
      <c r="S69" s="193">
        <v>0</v>
      </c>
      <c r="T69" s="194">
        <v>0</v>
      </c>
      <c r="U69" s="195">
        <v>0</v>
      </c>
      <c r="V69" s="193">
        <v>0</v>
      </c>
      <c r="W69" s="193">
        <v>0</v>
      </c>
      <c r="X69" s="193">
        <v>0</v>
      </c>
      <c r="Y69" s="195">
        <v>0</v>
      </c>
      <c r="Z69" s="193">
        <v>0</v>
      </c>
      <c r="AA69" s="193">
        <v>0</v>
      </c>
      <c r="AB69" s="193">
        <v>0</v>
      </c>
      <c r="AC69" s="195">
        <v>0</v>
      </c>
      <c r="AD69" s="193">
        <v>0</v>
      </c>
      <c r="AE69" s="193">
        <v>0</v>
      </c>
      <c r="AF69" s="193">
        <v>0</v>
      </c>
      <c r="AG69" s="195">
        <v>0</v>
      </c>
      <c r="AH69" s="193">
        <v>0</v>
      </c>
      <c r="AI69" s="193">
        <v>0</v>
      </c>
      <c r="AJ69" s="193">
        <v>0</v>
      </c>
      <c r="AK69" s="195">
        <v>0</v>
      </c>
      <c r="AL69" s="193">
        <v>0</v>
      </c>
      <c r="AM69" s="193">
        <v>0</v>
      </c>
      <c r="AN69" s="193">
        <v>476</v>
      </c>
      <c r="AO69" s="195">
        <v>6888</v>
      </c>
      <c r="AP69" s="195">
        <v>9688</v>
      </c>
      <c r="AQ69" s="195">
        <v>0</v>
      </c>
    </row>
    <row r="70" spans="1:43">
      <c r="B70" s="201" t="s">
        <v>270</v>
      </c>
      <c r="C70" s="193">
        <v>0</v>
      </c>
      <c r="D70" s="194">
        <v>0</v>
      </c>
      <c r="E70" s="195">
        <v>0</v>
      </c>
      <c r="F70" s="193">
        <v>0</v>
      </c>
      <c r="G70" s="193">
        <v>0</v>
      </c>
      <c r="H70" s="194">
        <v>0</v>
      </c>
      <c r="I70" s="195">
        <v>0</v>
      </c>
      <c r="J70" s="193">
        <v>0</v>
      </c>
      <c r="K70" s="193">
        <v>0</v>
      </c>
      <c r="L70" s="194">
        <v>0</v>
      </c>
      <c r="M70" s="195">
        <v>0</v>
      </c>
      <c r="N70" s="193">
        <v>0</v>
      </c>
      <c r="O70" s="193">
        <v>0</v>
      </c>
      <c r="P70" s="194">
        <v>0</v>
      </c>
      <c r="Q70" s="195">
        <v>0</v>
      </c>
      <c r="R70" s="193">
        <v>0</v>
      </c>
      <c r="S70" s="193">
        <v>0</v>
      </c>
      <c r="T70" s="194">
        <v>0</v>
      </c>
      <c r="U70" s="195">
        <v>0</v>
      </c>
      <c r="V70" s="193">
        <v>0</v>
      </c>
      <c r="W70" s="193">
        <v>0</v>
      </c>
      <c r="X70" s="193">
        <v>0</v>
      </c>
      <c r="Y70" s="195">
        <v>0</v>
      </c>
      <c r="Z70" s="193">
        <v>0</v>
      </c>
      <c r="AA70" s="193">
        <v>0</v>
      </c>
      <c r="AB70" s="193">
        <v>0</v>
      </c>
      <c r="AC70" s="195">
        <v>0</v>
      </c>
      <c r="AD70" s="193">
        <v>0</v>
      </c>
      <c r="AE70" s="193">
        <v>0</v>
      </c>
      <c r="AF70" s="193">
        <v>0</v>
      </c>
      <c r="AG70" s="195">
        <v>-110000</v>
      </c>
      <c r="AH70" s="193">
        <v>-58500</v>
      </c>
      <c r="AI70" s="193">
        <v>0</v>
      </c>
      <c r="AJ70" s="193">
        <v>0</v>
      </c>
      <c r="AK70" s="195">
        <v>0</v>
      </c>
      <c r="AL70" s="193">
        <v>0</v>
      </c>
      <c r="AM70" s="193">
        <v>0</v>
      </c>
      <c r="AN70" s="193">
        <v>0</v>
      </c>
      <c r="AO70" s="195">
        <v>0</v>
      </c>
      <c r="AP70" s="195">
        <v>0</v>
      </c>
      <c r="AQ70" s="195">
        <v>0</v>
      </c>
    </row>
    <row r="71" spans="1:43">
      <c r="B71" s="201" t="s">
        <v>271</v>
      </c>
      <c r="C71" s="193">
        <v>-12908</v>
      </c>
      <c r="D71" s="194">
        <v>0</v>
      </c>
      <c r="E71" s="195">
        <v>-933</v>
      </c>
      <c r="F71" s="193">
        <v>-933</v>
      </c>
      <c r="G71" s="193">
        <v>-933</v>
      </c>
      <c r="H71" s="194">
        <v>0</v>
      </c>
      <c r="I71" s="195">
        <v>0</v>
      </c>
      <c r="J71" s="193">
        <v>0</v>
      </c>
      <c r="K71" s="193">
        <v>0</v>
      </c>
      <c r="L71" s="194">
        <v>0</v>
      </c>
      <c r="M71" s="195">
        <v>-6841</v>
      </c>
      <c r="N71" s="193">
        <v>-6841</v>
      </c>
      <c r="O71" s="193">
        <v>0</v>
      </c>
      <c r="P71" s="194">
        <v>0</v>
      </c>
      <c r="Q71" s="195">
        <v>-35700</v>
      </c>
      <c r="R71" s="193">
        <v>-35700</v>
      </c>
      <c r="S71" s="193">
        <v>-22500</v>
      </c>
      <c r="T71" s="194">
        <v>-8500</v>
      </c>
      <c r="U71" s="195">
        <v>-12500</v>
      </c>
      <c r="V71" s="193">
        <v>-5000</v>
      </c>
      <c r="W71" s="193">
        <v>0</v>
      </c>
      <c r="X71" s="193">
        <v>0</v>
      </c>
      <c r="Y71" s="195">
        <v>0</v>
      </c>
      <c r="Z71" s="193">
        <v>0</v>
      </c>
      <c r="AA71" s="193">
        <v>0</v>
      </c>
      <c r="AB71" s="193">
        <v>0</v>
      </c>
      <c r="AC71" s="195">
        <v>0</v>
      </c>
      <c r="AD71" s="193">
        <v>0</v>
      </c>
      <c r="AE71" s="193">
        <v>0</v>
      </c>
      <c r="AF71" s="193">
        <v>0</v>
      </c>
      <c r="AG71" s="195">
        <v>0</v>
      </c>
      <c r="AH71" s="193">
        <v>0</v>
      </c>
      <c r="AI71" s="193">
        <v>0</v>
      </c>
      <c r="AJ71" s="193">
        <v>0</v>
      </c>
      <c r="AK71" s="195">
        <v>0</v>
      </c>
      <c r="AL71" s="193">
        <v>0</v>
      </c>
      <c r="AM71" s="193">
        <v>0</v>
      </c>
      <c r="AN71" s="193">
        <v>0</v>
      </c>
      <c r="AO71" s="195">
        <v>0</v>
      </c>
      <c r="AP71" s="195">
        <v>-1669</v>
      </c>
      <c r="AQ71" s="195">
        <v>0</v>
      </c>
    </row>
    <row r="72" spans="1:43">
      <c r="B72" s="201" t="s">
        <v>398</v>
      </c>
      <c r="C72" s="193">
        <v>0</v>
      </c>
      <c r="D72" s="194">
        <v>0</v>
      </c>
      <c r="E72" s="195">
        <v>0</v>
      </c>
      <c r="F72" s="193">
        <v>0</v>
      </c>
      <c r="G72" s="193">
        <v>0</v>
      </c>
      <c r="H72" s="194">
        <v>0</v>
      </c>
      <c r="I72" s="195">
        <v>-804</v>
      </c>
      <c r="J72" s="193">
        <v>-804</v>
      </c>
      <c r="K72" s="193">
        <v>-804</v>
      </c>
      <c r="L72" s="194">
        <v>0</v>
      </c>
      <c r="M72" s="195">
        <v>0</v>
      </c>
      <c r="N72" s="193">
        <v>0</v>
      </c>
      <c r="O72" s="193"/>
      <c r="P72" s="194"/>
      <c r="Q72" s="195"/>
      <c r="R72" s="193"/>
      <c r="S72" s="193"/>
      <c r="T72" s="194"/>
      <c r="U72" s="195"/>
      <c r="V72" s="193"/>
      <c r="W72" s="193"/>
      <c r="X72" s="193"/>
      <c r="Y72" s="195"/>
      <c r="Z72" s="193"/>
      <c r="AA72" s="193"/>
      <c r="AB72" s="193"/>
      <c r="AC72" s="195"/>
      <c r="AD72" s="193"/>
      <c r="AE72" s="193"/>
      <c r="AF72" s="193"/>
      <c r="AG72" s="195"/>
      <c r="AH72" s="193"/>
      <c r="AI72" s="193"/>
      <c r="AJ72" s="193"/>
      <c r="AK72" s="195"/>
      <c r="AL72" s="193"/>
      <c r="AM72" s="193"/>
      <c r="AN72" s="193"/>
      <c r="AO72" s="195"/>
      <c r="AP72" s="195"/>
      <c r="AQ72" s="195"/>
    </row>
    <row r="73" spans="1:43">
      <c r="B73" s="239" t="s">
        <v>399</v>
      </c>
      <c r="C73" s="193">
        <v>0</v>
      </c>
      <c r="D73" s="194">
        <v>0</v>
      </c>
      <c r="E73" s="195">
        <v>0</v>
      </c>
      <c r="F73" s="193">
        <v>0</v>
      </c>
      <c r="G73" s="193">
        <v>0</v>
      </c>
      <c r="H73" s="194">
        <v>0</v>
      </c>
      <c r="I73" s="195">
        <v>0</v>
      </c>
      <c r="J73" s="193">
        <v>0</v>
      </c>
      <c r="K73" s="193">
        <v>0</v>
      </c>
      <c r="L73" s="194">
        <v>0</v>
      </c>
      <c r="M73" s="195">
        <v>0</v>
      </c>
      <c r="N73" s="193">
        <v>0</v>
      </c>
      <c r="O73" s="193"/>
      <c r="P73" s="194"/>
      <c r="Q73" s="195"/>
      <c r="R73" s="193"/>
      <c r="S73" s="193"/>
      <c r="T73" s="194"/>
      <c r="U73" s="195"/>
      <c r="V73" s="193"/>
      <c r="W73" s="193"/>
      <c r="X73" s="193"/>
      <c r="Y73" s="195"/>
      <c r="Z73" s="193"/>
      <c r="AA73" s="193"/>
      <c r="AB73" s="193"/>
      <c r="AC73" s="195"/>
      <c r="AD73" s="193"/>
      <c r="AE73" s="193"/>
      <c r="AF73" s="193"/>
      <c r="AG73" s="195"/>
      <c r="AH73" s="193"/>
      <c r="AI73" s="193"/>
      <c r="AJ73" s="193"/>
      <c r="AK73" s="195"/>
      <c r="AL73" s="193"/>
      <c r="AM73" s="193"/>
      <c r="AN73" s="193"/>
      <c r="AO73" s="195"/>
      <c r="AP73" s="195"/>
      <c r="AQ73" s="195"/>
    </row>
    <row r="74" spans="1:43">
      <c r="B74" s="201" t="s">
        <v>309</v>
      </c>
      <c r="C74" s="193">
        <v>0</v>
      </c>
      <c r="D74" s="194">
        <v>0</v>
      </c>
      <c r="E74" s="195">
        <v>0</v>
      </c>
      <c r="F74" s="193">
        <v>0</v>
      </c>
      <c r="G74" s="193">
        <v>0</v>
      </c>
      <c r="H74" s="194">
        <v>0</v>
      </c>
      <c r="I74" s="195">
        <v>0</v>
      </c>
      <c r="J74" s="193">
        <v>0</v>
      </c>
      <c r="K74" s="193">
        <v>0</v>
      </c>
      <c r="L74" s="194">
        <v>0</v>
      </c>
      <c r="M74" s="195">
        <v>0</v>
      </c>
      <c r="N74" s="193">
        <v>33426</v>
      </c>
      <c r="O74" s="193">
        <v>0</v>
      </c>
      <c r="P74" s="194">
        <v>0</v>
      </c>
      <c r="Q74" s="195">
        <v>0</v>
      </c>
      <c r="R74" s="193">
        <v>0</v>
      </c>
      <c r="S74" s="193">
        <v>0</v>
      </c>
      <c r="T74" s="194">
        <v>0</v>
      </c>
      <c r="U74" s="195">
        <v>0</v>
      </c>
      <c r="V74" s="193">
        <v>0</v>
      </c>
      <c r="W74" s="193">
        <v>0</v>
      </c>
      <c r="X74" s="193">
        <v>0</v>
      </c>
      <c r="Y74" s="195">
        <v>-31977</v>
      </c>
      <c r="Z74" s="193">
        <v>0</v>
      </c>
      <c r="AA74" s="193">
        <v>0</v>
      </c>
      <c r="AB74" s="193">
        <v>0</v>
      </c>
      <c r="AC74" s="195">
        <v>0</v>
      </c>
      <c r="AD74" s="193">
        <v>0</v>
      </c>
      <c r="AE74" s="193">
        <v>0</v>
      </c>
      <c r="AF74" s="193">
        <v>0</v>
      </c>
      <c r="AG74" s="195">
        <v>0</v>
      </c>
      <c r="AH74" s="193">
        <v>0</v>
      </c>
      <c r="AI74" s="193">
        <v>0</v>
      </c>
      <c r="AJ74" s="193">
        <v>0</v>
      </c>
      <c r="AK74" s="195">
        <v>0</v>
      </c>
      <c r="AL74" s="193">
        <v>0</v>
      </c>
      <c r="AM74" s="193">
        <v>0</v>
      </c>
      <c r="AN74" s="193">
        <v>0</v>
      </c>
      <c r="AO74" s="195">
        <v>0</v>
      </c>
      <c r="AP74" s="195">
        <v>0</v>
      </c>
      <c r="AQ74" s="195">
        <v>-5025</v>
      </c>
    </row>
    <row r="75" spans="1:43">
      <c r="B75" s="239" t="s">
        <v>361</v>
      </c>
      <c r="C75" s="193">
        <v>0</v>
      </c>
      <c r="D75" s="194">
        <v>0</v>
      </c>
      <c r="E75" s="195">
        <v>0</v>
      </c>
      <c r="F75" s="193">
        <v>0</v>
      </c>
      <c r="G75" s="193">
        <v>0</v>
      </c>
      <c r="H75" s="194">
        <v>0</v>
      </c>
      <c r="I75" s="195">
        <v>-3632</v>
      </c>
      <c r="J75" s="193">
        <v>-3632</v>
      </c>
      <c r="K75" s="193">
        <v>-2201</v>
      </c>
      <c r="L75" s="194">
        <v>-132</v>
      </c>
      <c r="M75" s="195">
        <v>-487</v>
      </c>
      <c r="N75" s="193">
        <v>-460</v>
      </c>
      <c r="O75" s="193">
        <v>-329</v>
      </c>
      <c r="P75" s="194">
        <v>-275</v>
      </c>
      <c r="Q75" s="195">
        <v>-1034</v>
      </c>
      <c r="R75" s="193"/>
      <c r="S75" s="193"/>
      <c r="T75" s="194"/>
      <c r="U75" s="195">
        <v>0</v>
      </c>
      <c r="V75" s="193"/>
      <c r="W75" s="193"/>
      <c r="X75" s="193"/>
      <c r="Y75" s="195"/>
      <c r="Z75" s="193"/>
      <c r="AA75" s="193"/>
      <c r="AB75" s="193"/>
      <c r="AC75" s="195"/>
      <c r="AD75" s="193"/>
      <c r="AE75" s="193"/>
      <c r="AF75" s="193"/>
      <c r="AG75" s="195"/>
      <c r="AH75" s="193"/>
      <c r="AI75" s="193"/>
      <c r="AJ75" s="193"/>
      <c r="AK75" s="195"/>
      <c r="AL75" s="193"/>
      <c r="AM75" s="193"/>
      <c r="AN75" s="193"/>
      <c r="AO75" s="195"/>
      <c r="AP75" s="195"/>
      <c r="AQ75" s="195"/>
    </row>
    <row r="76" spans="1:43">
      <c r="B76" s="201" t="s">
        <v>350</v>
      </c>
      <c r="C76" s="193">
        <v>0</v>
      </c>
      <c r="D76" s="194">
        <v>0</v>
      </c>
      <c r="E76" s="195">
        <v>0</v>
      </c>
      <c r="F76" s="193">
        <v>0</v>
      </c>
      <c r="G76" s="193">
        <v>0</v>
      </c>
      <c r="H76" s="194">
        <v>0</v>
      </c>
      <c r="I76" s="195">
        <v>0</v>
      </c>
      <c r="J76" s="193">
        <v>0</v>
      </c>
      <c r="K76" s="193">
        <v>0</v>
      </c>
      <c r="L76" s="194">
        <v>0</v>
      </c>
      <c r="M76" s="195">
        <v>-39237</v>
      </c>
      <c r="N76" s="193">
        <v>-39237</v>
      </c>
      <c r="O76" s="193">
        <v>0</v>
      </c>
      <c r="P76" s="194">
        <v>0</v>
      </c>
      <c r="Q76" s="195">
        <v>-8769</v>
      </c>
      <c r="R76" s="193">
        <v>-8769</v>
      </c>
      <c r="S76" s="193">
        <v>-8769</v>
      </c>
      <c r="T76" s="194">
        <v>0</v>
      </c>
      <c r="U76" s="195">
        <v>-30547</v>
      </c>
      <c r="V76" s="193">
        <v>0</v>
      </c>
      <c r="W76" s="193">
        <v>0</v>
      </c>
      <c r="X76" s="193">
        <v>0</v>
      </c>
      <c r="Y76" s="195">
        <v>0</v>
      </c>
      <c r="Z76" s="193">
        <v>0</v>
      </c>
      <c r="AA76" s="193">
        <v>0</v>
      </c>
      <c r="AB76" s="193">
        <v>0</v>
      </c>
      <c r="AC76" s="195">
        <v>0</v>
      </c>
      <c r="AD76" s="193">
        <v>0</v>
      </c>
      <c r="AE76" s="193">
        <v>0</v>
      </c>
      <c r="AF76" s="193">
        <v>0</v>
      </c>
      <c r="AG76" s="195">
        <v>0</v>
      </c>
      <c r="AH76" s="193">
        <v>0</v>
      </c>
      <c r="AI76" s="193">
        <v>0</v>
      </c>
      <c r="AJ76" s="193">
        <v>0</v>
      </c>
      <c r="AK76" s="195">
        <v>0</v>
      </c>
      <c r="AL76" s="193">
        <v>0</v>
      </c>
      <c r="AM76" s="193">
        <v>0</v>
      </c>
      <c r="AN76" s="193">
        <v>0</v>
      </c>
      <c r="AO76" s="195">
        <v>0</v>
      </c>
      <c r="AP76" s="195">
        <v>0</v>
      </c>
      <c r="AQ76" s="195">
        <v>0</v>
      </c>
    </row>
    <row r="77" spans="1:43">
      <c r="B77" s="201" t="s">
        <v>272</v>
      </c>
      <c r="C77" s="193">
        <v>97</v>
      </c>
      <c r="D77" s="194">
        <v>0</v>
      </c>
      <c r="E77" s="195">
        <v>41778</v>
      </c>
      <c r="F77" s="193">
        <v>41778</v>
      </c>
      <c r="G77" s="193">
        <v>41778</v>
      </c>
      <c r="H77" s="194">
        <v>39749</v>
      </c>
      <c r="I77" s="195">
        <v>5601</v>
      </c>
      <c r="J77" s="193">
        <v>5601</v>
      </c>
      <c r="K77" s="193">
        <v>5601</v>
      </c>
      <c r="L77" s="194">
        <v>5601</v>
      </c>
      <c r="M77" s="195">
        <v>33426</v>
      </c>
      <c r="N77" s="193">
        <v>0</v>
      </c>
      <c r="O77" s="193">
        <v>0</v>
      </c>
      <c r="P77" s="194">
        <v>0</v>
      </c>
      <c r="Q77" s="195">
        <v>0</v>
      </c>
      <c r="R77" s="193">
        <v>0</v>
      </c>
      <c r="S77" s="193">
        <v>0</v>
      </c>
      <c r="T77" s="194">
        <v>0</v>
      </c>
      <c r="U77" s="195">
        <v>0</v>
      </c>
      <c r="V77" s="193">
        <v>-30547</v>
      </c>
      <c r="W77" s="193">
        <v>0</v>
      </c>
      <c r="X77" s="193">
        <v>0</v>
      </c>
      <c r="Y77" s="195">
        <v>0</v>
      </c>
      <c r="Z77" s="193">
        <v>0</v>
      </c>
      <c r="AA77" s="193">
        <v>0</v>
      </c>
      <c r="AB77" s="193">
        <v>0</v>
      </c>
      <c r="AC77" s="195">
        <v>0</v>
      </c>
      <c r="AD77" s="193">
        <v>0</v>
      </c>
      <c r="AE77" s="193">
        <v>0</v>
      </c>
      <c r="AF77" s="193">
        <v>0</v>
      </c>
      <c r="AG77" s="195">
        <v>0</v>
      </c>
      <c r="AH77" s="193">
        <v>0</v>
      </c>
      <c r="AI77" s="193">
        <v>0</v>
      </c>
      <c r="AJ77" s="193">
        <v>0</v>
      </c>
      <c r="AK77" s="195">
        <v>0</v>
      </c>
      <c r="AL77" s="193">
        <v>0</v>
      </c>
      <c r="AM77" s="193">
        <v>0</v>
      </c>
      <c r="AN77" s="193">
        <v>0</v>
      </c>
      <c r="AO77" s="195">
        <v>0</v>
      </c>
      <c r="AP77" s="195">
        <v>0</v>
      </c>
      <c r="AQ77" s="195">
        <v>-554428</v>
      </c>
    </row>
    <row r="78" spans="1:43" ht="15.75" thickBot="1">
      <c r="A78" s="196"/>
      <c r="B78" s="197" t="s">
        <v>273</v>
      </c>
      <c r="C78" s="198">
        <f t="shared" ref="C78" si="51">SUM(C66:C77)</f>
        <v>-328851</v>
      </c>
      <c r="D78" s="199">
        <f t="shared" ref="D78" si="52">SUM(D66:D77)</f>
        <v>-223152</v>
      </c>
      <c r="E78" s="200">
        <f t="shared" ref="E78" si="53">SUM(E66:E77)</f>
        <v>-461434</v>
      </c>
      <c r="F78" s="198">
        <f t="shared" ref="F78" si="54">SUM(F66:F77)</f>
        <v>-732532</v>
      </c>
      <c r="G78" s="198">
        <f t="shared" ref="G78" si="55">SUM(G66:G77)</f>
        <v>-142875</v>
      </c>
      <c r="H78" s="199">
        <f t="shared" ref="H78" si="56">SUM(H66:H77)</f>
        <v>4953</v>
      </c>
      <c r="I78" s="200">
        <f t="shared" ref="I78" si="57">SUM(I66:I77)</f>
        <v>-10296</v>
      </c>
      <c r="J78" s="198">
        <f t="shared" ref="J78" si="58">SUM(J66:J77)</f>
        <v>196143</v>
      </c>
      <c r="K78" s="198">
        <f t="shared" ref="K78" si="59">SUM(K66:K77)</f>
        <v>293073</v>
      </c>
      <c r="L78" s="199">
        <f>SUM(L66:L77)</f>
        <v>385217</v>
      </c>
      <c r="M78" s="200">
        <f>SUM(M66:M77)</f>
        <v>-252066</v>
      </c>
      <c r="N78" s="198">
        <f>SUM(N66:N77)</f>
        <v>148757</v>
      </c>
      <c r="O78" s="198">
        <f>SUM(O66:O77)</f>
        <v>-61365</v>
      </c>
      <c r="P78" s="199">
        <v>-103918</v>
      </c>
      <c r="Q78" s="200">
        <v>-454715</v>
      </c>
      <c r="R78" s="198">
        <f>SUM(R65:R77)</f>
        <v>-201459</v>
      </c>
      <c r="S78" s="198">
        <f t="shared" ref="S78:AE78" si="60">SUM(S66:S77)</f>
        <v>-91541</v>
      </c>
      <c r="T78" s="199">
        <f t="shared" si="60"/>
        <v>-39103</v>
      </c>
      <c r="U78" s="200">
        <f t="shared" si="60"/>
        <v>-11411</v>
      </c>
      <c r="V78" s="198">
        <f t="shared" si="60"/>
        <v>22527</v>
      </c>
      <c r="W78" s="198">
        <f t="shared" si="60"/>
        <v>92805</v>
      </c>
      <c r="X78" s="198">
        <f t="shared" si="60"/>
        <v>81961</v>
      </c>
      <c r="Y78" s="200">
        <f t="shared" si="60"/>
        <v>285089</v>
      </c>
      <c r="Z78" s="198">
        <f t="shared" si="60"/>
        <v>164747</v>
      </c>
      <c r="AA78" s="198">
        <f t="shared" si="60"/>
        <v>223190</v>
      </c>
      <c r="AB78" s="198">
        <f t="shared" si="60"/>
        <v>67317</v>
      </c>
      <c r="AC78" s="200">
        <f t="shared" si="60"/>
        <v>-351614</v>
      </c>
      <c r="AD78" s="198">
        <f t="shared" si="60"/>
        <v>-327852</v>
      </c>
      <c r="AE78" s="198">
        <f t="shared" si="60"/>
        <v>-428939</v>
      </c>
      <c r="AF78" s="198">
        <v>-458368</v>
      </c>
      <c r="AG78" s="200">
        <v>-226415</v>
      </c>
      <c r="AH78" s="198">
        <v>-200988</v>
      </c>
      <c r="AI78" s="198">
        <v>-25768</v>
      </c>
      <c r="AJ78" s="198">
        <v>-64871</v>
      </c>
      <c r="AK78" s="200">
        <v>-27452</v>
      </c>
      <c r="AL78" s="198">
        <v>-131483</v>
      </c>
      <c r="AM78" s="198">
        <v>-122735</v>
      </c>
      <c r="AN78" s="198">
        <v>-47937</v>
      </c>
      <c r="AO78" s="200">
        <v>-18688</v>
      </c>
      <c r="AP78" s="200">
        <v>-32413</v>
      </c>
      <c r="AQ78" s="200">
        <v>-470388</v>
      </c>
    </row>
    <row r="79" spans="1:43" ht="16.5" thickTop="1" thickBot="1">
      <c r="A79" s="196"/>
      <c r="B79" s="197" t="s">
        <v>274</v>
      </c>
      <c r="C79" s="198"/>
      <c r="D79" s="199"/>
      <c r="E79" s="200"/>
      <c r="F79" s="198"/>
      <c r="G79" s="198"/>
      <c r="H79" s="199"/>
      <c r="I79" s="200"/>
      <c r="J79" s="198"/>
      <c r="K79" s="198"/>
      <c r="L79" s="199"/>
      <c r="M79" s="200"/>
      <c r="N79" s="198"/>
      <c r="O79" s="198"/>
      <c r="P79" s="199"/>
      <c r="Q79" s="200"/>
      <c r="R79" s="198"/>
      <c r="S79" s="198"/>
      <c r="T79" s="199"/>
      <c r="U79" s="200"/>
      <c r="V79" s="198"/>
      <c r="W79" s="198"/>
      <c r="X79" s="198"/>
      <c r="Y79" s="200"/>
      <c r="Z79" s="198"/>
      <c r="AA79" s="198"/>
      <c r="AB79" s="198"/>
      <c r="AC79" s="200"/>
      <c r="AD79" s="198"/>
      <c r="AE79" s="198"/>
      <c r="AF79" s="198"/>
      <c r="AG79" s="200"/>
      <c r="AH79" s="198"/>
      <c r="AI79" s="198"/>
      <c r="AJ79" s="198"/>
      <c r="AK79" s="200"/>
      <c r="AL79" s="198"/>
      <c r="AM79" s="198"/>
      <c r="AN79" s="198"/>
      <c r="AO79" s="200"/>
      <c r="AP79" s="200"/>
      <c r="AQ79" s="200"/>
    </row>
    <row r="80" spans="1:43" ht="15" thickTop="1">
      <c r="B80" s="201" t="s">
        <v>275</v>
      </c>
      <c r="C80" s="193">
        <v>-23623</v>
      </c>
      <c r="D80" s="194">
        <v>0</v>
      </c>
      <c r="E80" s="195">
        <v>-1142857</v>
      </c>
      <c r="F80" s="193">
        <v>-599964</v>
      </c>
      <c r="G80" s="193">
        <v>-184017</v>
      </c>
      <c r="H80" s="194">
        <v>0</v>
      </c>
      <c r="I80" s="195">
        <v>-79147</v>
      </c>
      <c r="J80" s="193">
        <v>-79147</v>
      </c>
      <c r="K80" s="193">
        <v>-79147</v>
      </c>
      <c r="L80" s="194">
        <v>0</v>
      </c>
      <c r="M80" s="195">
        <v>-118436</v>
      </c>
      <c r="N80" s="193">
        <v>-106307</v>
      </c>
      <c r="O80" s="193">
        <v>-94175</v>
      </c>
      <c r="P80" s="194">
        <v>-82045</v>
      </c>
      <c r="Q80" s="195">
        <v>-325286</v>
      </c>
      <c r="R80" s="193">
        <v>-313156</v>
      </c>
      <c r="S80" s="193">
        <v>-299736</v>
      </c>
      <c r="T80" s="194">
        <v>-163323</v>
      </c>
      <c r="U80" s="195">
        <v>-157156</v>
      </c>
      <c r="V80" s="193">
        <v>-133929</v>
      </c>
      <c r="W80" s="193">
        <v>-110431</v>
      </c>
      <c r="X80" s="193">
        <v>-37279</v>
      </c>
      <c r="Y80" s="195">
        <v>-548922</v>
      </c>
      <c r="Z80" s="193">
        <v>-487579</v>
      </c>
      <c r="AA80" s="193">
        <v>-436157</v>
      </c>
      <c r="AB80" s="193">
        <v>-113093</v>
      </c>
      <c r="AC80" s="195">
        <v>-236034</v>
      </c>
      <c r="AD80" s="193">
        <v>-184428</v>
      </c>
      <c r="AE80" s="193">
        <v>-131188</v>
      </c>
      <c r="AF80" s="193">
        <v>-2991</v>
      </c>
      <c r="AG80" s="195">
        <v>-190987</v>
      </c>
      <c r="AH80" s="193">
        <v>-138025</v>
      </c>
      <c r="AI80" s="193">
        <v>-135350</v>
      </c>
      <c r="AJ80" s="193">
        <v>-82639</v>
      </c>
      <c r="AK80" s="195">
        <v>-108071</v>
      </c>
      <c r="AL80" s="193">
        <v>-55374</v>
      </c>
      <c r="AM80" s="193">
        <v>-3600</v>
      </c>
      <c r="AN80" s="193">
        <v>-1833</v>
      </c>
      <c r="AO80" s="195">
        <v>-165006</v>
      </c>
      <c r="AP80" s="195">
        <v>-137079</v>
      </c>
      <c r="AQ80" s="195">
        <v>-111651</v>
      </c>
    </row>
    <row r="81" spans="1:43">
      <c r="B81" s="201" t="s">
        <v>276</v>
      </c>
      <c r="C81" s="193">
        <v>-174556</v>
      </c>
      <c r="D81" s="194">
        <v>-50715</v>
      </c>
      <c r="E81" s="195">
        <v>-350314</v>
      </c>
      <c r="F81" s="193">
        <v>-220871</v>
      </c>
      <c r="G81" s="193">
        <v>-118056</v>
      </c>
      <c r="H81" s="194">
        <v>-1548</v>
      </c>
      <c r="I81" s="195">
        <v>-151869</v>
      </c>
      <c r="J81" s="193">
        <v>-78799</v>
      </c>
      <c r="K81" s="193">
        <v>-78799</v>
      </c>
      <c r="L81" s="194">
        <v>0</v>
      </c>
      <c r="M81" s="195">
        <v>-143222</v>
      </c>
      <c r="N81" s="193">
        <v>-64296</v>
      </c>
      <c r="O81" s="193">
        <v>-62972</v>
      </c>
      <c r="P81" s="194">
        <v>-5443</v>
      </c>
      <c r="Q81" s="195">
        <v>-48824</v>
      </c>
      <c r="R81" s="193">
        <v>-24538</v>
      </c>
      <c r="S81" s="193">
        <v>-19930</v>
      </c>
      <c r="T81" s="194">
        <v>-6068</v>
      </c>
      <c r="U81" s="195">
        <v>-30586</v>
      </c>
      <c r="V81" s="193">
        <v>-26154</v>
      </c>
      <c r="W81" s="193">
        <v>-18646</v>
      </c>
      <c r="X81" s="193">
        <v>-9905</v>
      </c>
      <c r="Y81" s="195">
        <v>-72905</v>
      </c>
      <c r="Z81" s="193">
        <v>-59626</v>
      </c>
      <c r="AA81" s="193">
        <v>-47153</v>
      </c>
      <c r="AB81" s="193">
        <v>-24304</v>
      </c>
      <c r="AC81" s="195">
        <v>-79472</v>
      </c>
      <c r="AD81" s="193">
        <v>-61187</v>
      </c>
      <c r="AE81" s="193">
        <v>-38139</v>
      </c>
      <c r="AF81" s="193">
        <v>-14015</v>
      </c>
      <c r="AG81" s="195">
        <v>-63870</v>
      </c>
      <c r="AH81" s="193">
        <v>-35868</v>
      </c>
      <c r="AI81" s="193">
        <v>-33765</v>
      </c>
      <c r="AJ81" s="193">
        <v>-6181</v>
      </c>
      <c r="AK81" s="195">
        <v>-82574</v>
      </c>
      <c r="AL81" s="193">
        <v>-71373</v>
      </c>
      <c r="AM81" s="193">
        <v>-47159</v>
      </c>
      <c r="AN81" s="193">
        <v>-6275</v>
      </c>
      <c r="AO81" s="195">
        <v>-91813</v>
      </c>
      <c r="AP81" s="195">
        <v>-86055</v>
      </c>
      <c r="AQ81" s="195">
        <v>-49688</v>
      </c>
    </row>
    <row r="82" spans="1:43">
      <c r="B82" s="201" t="s">
        <v>277</v>
      </c>
      <c r="C82" s="193">
        <v>448334</v>
      </c>
      <c r="D82" s="194">
        <v>48580</v>
      </c>
      <c r="E82" s="195">
        <v>1452009</v>
      </c>
      <c r="F82" s="193">
        <v>1284410</v>
      </c>
      <c r="G82" s="193">
        <v>534410</v>
      </c>
      <c r="H82" s="194">
        <v>500000</v>
      </c>
      <c r="I82" s="195">
        <v>750000</v>
      </c>
      <c r="J82" s="193">
        <v>0</v>
      </c>
      <c r="K82" s="193">
        <v>0</v>
      </c>
      <c r="L82" s="194">
        <v>0</v>
      </c>
      <c r="M82" s="195">
        <v>650120</v>
      </c>
      <c r="N82" s="193">
        <v>0</v>
      </c>
      <c r="O82" s="193">
        <v>0</v>
      </c>
      <c r="P82" s="194">
        <v>0</v>
      </c>
      <c r="Q82" s="195">
        <v>1050001</v>
      </c>
      <c r="R82" s="193">
        <v>550001</v>
      </c>
      <c r="S82" s="193">
        <v>350001</v>
      </c>
      <c r="T82" s="194" t="s">
        <v>112</v>
      </c>
      <c r="U82" s="195">
        <v>203000</v>
      </c>
      <c r="V82" s="193">
        <v>203000</v>
      </c>
      <c r="W82" s="193">
        <v>203000</v>
      </c>
      <c r="X82" s="193">
        <v>80000</v>
      </c>
      <c r="Y82" s="195">
        <v>310222</v>
      </c>
      <c r="Z82" s="193">
        <v>310222</v>
      </c>
      <c r="AA82" s="193">
        <v>310222</v>
      </c>
      <c r="AB82" s="193">
        <v>109172</v>
      </c>
      <c r="AC82" s="195">
        <v>461776</v>
      </c>
      <c r="AD82" s="193">
        <v>461776</v>
      </c>
      <c r="AE82" s="193">
        <v>461776</v>
      </c>
      <c r="AF82" s="193">
        <v>461776</v>
      </c>
      <c r="AG82" s="195">
        <v>353284</v>
      </c>
      <c r="AH82" s="193">
        <v>253284</v>
      </c>
      <c r="AI82" s="193">
        <v>150000</v>
      </c>
      <c r="AJ82" s="193">
        <v>0</v>
      </c>
      <c r="AK82" s="195">
        <v>3941</v>
      </c>
      <c r="AL82" s="193">
        <v>3941</v>
      </c>
      <c r="AM82" s="193">
        <v>0</v>
      </c>
      <c r="AN82" s="193">
        <v>0</v>
      </c>
      <c r="AO82" s="195">
        <v>92800</v>
      </c>
      <c r="AP82" s="195">
        <v>40000</v>
      </c>
      <c r="AQ82" s="195">
        <v>550000</v>
      </c>
    </row>
    <row r="83" spans="1:43">
      <c r="B83" s="201" t="s">
        <v>278</v>
      </c>
      <c r="C83" s="193">
        <v>-244526</v>
      </c>
      <c r="D83" s="194">
        <v>-140</v>
      </c>
      <c r="E83" s="195">
        <v>-438648</v>
      </c>
      <c r="F83" s="193">
        <v>-145344</v>
      </c>
      <c r="G83" s="193">
        <v>-145266</v>
      </c>
      <c r="H83" s="194">
        <v>-109465</v>
      </c>
      <c r="I83" s="195">
        <v>-345392</v>
      </c>
      <c r="J83" s="193">
        <v>-192181</v>
      </c>
      <c r="K83" s="193">
        <v>-188155</v>
      </c>
      <c r="L83" s="194">
        <v>-125</v>
      </c>
      <c r="M83" s="195">
        <v>-1355350</v>
      </c>
      <c r="N83" s="193">
        <v>-867247</v>
      </c>
      <c r="O83" s="193">
        <v>-257272</v>
      </c>
      <c r="P83" s="194">
        <v>-13231</v>
      </c>
      <c r="Q83" s="195">
        <v>-1365042</v>
      </c>
      <c r="R83" s="193">
        <v>-645509</v>
      </c>
      <c r="S83" s="193">
        <v>-352710</v>
      </c>
      <c r="T83" s="194">
        <v>-144</v>
      </c>
      <c r="U83" s="195">
        <v>-110562</v>
      </c>
      <c r="V83" s="193">
        <v>-40163</v>
      </c>
      <c r="W83" s="193">
        <v>-40159</v>
      </c>
      <c r="X83" s="193">
        <v>-61</v>
      </c>
      <c r="Y83" s="195">
        <v>-24985</v>
      </c>
      <c r="Z83" s="193">
        <v>-24842</v>
      </c>
      <c r="AA83" s="193">
        <v>-24879</v>
      </c>
      <c r="AB83" s="193">
        <v>-109</v>
      </c>
      <c r="AC83" s="195">
        <v>-206961</v>
      </c>
      <c r="AD83" s="193">
        <v>-89162</v>
      </c>
      <c r="AE83" s="193">
        <v>-89115</v>
      </c>
      <c r="AF83" s="193">
        <v>-106</v>
      </c>
      <c r="AG83" s="195">
        <v>-387365</v>
      </c>
      <c r="AH83" s="193">
        <v>-288944</v>
      </c>
      <c r="AI83" s="193">
        <v>-29199</v>
      </c>
      <c r="AJ83" s="193">
        <v>-1</v>
      </c>
      <c r="AK83" s="195">
        <v>-23838</v>
      </c>
      <c r="AL83" s="193">
        <v>-23833</v>
      </c>
      <c r="AM83" s="193">
        <v>-23830</v>
      </c>
      <c r="AN83" s="193">
        <v>-1</v>
      </c>
      <c r="AO83" s="195">
        <v>-18796</v>
      </c>
      <c r="AP83" s="195">
        <v>-15480</v>
      </c>
      <c r="AQ83" s="195">
        <v>-7112</v>
      </c>
    </row>
    <row r="84" spans="1:43">
      <c r="B84" s="201" t="s">
        <v>339</v>
      </c>
      <c r="C84" s="193">
        <v>-52708</v>
      </c>
      <c r="D84" s="194">
        <v>-24842</v>
      </c>
      <c r="E84" s="195">
        <v>-62223</v>
      </c>
      <c r="F84" s="193">
        <v>-21085</v>
      </c>
      <c r="G84" s="193">
        <v>-17637</v>
      </c>
      <c r="H84" s="194">
        <v>-17637</v>
      </c>
      <c r="I84" s="195">
        <v>-1582</v>
      </c>
      <c r="J84" s="193">
        <v>-1582</v>
      </c>
      <c r="K84" s="193">
        <v>-1582</v>
      </c>
      <c r="L84" s="194">
        <v>0</v>
      </c>
      <c r="M84" s="195">
        <v>-43824</v>
      </c>
      <c r="N84" s="193">
        <v>-43824</v>
      </c>
      <c r="O84" s="193">
        <v>-29400</v>
      </c>
      <c r="P84" s="194">
        <v>0</v>
      </c>
      <c r="Q84" s="195">
        <v>-248</v>
      </c>
      <c r="R84" s="193">
        <v>-248</v>
      </c>
      <c r="S84" s="193">
        <v>-248</v>
      </c>
      <c r="T84" s="194">
        <v>-248</v>
      </c>
      <c r="U84" s="195">
        <v>-144201</v>
      </c>
      <c r="V84" s="193">
        <v>-143019</v>
      </c>
      <c r="W84" s="193">
        <v>-89110</v>
      </c>
      <c r="X84" s="193">
        <v>-76205</v>
      </c>
      <c r="Y84" s="195">
        <v>-112429</v>
      </c>
      <c r="Z84" s="193">
        <v>-102251</v>
      </c>
      <c r="AA84" s="193">
        <v>-52116</v>
      </c>
      <c r="AB84" s="193">
        <v>-23554</v>
      </c>
      <c r="AC84" s="195">
        <v>-18342</v>
      </c>
      <c r="AD84" s="193">
        <v>0</v>
      </c>
      <c r="AE84" s="193">
        <v>0</v>
      </c>
      <c r="AF84" s="193">
        <v>0</v>
      </c>
      <c r="AG84" s="195">
        <v>0</v>
      </c>
      <c r="AH84" s="193">
        <v>0</v>
      </c>
      <c r="AI84" s="193">
        <v>0</v>
      </c>
      <c r="AJ84" s="193">
        <v>0</v>
      </c>
      <c r="AK84" s="195">
        <v>0</v>
      </c>
      <c r="AL84" s="193">
        <v>0</v>
      </c>
      <c r="AM84" s="193">
        <v>0</v>
      </c>
      <c r="AN84" s="193">
        <v>0</v>
      </c>
      <c r="AO84" s="195">
        <v>0</v>
      </c>
      <c r="AP84" s="195">
        <v>0</v>
      </c>
      <c r="AQ84" s="195">
        <v>-14164</v>
      </c>
    </row>
    <row r="85" spans="1:43">
      <c r="B85" s="201" t="s">
        <v>369</v>
      </c>
      <c r="C85" s="193">
        <v>0</v>
      </c>
      <c r="D85" s="194">
        <v>0</v>
      </c>
      <c r="E85" s="195">
        <v>0</v>
      </c>
      <c r="F85" s="193">
        <v>0</v>
      </c>
      <c r="G85" s="193">
        <v>0</v>
      </c>
      <c r="H85" s="194">
        <v>0</v>
      </c>
      <c r="I85" s="195">
        <v>0</v>
      </c>
      <c r="J85" s="193">
        <v>0</v>
      </c>
      <c r="K85" s="193">
        <v>0</v>
      </c>
      <c r="L85" s="194">
        <v>0</v>
      </c>
      <c r="M85" s="195">
        <v>0</v>
      </c>
      <c r="N85" s="193">
        <v>0</v>
      </c>
      <c r="O85" s="193">
        <v>33707</v>
      </c>
      <c r="P85" s="194"/>
      <c r="Q85" s="195"/>
      <c r="R85" s="193"/>
      <c r="S85" s="193"/>
      <c r="T85" s="194"/>
      <c r="U85" s="195"/>
      <c r="V85" s="193"/>
      <c r="W85" s="193"/>
      <c r="X85" s="193"/>
      <c r="Y85" s="195"/>
      <c r="Z85" s="193"/>
      <c r="AA85" s="193"/>
      <c r="AB85" s="193"/>
      <c r="AC85" s="195"/>
      <c r="AD85" s="193"/>
      <c r="AE85" s="193"/>
      <c r="AF85" s="193"/>
      <c r="AG85" s="195"/>
      <c r="AH85" s="193"/>
      <c r="AI85" s="193"/>
      <c r="AJ85" s="193"/>
      <c r="AK85" s="195"/>
      <c r="AL85" s="193"/>
      <c r="AM85" s="193"/>
      <c r="AN85" s="193"/>
      <c r="AO85" s="195"/>
      <c r="AP85" s="195"/>
      <c r="AQ85" s="195"/>
    </row>
    <row r="86" spans="1:43">
      <c r="B86" s="201" t="s">
        <v>415</v>
      </c>
      <c r="C86" s="193">
        <v>-805</v>
      </c>
      <c r="D86" s="194">
        <v>-395</v>
      </c>
      <c r="E86" s="195">
        <v>-1240</v>
      </c>
      <c r="F86" s="193">
        <v>-789</v>
      </c>
      <c r="G86" s="193">
        <v>-540</v>
      </c>
      <c r="H86" s="194">
        <v>-249</v>
      </c>
      <c r="I86" s="195">
        <v>-190</v>
      </c>
      <c r="J86" s="193">
        <v>0</v>
      </c>
      <c r="K86" s="193">
        <v>0</v>
      </c>
      <c r="L86" s="194">
        <v>0</v>
      </c>
      <c r="M86" s="195">
        <v>0</v>
      </c>
      <c r="N86" s="193">
        <v>0</v>
      </c>
      <c r="O86" s="193">
        <v>0</v>
      </c>
      <c r="P86" s="194">
        <v>0</v>
      </c>
      <c r="Q86" s="195">
        <v>0</v>
      </c>
      <c r="R86" s="193">
        <v>0</v>
      </c>
      <c r="S86" s="193">
        <v>0</v>
      </c>
      <c r="T86" s="194">
        <v>0</v>
      </c>
      <c r="U86" s="195">
        <v>0</v>
      </c>
      <c r="V86" s="193">
        <v>0</v>
      </c>
      <c r="W86" s="193">
        <v>0</v>
      </c>
      <c r="X86" s="193">
        <v>0</v>
      </c>
      <c r="Y86" s="195">
        <v>0</v>
      </c>
      <c r="Z86" s="193">
        <v>0</v>
      </c>
      <c r="AA86" s="193">
        <v>0</v>
      </c>
      <c r="AB86" s="193">
        <v>0</v>
      </c>
      <c r="AC86" s="195">
        <v>0</v>
      </c>
      <c r="AD86" s="193">
        <v>0</v>
      </c>
      <c r="AE86" s="193">
        <v>0</v>
      </c>
      <c r="AF86" s="193">
        <v>0</v>
      </c>
      <c r="AG86" s="195">
        <v>0</v>
      </c>
      <c r="AH86" s="193">
        <v>0</v>
      </c>
      <c r="AI86" s="193">
        <v>0</v>
      </c>
      <c r="AJ86" s="193">
        <v>0</v>
      </c>
      <c r="AK86" s="195">
        <v>0</v>
      </c>
      <c r="AL86" s="184"/>
      <c r="AM86" s="184"/>
      <c r="AN86" s="184"/>
      <c r="AO86" s="184"/>
      <c r="AP86" s="184"/>
      <c r="AQ86" s="184"/>
    </row>
    <row r="87" spans="1:43">
      <c r="B87" s="201" t="s">
        <v>416</v>
      </c>
      <c r="C87" s="193">
        <v>-805</v>
      </c>
      <c r="D87" s="194">
        <v>-408</v>
      </c>
      <c r="E87" s="195">
        <v>-1551</v>
      </c>
      <c r="F87" s="193">
        <v>-1232</v>
      </c>
      <c r="G87" s="193">
        <v>-847</v>
      </c>
      <c r="H87" s="194">
        <v>-413</v>
      </c>
      <c r="I87" s="195">
        <v>-184</v>
      </c>
      <c r="J87" s="193">
        <v>0</v>
      </c>
      <c r="K87" s="193">
        <v>0</v>
      </c>
      <c r="L87" s="194">
        <v>0</v>
      </c>
      <c r="M87" s="195">
        <v>0</v>
      </c>
      <c r="N87" s="193">
        <v>0</v>
      </c>
      <c r="O87" s="193">
        <v>0</v>
      </c>
      <c r="P87" s="194">
        <v>0</v>
      </c>
      <c r="Q87" s="195">
        <v>0</v>
      </c>
      <c r="R87" s="193">
        <v>0</v>
      </c>
      <c r="S87" s="193">
        <v>0</v>
      </c>
      <c r="T87" s="194">
        <v>0</v>
      </c>
      <c r="U87" s="195">
        <v>0</v>
      </c>
      <c r="V87" s="193">
        <v>0</v>
      </c>
      <c r="W87" s="193">
        <v>0</v>
      </c>
      <c r="X87" s="193">
        <v>0</v>
      </c>
      <c r="Y87" s="195">
        <v>0</v>
      </c>
      <c r="Z87" s="193">
        <v>0</v>
      </c>
      <c r="AA87" s="193">
        <v>0</v>
      </c>
      <c r="AB87" s="193">
        <v>0</v>
      </c>
      <c r="AC87" s="195">
        <v>0</v>
      </c>
      <c r="AD87" s="193">
        <v>0</v>
      </c>
      <c r="AE87" s="193">
        <v>0</v>
      </c>
      <c r="AF87" s="193">
        <v>0</v>
      </c>
      <c r="AG87" s="195">
        <v>0</v>
      </c>
      <c r="AH87" s="193">
        <v>0</v>
      </c>
      <c r="AI87" s="193">
        <v>0</v>
      </c>
      <c r="AJ87" s="193">
        <v>0</v>
      </c>
      <c r="AK87" s="195">
        <v>0</v>
      </c>
      <c r="AL87" s="184"/>
      <c r="AM87" s="184"/>
      <c r="AN87" s="184"/>
      <c r="AO87" s="184"/>
      <c r="AP87" s="184"/>
      <c r="AQ87" s="184"/>
    </row>
    <row r="88" spans="1:43">
      <c r="B88" s="201" t="s">
        <v>309</v>
      </c>
      <c r="C88" s="193">
        <v>0</v>
      </c>
      <c r="D88" s="194">
        <v>0</v>
      </c>
      <c r="E88" s="195">
        <v>0</v>
      </c>
      <c r="F88" s="193">
        <v>0</v>
      </c>
      <c r="G88" s="193">
        <v>0</v>
      </c>
      <c r="H88" s="194">
        <v>0</v>
      </c>
      <c r="I88" s="195">
        <v>0</v>
      </c>
      <c r="J88" s="193">
        <v>0</v>
      </c>
      <c r="K88" s="193">
        <v>0</v>
      </c>
      <c r="L88" s="194">
        <v>0</v>
      </c>
      <c r="M88" s="195">
        <v>0</v>
      </c>
      <c r="N88" s="193">
        <v>0</v>
      </c>
      <c r="O88" s="193">
        <v>0</v>
      </c>
      <c r="P88" s="194">
        <v>0</v>
      </c>
      <c r="Q88" s="195">
        <v>0</v>
      </c>
      <c r="R88" s="193">
        <v>0</v>
      </c>
      <c r="S88" s="193">
        <v>0</v>
      </c>
      <c r="T88" s="194">
        <v>0</v>
      </c>
      <c r="U88" s="195">
        <v>0</v>
      </c>
      <c r="V88" s="193">
        <v>0</v>
      </c>
      <c r="W88" s="193">
        <v>0</v>
      </c>
      <c r="X88" s="193">
        <v>0</v>
      </c>
      <c r="Y88" s="195">
        <v>38193</v>
      </c>
      <c r="Z88" s="193">
        <v>38193</v>
      </c>
      <c r="AA88" s="193">
        <v>0</v>
      </c>
      <c r="AB88" s="193"/>
      <c r="AC88" s="195">
        <v>0</v>
      </c>
      <c r="AD88" s="193">
        <v>0</v>
      </c>
      <c r="AE88" s="193">
        <v>0</v>
      </c>
      <c r="AF88" s="193">
        <v>0</v>
      </c>
      <c r="AG88" s="195">
        <v>0</v>
      </c>
      <c r="AH88" s="193">
        <v>0</v>
      </c>
      <c r="AI88" s="193">
        <v>0</v>
      </c>
      <c r="AJ88" s="193">
        <v>0</v>
      </c>
      <c r="AK88" s="195">
        <v>0</v>
      </c>
      <c r="AL88" s="193">
        <v>0</v>
      </c>
      <c r="AM88" s="193">
        <v>0</v>
      </c>
      <c r="AN88" s="193">
        <v>0</v>
      </c>
      <c r="AO88" s="195">
        <v>0</v>
      </c>
      <c r="AP88" s="195">
        <v>0</v>
      </c>
      <c r="AQ88" s="195">
        <v>2</v>
      </c>
    </row>
    <row r="89" spans="1:43" ht="15.75" thickBot="1">
      <c r="A89" s="196"/>
      <c r="B89" s="197" t="s">
        <v>279</v>
      </c>
      <c r="C89" s="198">
        <f t="shared" ref="C89" si="61">SUM(C80:C88)</f>
        <v>-48689</v>
      </c>
      <c r="D89" s="199">
        <f t="shared" ref="D89" si="62">SUM(D80:D88)</f>
        <v>-27920</v>
      </c>
      <c r="E89" s="200">
        <f t="shared" ref="E89" si="63">SUM(E80:E88)</f>
        <v>-544824</v>
      </c>
      <c r="F89" s="198">
        <f t="shared" ref="F89" si="64">SUM(F80:F88)</f>
        <v>295125</v>
      </c>
      <c r="G89" s="198">
        <f t="shared" ref="G89" si="65">SUM(G80:G88)</f>
        <v>68047</v>
      </c>
      <c r="H89" s="199">
        <f t="shared" ref="H89" si="66">SUM(H80:H88)</f>
        <v>370688</v>
      </c>
      <c r="I89" s="200">
        <f t="shared" ref="I89" si="67">SUM(I80:I88)</f>
        <v>171636</v>
      </c>
      <c r="J89" s="198">
        <f t="shared" ref="J89" si="68">SUM(J80:J88)</f>
        <v>-351709</v>
      </c>
      <c r="K89" s="198">
        <f t="shared" ref="K89" si="69">SUM(K80:K88)</f>
        <v>-347683</v>
      </c>
      <c r="L89" s="199">
        <f t="shared" ref="L89:M89" si="70">SUM(L80:L88)</f>
        <v>-125</v>
      </c>
      <c r="M89" s="200">
        <f t="shared" si="70"/>
        <v>-1010712</v>
      </c>
      <c r="N89" s="198">
        <f t="shared" ref="N89" si="71">SUM(N80:N88)</f>
        <v>-1081674</v>
      </c>
      <c r="O89" s="198">
        <f>SUM(O80:O88)</f>
        <v>-410112</v>
      </c>
      <c r="P89" s="199">
        <v>-100719</v>
      </c>
      <c r="Q89" s="200">
        <v>-689399</v>
      </c>
      <c r="R89" s="198">
        <f t="shared" ref="R89:AE89" si="72">SUM(R80:R88)</f>
        <v>-433450</v>
      </c>
      <c r="S89" s="198">
        <f t="shared" si="72"/>
        <v>-322623</v>
      </c>
      <c r="T89" s="199">
        <f t="shared" si="72"/>
        <v>-169783</v>
      </c>
      <c r="U89" s="200">
        <f t="shared" si="72"/>
        <v>-239505</v>
      </c>
      <c r="V89" s="198">
        <f t="shared" si="72"/>
        <v>-140265</v>
      </c>
      <c r="W89" s="198">
        <f t="shared" si="72"/>
        <v>-55346</v>
      </c>
      <c r="X89" s="198">
        <f t="shared" si="72"/>
        <v>-43450</v>
      </c>
      <c r="Y89" s="200">
        <f t="shared" si="72"/>
        <v>-410826</v>
      </c>
      <c r="Z89" s="198">
        <f t="shared" si="72"/>
        <v>-325883</v>
      </c>
      <c r="AA89" s="198">
        <f t="shared" si="72"/>
        <v>-250083</v>
      </c>
      <c r="AB89" s="198">
        <f t="shared" si="72"/>
        <v>-51888</v>
      </c>
      <c r="AC89" s="200">
        <f t="shared" si="72"/>
        <v>-79033</v>
      </c>
      <c r="AD89" s="198">
        <f t="shared" si="72"/>
        <v>126999</v>
      </c>
      <c r="AE89" s="198">
        <f t="shared" si="72"/>
        <v>203334</v>
      </c>
      <c r="AF89" s="198">
        <v>444664</v>
      </c>
      <c r="AG89" s="200">
        <v>-288938</v>
      </c>
      <c r="AH89" s="198">
        <v>-209553</v>
      </c>
      <c r="AI89" s="198">
        <v>-48314</v>
      </c>
      <c r="AJ89" s="198">
        <v>-88821</v>
      </c>
      <c r="AK89" s="200">
        <v>-210542</v>
      </c>
      <c r="AL89" s="198">
        <v>-146639</v>
      </c>
      <c r="AM89" s="198">
        <v>-74589</v>
      </c>
      <c r="AN89" s="198">
        <v>-8109</v>
      </c>
      <c r="AO89" s="200">
        <v>-182815</v>
      </c>
      <c r="AP89" s="200">
        <v>-198614</v>
      </c>
      <c r="AQ89" s="200">
        <v>367387</v>
      </c>
    </row>
    <row r="90" spans="1:43" ht="9" customHeight="1" thickTop="1">
      <c r="B90" s="201"/>
      <c r="C90" s="193"/>
      <c r="D90" s="194"/>
      <c r="E90" s="195"/>
      <c r="F90" s="193"/>
      <c r="G90" s="193"/>
      <c r="H90" s="194"/>
      <c r="I90" s="195"/>
      <c r="J90" s="193"/>
      <c r="K90" s="193"/>
      <c r="L90" s="194"/>
      <c r="M90" s="195"/>
      <c r="N90" s="193"/>
      <c r="O90" s="193"/>
      <c r="P90" s="194"/>
      <c r="Q90" s="195"/>
      <c r="R90" s="193"/>
      <c r="S90" s="193"/>
      <c r="T90" s="194"/>
      <c r="U90" s="195"/>
      <c r="V90" s="193"/>
      <c r="W90" s="193"/>
      <c r="X90" s="193"/>
      <c r="Y90" s="195"/>
      <c r="Z90" s="193"/>
      <c r="AA90" s="193"/>
      <c r="AB90" s="193"/>
      <c r="AC90" s="195"/>
      <c r="AD90" s="193"/>
      <c r="AE90" s="193"/>
      <c r="AF90" s="193"/>
      <c r="AG90" s="195"/>
      <c r="AH90" s="193"/>
      <c r="AI90" s="193"/>
      <c r="AJ90" s="193"/>
      <c r="AK90" s="195"/>
      <c r="AL90" s="193"/>
      <c r="AM90" s="193"/>
      <c r="AN90" s="193"/>
      <c r="AO90" s="195"/>
      <c r="AP90" s="195"/>
      <c r="AQ90" s="195"/>
    </row>
    <row r="91" spans="1:43" ht="15">
      <c r="A91" s="196"/>
      <c r="B91" s="251" t="s">
        <v>280</v>
      </c>
      <c r="C91" s="211">
        <f>C64+C78+C89</f>
        <v>135212</v>
      </c>
      <c r="D91" s="212">
        <f t="shared" ref="D91" si="73">D64+D78+D89</f>
        <v>-155843</v>
      </c>
      <c r="E91" s="213">
        <f>E64+E78+E89</f>
        <v>-292434</v>
      </c>
      <c r="F91" s="211">
        <f>F64+F78+F89</f>
        <v>21234</v>
      </c>
      <c r="G91" s="211">
        <f>G64+G78+G89</f>
        <v>209929</v>
      </c>
      <c r="H91" s="212">
        <f>H64+H78+H89</f>
        <v>512919</v>
      </c>
      <c r="I91" s="213">
        <f>I64+I78+I89</f>
        <v>716619</v>
      </c>
      <c r="J91" s="211">
        <v>286244</v>
      </c>
      <c r="K91" s="211">
        <v>229691</v>
      </c>
      <c r="L91" s="212">
        <v>434981</v>
      </c>
      <c r="M91" s="213">
        <f>M64+M78+M89</f>
        <v>-93426</v>
      </c>
      <c r="N91" s="211">
        <f>N64+N78+N89</f>
        <v>-68295</v>
      </c>
      <c r="O91" s="211">
        <f>O64+O78+O89</f>
        <v>63394</v>
      </c>
      <c r="P91" s="212">
        <v>10326</v>
      </c>
      <c r="Q91" s="213">
        <v>-215599</v>
      </c>
      <c r="R91" s="211">
        <f>R64+R78+R89</f>
        <v>-301034</v>
      </c>
      <c r="S91" s="211">
        <f>S64+S78+S89</f>
        <v>-266149</v>
      </c>
      <c r="T91" s="212">
        <f>T64+T78+T89</f>
        <v>-165569</v>
      </c>
      <c r="U91" s="213">
        <f>U64+U78+U89</f>
        <v>84740</v>
      </c>
      <c r="V91" s="211">
        <v>117534</v>
      </c>
      <c r="W91" s="211">
        <v>185587</v>
      </c>
      <c r="X91" s="211">
        <v>46900</v>
      </c>
      <c r="Y91" s="213">
        <f t="shared" ref="Y91:AD91" si="74">Y64+Y78+Y89</f>
        <v>124215</v>
      </c>
      <c r="Z91" s="211">
        <f t="shared" si="74"/>
        <v>-4124</v>
      </c>
      <c r="AA91" s="211">
        <f t="shared" si="74"/>
        <v>68247</v>
      </c>
      <c r="AB91" s="211">
        <f t="shared" si="74"/>
        <v>62894</v>
      </c>
      <c r="AC91" s="213">
        <f t="shared" si="74"/>
        <v>113305</v>
      </c>
      <c r="AD91" s="211">
        <f t="shared" si="74"/>
        <v>187390</v>
      </c>
      <c r="AE91" s="211">
        <v>39945</v>
      </c>
      <c r="AF91" s="211">
        <v>150333</v>
      </c>
      <c r="AG91" s="213">
        <v>-148358</v>
      </c>
      <c r="AH91" s="211">
        <v>-156727</v>
      </c>
      <c r="AI91" s="211">
        <v>52037</v>
      </c>
      <c r="AJ91" s="211">
        <v>-90894</v>
      </c>
      <c r="AK91" s="213">
        <v>70883</v>
      </c>
      <c r="AL91" s="211">
        <v>-63294</v>
      </c>
      <c r="AM91" s="211">
        <v>-53854</v>
      </c>
      <c r="AN91" s="211">
        <v>19279</v>
      </c>
      <c r="AO91" s="213">
        <v>89194</v>
      </c>
      <c r="AP91" s="213">
        <v>-12188</v>
      </c>
      <c r="AQ91" s="213">
        <v>48479</v>
      </c>
    </row>
    <row r="92" spans="1:43">
      <c r="B92" s="202" t="s">
        <v>282</v>
      </c>
      <c r="C92" s="193">
        <v>486894</v>
      </c>
      <c r="D92" s="194">
        <v>486894</v>
      </c>
      <c r="E92" s="195">
        <v>779328</v>
      </c>
      <c r="F92" s="193">
        <v>779328</v>
      </c>
      <c r="G92" s="193">
        <v>779328</v>
      </c>
      <c r="H92" s="194">
        <v>779328</v>
      </c>
      <c r="I92" s="195">
        <v>62709</v>
      </c>
      <c r="J92" s="193">
        <v>62709</v>
      </c>
      <c r="K92" s="193">
        <v>62709</v>
      </c>
      <c r="L92" s="194">
        <v>62709</v>
      </c>
      <c r="M92" s="195">
        <v>156135</v>
      </c>
      <c r="N92" s="193">
        <f>O92</f>
        <v>156135</v>
      </c>
      <c r="O92" s="193">
        <v>156135</v>
      </c>
      <c r="P92" s="194">
        <v>156135</v>
      </c>
      <c r="Q92" s="195">
        <v>371734</v>
      </c>
      <c r="R92" s="193">
        <v>371734</v>
      </c>
      <c r="S92" s="193">
        <v>371734</v>
      </c>
      <c r="T92" s="194">
        <v>371734</v>
      </c>
      <c r="U92" s="195">
        <f>V92</f>
        <v>286994</v>
      </c>
      <c r="V92" s="193">
        <v>286994</v>
      </c>
      <c r="W92" s="193">
        <v>286994</v>
      </c>
      <c r="X92" s="193">
        <v>286994</v>
      </c>
      <c r="Y92" s="195">
        <f>Z92</f>
        <v>162779</v>
      </c>
      <c r="Z92" s="193">
        <f>AA92</f>
        <v>162779</v>
      </c>
      <c r="AA92" s="193">
        <f>AB92</f>
        <v>162779</v>
      </c>
      <c r="AB92" s="193">
        <v>162779</v>
      </c>
      <c r="AC92" s="195">
        <v>49474</v>
      </c>
      <c r="AD92" s="193">
        <v>49474</v>
      </c>
      <c r="AE92" s="193">
        <v>49474</v>
      </c>
      <c r="AF92" s="193">
        <v>49474</v>
      </c>
      <c r="AG92" s="195">
        <v>197832</v>
      </c>
      <c r="AH92" s="193">
        <v>197832</v>
      </c>
      <c r="AI92" s="193">
        <v>197832</v>
      </c>
      <c r="AJ92" s="193">
        <v>197832</v>
      </c>
      <c r="AK92" s="195">
        <v>126949</v>
      </c>
      <c r="AL92" s="193">
        <v>126949</v>
      </c>
      <c r="AM92" s="193">
        <v>126949</v>
      </c>
      <c r="AN92" s="193">
        <v>126949</v>
      </c>
      <c r="AO92" s="195">
        <v>37755</v>
      </c>
      <c r="AP92" s="195">
        <v>49943</v>
      </c>
      <c r="AQ92" s="195">
        <v>1464</v>
      </c>
    </row>
    <row r="93" spans="1:43" ht="15">
      <c r="A93" s="196"/>
      <c r="B93" s="251" t="s">
        <v>281</v>
      </c>
      <c r="C93" s="211">
        <f>SUM(C91:C92)</f>
        <v>622106</v>
      </c>
      <c r="D93" s="212">
        <f t="shared" ref="D93" si="75">SUM(D91:D92)</f>
        <v>331051</v>
      </c>
      <c r="E93" s="213">
        <f t="shared" ref="E93" si="76">SUM(E91:E92)</f>
        <v>486894</v>
      </c>
      <c r="F93" s="211">
        <f t="shared" ref="F93" si="77">SUM(F91:F92)</f>
        <v>800562</v>
      </c>
      <c r="G93" s="211">
        <f t="shared" ref="G93:L93" si="78">SUM(G91:G92)</f>
        <v>989257</v>
      </c>
      <c r="H93" s="212">
        <f t="shared" si="78"/>
        <v>1292247</v>
      </c>
      <c r="I93" s="213">
        <f t="shared" si="78"/>
        <v>779328</v>
      </c>
      <c r="J93" s="211">
        <f t="shared" si="78"/>
        <v>348953</v>
      </c>
      <c r="K93" s="211">
        <f t="shared" si="78"/>
        <v>292400</v>
      </c>
      <c r="L93" s="212">
        <f t="shared" si="78"/>
        <v>497690</v>
      </c>
      <c r="M93" s="213">
        <f t="shared" ref="M93" si="79">SUM(M91:M92)</f>
        <v>62709</v>
      </c>
      <c r="N93" s="211">
        <f t="shared" ref="N93" si="80">SUM(N91:N92)</f>
        <v>87840</v>
      </c>
      <c r="O93" s="211">
        <f t="shared" ref="O93" si="81">SUM(O91:O92)</f>
        <v>219529</v>
      </c>
      <c r="P93" s="212">
        <v>166461</v>
      </c>
      <c r="Q93" s="213">
        <v>156135</v>
      </c>
      <c r="R93" s="211">
        <f>SUM(R91:R92)</f>
        <v>70700</v>
      </c>
      <c r="S93" s="211">
        <f t="shared" ref="S93" si="82">SUM(S91:S92)</f>
        <v>105585</v>
      </c>
      <c r="T93" s="212">
        <f>SUM(T91:T92)</f>
        <v>206165</v>
      </c>
      <c r="U93" s="213">
        <f>SUM(U91:U92)</f>
        <v>371734</v>
      </c>
      <c r="V93" s="211">
        <v>404528</v>
      </c>
      <c r="W93" s="211">
        <v>472581</v>
      </c>
      <c r="X93" s="211">
        <v>333894</v>
      </c>
      <c r="Y93" s="213">
        <f t="shared" ref="Y93" si="83">SUM(Y91:Y92)</f>
        <v>286994</v>
      </c>
      <c r="Z93" s="211">
        <f t="shared" ref="Z93" si="84">SUM(Z91:Z92)</f>
        <v>158655</v>
      </c>
      <c r="AA93" s="211">
        <f t="shared" ref="AA93:AE93" si="85">SUM(AA91:AA92)</f>
        <v>231026</v>
      </c>
      <c r="AB93" s="211">
        <f t="shared" si="85"/>
        <v>225673</v>
      </c>
      <c r="AC93" s="213">
        <f t="shared" si="85"/>
        <v>162779</v>
      </c>
      <c r="AD93" s="211">
        <f t="shared" si="85"/>
        <v>236864</v>
      </c>
      <c r="AE93" s="211">
        <f t="shared" si="85"/>
        <v>89419</v>
      </c>
      <c r="AF93" s="211">
        <v>199807</v>
      </c>
      <c r="AG93" s="213">
        <v>49474</v>
      </c>
      <c r="AH93" s="211">
        <v>41105</v>
      </c>
      <c r="AI93" s="211">
        <v>249869</v>
      </c>
      <c r="AJ93" s="211">
        <v>106938</v>
      </c>
      <c r="AK93" s="213">
        <v>197832</v>
      </c>
      <c r="AL93" s="211">
        <v>63655</v>
      </c>
      <c r="AM93" s="211">
        <v>73095</v>
      </c>
      <c r="AN93" s="211">
        <v>146228</v>
      </c>
      <c r="AO93" s="213">
        <v>126949</v>
      </c>
      <c r="AP93" s="213">
        <v>37755</v>
      </c>
      <c r="AQ93" s="213">
        <v>49943</v>
      </c>
    </row>
    <row r="94" spans="1:43" ht="12.7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3"/>
      <c r="AF94" s="253"/>
      <c r="AG94" s="252"/>
      <c r="AH94" s="253"/>
      <c r="AI94" s="253"/>
      <c r="AJ94" s="253"/>
      <c r="AK94" s="252"/>
      <c r="AL94" s="253"/>
      <c r="AM94" s="253"/>
      <c r="AN94" s="253"/>
      <c r="AO94" s="252"/>
      <c r="AP94" s="252"/>
      <c r="AQ94" s="252"/>
    </row>
    <row r="95" spans="1:43" ht="12.75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4"/>
      <c r="AF95" s="254"/>
      <c r="AG95" s="252"/>
      <c r="AH95" s="254"/>
      <c r="AI95" s="254"/>
      <c r="AJ95" s="254"/>
      <c r="AK95" s="252"/>
      <c r="AL95" s="254"/>
      <c r="AM95" s="254"/>
      <c r="AN95" s="254"/>
      <c r="AO95" s="252"/>
      <c r="AP95" s="252"/>
      <c r="AQ95" s="252"/>
    </row>
  </sheetData>
  <mergeCells count="43">
    <mergeCell ref="C10:C11"/>
    <mergeCell ref="AQ10:AQ11"/>
    <mergeCell ref="B10:B11"/>
    <mergeCell ref="AP10:AP11"/>
    <mergeCell ref="AJ10:AJ11"/>
    <mergeCell ref="AO10:AO11"/>
    <mergeCell ref="AE10:AE11"/>
    <mergeCell ref="AD10:AD11"/>
    <mergeCell ref="X10:X11"/>
    <mergeCell ref="AF10:AF11"/>
    <mergeCell ref="AN10:AN11"/>
    <mergeCell ref="AG10:AG11"/>
    <mergeCell ref="AC10:AC11"/>
    <mergeCell ref="AM10:AM11"/>
    <mergeCell ref="AK10:AK11"/>
    <mergeCell ref="AL10:AL11"/>
    <mergeCell ref="B7:B8"/>
    <mergeCell ref="AH10:AH11"/>
    <mergeCell ref="Y10:Y11"/>
    <mergeCell ref="Z10:Z11"/>
    <mergeCell ref="AA10:AA11"/>
    <mergeCell ref="AB10:AB11"/>
    <mergeCell ref="P10:P11"/>
    <mergeCell ref="R10:R11"/>
    <mergeCell ref="U10:U11"/>
    <mergeCell ref="V10:V11"/>
    <mergeCell ref="S10:S11"/>
    <mergeCell ref="T10:T11"/>
    <mergeCell ref="M10:M11"/>
    <mergeCell ref="Q10:Q11"/>
    <mergeCell ref="L10:L11"/>
    <mergeCell ref="E10:E11"/>
    <mergeCell ref="D10:D11"/>
    <mergeCell ref="G10:G11"/>
    <mergeCell ref="I10:I11"/>
    <mergeCell ref="H10:H11"/>
    <mergeCell ref="AI10:AI11"/>
    <mergeCell ref="N10:N11"/>
    <mergeCell ref="O10:O11"/>
    <mergeCell ref="W10:W11"/>
    <mergeCell ref="J10:J11"/>
    <mergeCell ref="K10:K11"/>
    <mergeCell ref="F10:F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K10 AG10 AO10 AP1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G77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5.7109375" style="2" customWidth="1"/>
    <col min="3" max="4" width="9.85546875" style="2" bestFit="1" customWidth="1"/>
    <col min="5" max="5" width="11.5703125" style="2" bestFit="1" customWidth="1"/>
    <col min="6" max="9" width="9.85546875" style="2" bestFit="1" customWidth="1"/>
    <col min="10" max="10" width="11.5703125" style="2" bestFit="1" customWidth="1"/>
    <col min="11" max="14" width="9.85546875" style="2" bestFit="1" customWidth="1"/>
    <col min="15" max="15" width="11.5703125" style="2" bestFit="1" customWidth="1"/>
    <col min="16" max="16" width="9.85546875" style="2" bestFit="1" customWidth="1"/>
    <col min="17" max="27" width="11.140625" style="2" customWidth="1"/>
    <col min="28" max="28" width="10.7109375" style="2" customWidth="1"/>
    <col min="29" max="30" width="11.140625" style="2" customWidth="1"/>
    <col min="31" max="34" width="10.7109375" style="2" customWidth="1"/>
    <col min="35" max="35" width="11.140625" style="2" customWidth="1"/>
    <col min="36" max="36" width="9.7109375" style="2" customWidth="1"/>
    <col min="37" max="37" width="9.85546875" style="2" bestFit="1" customWidth="1"/>
    <col min="38" max="39" width="10" style="284" bestFit="1" customWidth="1"/>
    <col min="40" max="40" width="11.140625" style="2" customWidth="1"/>
    <col min="41" max="41" width="9.85546875" style="284" customWidth="1"/>
    <col min="42" max="44" width="10" style="284" bestFit="1" customWidth="1"/>
    <col min="45" max="45" width="11.140625" style="2" customWidth="1"/>
    <col min="46" max="49" width="10" style="284" bestFit="1" customWidth="1"/>
    <col min="50" max="51" width="11.140625" style="2" customWidth="1"/>
    <col min="52" max="52" width="8.7109375" style="2" bestFit="1" customWidth="1"/>
    <col min="53" max="54" width="9.85546875" style="2" bestFit="1" customWidth="1"/>
    <col min="55" max="55" width="9.42578125" style="2" bestFit="1" customWidth="1"/>
    <col min="56" max="56" width="8.28515625" style="2" bestFit="1" customWidth="1"/>
    <col min="57" max="57" width="8.7109375" style="2" bestFit="1" customWidth="1"/>
    <col min="58" max="59" width="8.5703125" style="2" bestFit="1" customWidth="1"/>
    <col min="60" max="16384" width="9.140625" style="2"/>
  </cols>
  <sheetData>
    <row r="1" spans="2:59" s="181" customFormat="1" ht="9" customHeight="1">
      <c r="O1" s="409"/>
      <c r="P1" s="409"/>
      <c r="AL1" s="183"/>
      <c r="AM1" s="183"/>
      <c r="AO1" s="183"/>
      <c r="AP1" s="183"/>
      <c r="AQ1" s="183"/>
      <c r="AR1" s="183"/>
      <c r="AT1" s="183"/>
      <c r="AU1" s="183"/>
      <c r="AV1" s="183"/>
      <c r="AW1" s="183"/>
      <c r="AZ1" s="255"/>
      <c r="BA1" s="255"/>
      <c r="BB1" s="255"/>
      <c r="BC1" s="255"/>
      <c r="BD1" s="255"/>
      <c r="BE1" s="255"/>
      <c r="BF1" s="255"/>
      <c r="BG1" s="255"/>
    </row>
    <row r="2" spans="2:59" s="181" customFormat="1" ht="15.75" customHeight="1">
      <c r="O2" s="409"/>
      <c r="P2" s="409"/>
      <c r="AL2" s="183"/>
      <c r="AM2" s="183"/>
      <c r="AO2" s="183"/>
      <c r="AP2" s="183"/>
      <c r="AQ2" s="183"/>
      <c r="AR2" s="183"/>
      <c r="AT2" s="183"/>
      <c r="AU2" s="183"/>
      <c r="AV2" s="183"/>
      <c r="AW2" s="183"/>
      <c r="AZ2" s="255"/>
      <c r="BA2" s="255"/>
      <c r="BB2" s="255"/>
      <c r="BC2" s="255"/>
      <c r="BD2" s="255"/>
      <c r="BE2" s="255"/>
      <c r="BF2" s="255"/>
      <c r="BG2" s="255"/>
    </row>
    <row r="3" spans="2:59" s="181" customFormat="1" ht="15.75" customHeight="1">
      <c r="O3" s="409"/>
      <c r="P3" s="409"/>
      <c r="AL3" s="183"/>
      <c r="AM3" s="183"/>
      <c r="AO3" s="183"/>
      <c r="AP3" s="183"/>
      <c r="AQ3" s="183"/>
      <c r="AR3" s="183"/>
      <c r="AT3" s="183"/>
      <c r="AU3" s="183"/>
      <c r="AV3" s="183"/>
      <c r="AW3" s="183"/>
      <c r="AZ3" s="255"/>
      <c r="BA3" s="255"/>
      <c r="BB3" s="255"/>
      <c r="BC3" s="255"/>
      <c r="BD3" s="255"/>
      <c r="BE3" s="255"/>
      <c r="BF3" s="255"/>
      <c r="BG3" s="255"/>
    </row>
    <row r="4" spans="2:59" s="181" customFormat="1" ht="15.75" customHeight="1">
      <c r="O4" s="409"/>
      <c r="P4" s="409"/>
      <c r="AL4" s="183"/>
      <c r="AM4" s="183"/>
      <c r="AO4" s="183"/>
      <c r="AP4" s="183"/>
      <c r="AQ4" s="183"/>
      <c r="AR4" s="183"/>
      <c r="AT4" s="183"/>
      <c r="AU4" s="183"/>
      <c r="AV4" s="183"/>
      <c r="AW4" s="183"/>
      <c r="AZ4" s="255"/>
      <c r="BA4" s="255"/>
      <c r="BB4" s="255"/>
      <c r="BC4" s="255"/>
      <c r="BD4" s="255"/>
      <c r="BE4" s="255"/>
      <c r="BF4" s="255"/>
      <c r="BG4" s="255"/>
    </row>
    <row r="5" spans="2:59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410"/>
      <c r="P5" s="410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7"/>
      <c r="AM5" s="257"/>
      <c r="AN5" s="256"/>
      <c r="AO5" s="257"/>
      <c r="AP5" s="257"/>
      <c r="AQ5" s="257"/>
      <c r="AR5" s="257"/>
      <c r="AS5" s="256"/>
      <c r="AT5" s="257"/>
      <c r="AU5" s="257"/>
      <c r="AV5" s="257"/>
      <c r="AW5" s="257"/>
      <c r="AX5" s="256"/>
      <c r="AY5" s="256"/>
    </row>
    <row r="6" spans="2:59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410"/>
      <c r="P6" s="410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7"/>
      <c r="AM6" s="257"/>
      <c r="AN6" s="256"/>
      <c r="AO6" s="257"/>
      <c r="AP6" s="257"/>
      <c r="AQ6" s="257"/>
      <c r="AR6" s="257"/>
      <c r="AS6" s="256"/>
      <c r="AT6" s="257"/>
      <c r="AU6" s="257"/>
      <c r="AV6" s="257"/>
      <c r="AW6" s="257"/>
      <c r="AX6" s="256"/>
      <c r="AY6" s="256"/>
    </row>
    <row r="7" spans="2:59" s="181" customFormat="1" ht="15" customHeight="1">
      <c r="B7" s="450" t="s">
        <v>383</v>
      </c>
      <c r="C7" s="443"/>
      <c r="D7" s="440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411"/>
      <c r="P7" s="411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232"/>
      <c r="AM7" s="232"/>
      <c r="AN7" s="189"/>
      <c r="AO7" s="232"/>
      <c r="AP7" s="232"/>
      <c r="AQ7" s="232"/>
      <c r="AR7" s="232"/>
      <c r="AS7" s="189"/>
      <c r="AT7" s="232"/>
      <c r="AU7" s="232"/>
      <c r="AV7" s="232"/>
      <c r="AW7" s="232"/>
      <c r="AX7" s="189"/>
      <c r="AY7" s="189"/>
      <c r="AZ7" s="255"/>
      <c r="BA7" s="255"/>
      <c r="BB7" s="255"/>
      <c r="BC7" s="255"/>
      <c r="BD7" s="255"/>
      <c r="BE7" s="255"/>
      <c r="BF7" s="255"/>
      <c r="BG7" s="255"/>
    </row>
    <row r="8" spans="2:59" s="181" customFormat="1" ht="15" customHeight="1">
      <c r="B8" s="450"/>
      <c r="C8" s="443"/>
      <c r="D8" s="440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411"/>
      <c r="P8" s="411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232"/>
      <c r="AM8" s="232"/>
      <c r="AN8" s="189"/>
      <c r="AO8" s="232"/>
      <c r="AP8" s="232"/>
      <c r="AQ8" s="232"/>
      <c r="AR8" s="232"/>
      <c r="AS8" s="189"/>
      <c r="AT8" s="232"/>
      <c r="AU8" s="232"/>
      <c r="AV8" s="232"/>
      <c r="AW8" s="232"/>
      <c r="AX8" s="189"/>
      <c r="AY8" s="189"/>
      <c r="AZ8" s="255"/>
      <c r="BA8" s="255"/>
      <c r="BB8" s="255"/>
      <c r="BC8" s="255"/>
      <c r="BD8" s="255"/>
      <c r="BE8" s="255"/>
      <c r="BF8" s="255"/>
      <c r="BG8" s="255"/>
    </row>
    <row r="9" spans="2:59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410"/>
      <c r="P9" s="410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7"/>
      <c r="AM9" s="257"/>
      <c r="AN9" s="256"/>
      <c r="AO9" s="257"/>
      <c r="AP9" s="257"/>
      <c r="AQ9" s="257"/>
      <c r="AR9" s="257"/>
      <c r="AS9" s="256"/>
      <c r="AT9" s="257"/>
      <c r="AU9" s="257"/>
      <c r="AV9" s="257"/>
      <c r="AW9" s="257"/>
      <c r="AX9" s="256"/>
      <c r="AY9" s="256"/>
    </row>
    <row r="10" spans="2:59" s="259" customFormat="1" ht="15" customHeight="1">
      <c r="B10" s="458" t="s">
        <v>163</v>
      </c>
      <c r="C10" s="465" t="s">
        <v>447</v>
      </c>
      <c r="D10" s="469" t="s">
        <v>444</v>
      </c>
      <c r="E10" s="467">
        <v>2024</v>
      </c>
      <c r="F10" s="465" t="s">
        <v>436</v>
      </c>
      <c r="G10" s="465" t="s">
        <v>432</v>
      </c>
      <c r="H10" s="465" t="s">
        <v>429</v>
      </c>
      <c r="I10" s="469" t="s">
        <v>420</v>
      </c>
      <c r="J10" s="467">
        <v>2023</v>
      </c>
      <c r="K10" s="465" t="s">
        <v>410</v>
      </c>
      <c r="L10" s="465" t="s">
        <v>404</v>
      </c>
      <c r="M10" s="465" t="s">
        <v>401</v>
      </c>
      <c r="N10" s="469" t="s">
        <v>394</v>
      </c>
      <c r="O10" s="467">
        <v>2022</v>
      </c>
      <c r="P10" s="465" t="s">
        <v>391</v>
      </c>
      <c r="Q10" s="465" t="s">
        <v>385</v>
      </c>
      <c r="R10" s="465" t="s">
        <v>365</v>
      </c>
      <c r="S10" s="469" t="s">
        <v>363</v>
      </c>
      <c r="T10" s="467">
        <v>2021</v>
      </c>
      <c r="U10" s="465" t="s">
        <v>357</v>
      </c>
      <c r="V10" s="465" t="s">
        <v>351</v>
      </c>
      <c r="W10" s="465" t="s">
        <v>347</v>
      </c>
      <c r="X10" s="469" t="s">
        <v>344</v>
      </c>
      <c r="Y10" s="467">
        <v>2020</v>
      </c>
      <c r="Z10" s="465" t="s">
        <v>341</v>
      </c>
      <c r="AA10" s="465" t="s">
        <v>337</v>
      </c>
      <c r="AB10" s="465" t="s">
        <v>331</v>
      </c>
      <c r="AC10" s="449" t="s">
        <v>329</v>
      </c>
      <c r="AD10" s="467">
        <v>2019</v>
      </c>
      <c r="AE10" s="465" t="s">
        <v>328</v>
      </c>
      <c r="AF10" s="465" t="s">
        <v>325</v>
      </c>
      <c r="AG10" s="465" t="s">
        <v>315</v>
      </c>
      <c r="AH10" s="465" t="s">
        <v>311</v>
      </c>
      <c r="AI10" s="467">
        <v>2018</v>
      </c>
      <c r="AJ10" s="465" t="s">
        <v>307</v>
      </c>
      <c r="AK10" s="465" t="s">
        <v>164</v>
      </c>
      <c r="AL10" s="465" t="s">
        <v>166</v>
      </c>
      <c r="AM10" s="465" t="s">
        <v>167</v>
      </c>
      <c r="AN10" s="467">
        <v>2017</v>
      </c>
      <c r="AO10" s="465" t="s">
        <v>168</v>
      </c>
      <c r="AP10" s="465" t="s">
        <v>169</v>
      </c>
      <c r="AQ10" s="465" t="s">
        <v>171</v>
      </c>
      <c r="AR10" s="465" t="s">
        <v>172</v>
      </c>
      <c r="AS10" s="467">
        <v>2016</v>
      </c>
      <c r="AT10" s="465" t="s">
        <v>173</v>
      </c>
      <c r="AU10" s="465" t="s">
        <v>174</v>
      </c>
      <c r="AV10" s="465" t="s">
        <v>176</v>
      </c>
      <c r="AW10" s="465" t="s">
        <v>177</v>
      </c>
      <c r="AX10" s="467">
        <v>2015</v>
      </c>
      <c r="AY10" s="467">
        <v>2014</v>
      </c>
      <c r="AZ10" s="385"/>
      <c r="BA10" s="258"/>
      <c r="BB10" s="258"/>
      <c r="BC10" s="258"/>
      <c r="BD10" s="258"/>
      <c r="BE10" s="258"/>
      <c r="BF10" s="258"/>
      <c r="BG10" s="258"/>
    </row>
    <row r="11" spans="2:59" s="259" customFormat="1" ht="15" customHeight="1">
      <c r="B11" s="455"/>
      <c r="C11" s="466"/>
      <c r="D11" s="470"/>
      <c r="E11" s="468"/>
      <c r="F11" s="466"/>
      <c r="G11" s="466"/>
      <c r="H11" s="466"/>
      <c r="I11" s="470"/>
      <c r="J11" s="468"/>
      <c r="K11" s="466"/>
      <c r="L11" s="466"/>
      <c r="M11" s="466"/>
      <c r="N11" s="470"/>
      <c r="O11" s="468"/>
      <c r="P11" s="466"/>
      <c r="Q11" s="466"/>
      <c r="R11" s="466"/>
      <c r="S11" s="470"/>
      <c r="T11" s="468"/>
      <c r="U11" s="466"/>
      <c r="V11" s="466"/>
      <c r="W11" s="466"/>
      <c r="X11" s="470"/>
      <c r="Y11" s="468"/>
      <c r="Z11" s="466"/>
      <c r="AA11" s="466"/>
      <c r="AB11" s="466"/>
      <c r="AC11" s="449"/>
      <c r="AD11" s="468"/>
      <c r="AE11" s="466"/>
      <c r="AF11" s="466"/>
      <c r="AG11" s="466"/>
      <c r="AH11" s="466"/>
      <c r="AI11" s="468"/>
      <c r="AJ11" s="466"/>
      <c r="AK11" s="466"/>
      <c r="AL11" s="466"/>
      <c r="AM11" s="466"/>
      <c r="AN11" s="468"/>
      <c r="AO11" s="466"/>
      <c r="AP11" s="466"/>
      <c r="AQ11" s="466"/>
      <c r="AR11" s="466"/>
      <c r="AS11" s="468"/>
      <c r="AT11" s="466"/>
      <c r="AU11" s="466"/>
      <c r="AV11" s="466"/>
      <c r="AW11" s="466"/>
      <c r="AX11" s="468"/>
      <c r="AY11" s="468"/>
      <c r="AZ11" s="385"/>
      <c r="BA11" s="258"/>
      <c r="BB11" s="258"/>
      <c r="BC11" s="258"/>
      <c r="BD11" s="258"/>
      <c r="BE11" s="258"/>
      <c r="BF11" s="258"/>
      <c r="BG11" s="258"/>
    </row>
    <row r="12" spans="2:59" s="265" customFormat="1" ht="15" customHeight="1">
      <c r="B12" s="260" t="s">
        <v>288</v>
      </c>
      <c r="C12" s="386">
        <v>233228</v>
      </c>
      <c r="D12" s="387">
        <v>151382</v>
      </c>
      <c r="E12" s="388">
        <v>555596</v>
      </c>
      <c r="F12" s="386">
        <v>292257</v>
      </c>
      <c r="G12" s="386">
        <v>118573</v>
      </c>
      <c r="H12" s="386">
        <v>88774</v>
      </c>
      <c r="I12" s="387">
        <v>55992</v>
      </c>
      <c r="J12" s="388">
        <v>787508</v>
      </c>
      <c r="K12" s="386">
        <v>160153</v>
      </c>
      <c r="L12" s="386">
        <v>189909</v>
      </c>
      <c r="M12" s="386">
        <v>185677</v>
      </c>
      <c r="N12" s="387">
        <v>251769</v>
      </c>
      <c r="O12" s="388">
        <v>1325920</v>
      </c>
      <c r="P12" s="386">
        <v>148113</v>
      </c>
      <c r="Q12" s="386">
        <v>197841</v>
      </c>
      <c r="R12" s="386">
        <v>534570</v>
      </c>
      <c r="S12" s="387">
        <v>445396</v>
      </c>
      <c r="T12" s="388">
        <v>1984764</v>
      </c>
      <c r="U12" s="386">
        <v>683964</v>
      </c>
      <c r="V12" s="386">
        <v>778180</v>
      </c>
      <c r="W12" s="386">
        <v>245073</v>
      </c>
      <c r="X12" s="387">
        <v>277547</v>
      </c>
      <c r="Y12" s="388">
        <v>367666</v>
      </c>
      <c r="Z12" s="386">
        <v>285139</v>
      </c>
      <c r="AA12" s="386">
        <v>154877</v>
      </c>
      <c r="AB12" s="386">
        <v>19869</v>
      </c>
      <c r="AC12" s="386">
        <v>-92219</v>
      </c>
      <c r="AD12" s="388">
        <v>173505</v>
      </c>
      <c r="AE12" s="386">
        <v>119306</v>
      </c>
      <c r="AF12" s="386">
        <v>-12593</v>
      </c>
      <c r="AG12" s="386">
        <v>10510</v>
      </c>
      <c r="AH12" s="386">
        <v>56283</v>
      </c>
      <c r="AI12" s="388">
        <v>528040</v>
      </c>
      <c r="AJ12" s="261">
        <v>153808</v>
      </c>
      <c r="AK12" s="261">
        <v>144603</v>
      </c>
      <c r="AL12" s="261">
        <v>71123</v>
      </c>
      <c r="AM12" s="261">
        <v>158506</v>
      </c>
      <c r="AN12" s="388">
        <v>302657.40000000002</v>
      </c>
      <c r="AO12" s="261">
        <v>109837.2</v>
      </c>
      <c r="AP12" s="261">
        <v>132979</v>
      </c>
      <c r="AQ12" s="261">
        <v>25376</v>
      </c>
      <c r="AR12" s="261">
        <v>34466</v>
      </c>
      <c r="AS12" s="388">
        <v>280836</v>
      </c>
      <c r="AT12" s="261">
        <v>214963</v>
      </c>
      <c r="AU12" s="261">
        <v>19282</v>
      </c>
      <c r="AV12" s="261">
        <v>10422</v>
      </c>
      <c r="AW12" s="261">
        <v>36169</v>
      </c>
      <c r="AX12" s="388">
        <v>87833</v>
      </c>
      <c r="AY12" s="388">
        <v>65591</v>
      </c>
      <c r="AZ12" s="264"/>
      <c r="BA12" s="264"/>
      <c r="BB12" s="264"/>
      <c r="BC12" s="264"/>
      <c r="BD12" s="264"/>
      <c r="BE12" s="264"/>
      <c r="BF12" s="264"/>
      <c r="BG12" s="264"/>
    </row>
    <row r="13" spans="2:59" s="265" customFormat="1" ht="15" customHeight="1">
      <c r="B13" s="266" t="s">
        <v>290</v>
      </c>
      <c r="C13" s="267">
        <v>66647</v>
      </c>
      <c r="D13" s="268">
        <v>25541</v>
      </c>
      <c r="E13" s="269">
        <v>143514</v>
      </c>
      <c r="F13" s="267">
        <v>83988</v>
      </c>
      <c r="G13" s="267">
        <v>18322</v>
      </c>
      <c r="H13" s="267">
        <v>18589</v>
      </c>
      <c r="I13" s="268">
        <v>22617</v>
      </c>
      <c r="J13" s="269">
        <v>151583</v>
      </c>
      <c r="K13" s="267">
        <v>6882</v>
      </c>
      <c r="L13" s="267">
        <v>10876</v>
      </c>
      <c r="M13" s="267">
        <v>54999</v>
      </c>
      <c r="N13" s="268">
        <v>78826</v>
      </c>
      <c r="O13" s="269">
        <v>323793</v>
      </c>
      <c r="P13" s="267">
        <v>53404</v>
      </c>
      <c r="Q13" s="267">
        <v>93919</v>
      </c>
      <c r="R13" s="267">
        <v>104551</v>
      </c>
      <c r="S13" s="268">
        <v>71919</v>
      </c>
      <c r="T13" s="269">
        <v>365907</v>
      </c>
      <c r="U13" s="267">
        <v>200350</v>
      </c>
      <c r="V13" s="267">
        <v>73035</v>
      </c>
      <c r="W13" s="267">
        <v>60750</v>
      </c>
      <c r="X13" s="268">
        <v>31772</v>
      </c>
      <c r="Y13" s="269">
        <v>96823</v>
      </c>
      <c r="Z13" s="267">
        <v>13696</v>
      </c>
      <c r="AA13" s="267">
        <v>33199</v>
      </c>
      <c r="AB13" s="267">
        <v>31606</v>
      </c>
      <c r="AC13" s="267">
        <v>18322</v>
      </c>
      <c r="AD13" s="269">
        <v>97199</v>
      </c>
      <c r="AE13" s="267">
        <v>8769</v>
      </c>
      <c r="AF13" s="267">
        <v>26021</v>
      </c>
      <c r="AG13" s="267">
        <v>38573</v>
      </c>
      <c r="AH13" s="267">
        <v>23834</v>
      </c>
      <c r="AI13" s="269">
        <v>139359</v>
      </c>
      <c r="AJ13" s="267">
        <v>8111</v>
      </c>
      <c r="AK13" s="267">
        <v>34403</v>
      </c>
      <c r="AL13" s="267">
        <v>38544</v>
      </c>
      <c r="AM13" s="267">
        <v>58301</v>
      </c>
      <c r="AN13" s="269">
        <v>14213.6</v>
      </c>
      <c r="AO13" s="267">
        <v>-47079.9</v>
      </c>
      <c r="AP13" s="267">
        <v>6040.9</v>
      </c>
      <c r="AQ13" s="267">
        <v>25217</v>
      </c>
      <c r="AR13" s="267">
        <v>30036</v>
      </c>
      <c r="AS13" s="269">
        <v>187771</v>
      </c>
      <c r="AT13" s="267">
        <v>147297</v>
      </c>
      <c r="AU13" s="267">
        <v>14010</v>
      </c>
      <c r="AV13" s="267">
        <v>10256</v>
      </c>
      <c r="AW13" s="267">
        <v>16208</v>
      </c>
      <c r="AX13" s="269">
        <v>9031</v>
      </c>
      <c r="AY13" s="269">
        <v>9205</v>
      </c>
      <c r="AZ13" s="270"/>
      <c r="BA13" s="270"/>
      <c r="BB13" s="270"/>
      <c r="BC13" s="270"/>
      <c r="BD13" s="270"/>
      <c r="BE13" s="270"/>
      <c r="BF13" s="270"/>
      <c r="BG13" s="270"/>
    </row>
    <row r="14" spans="2:59" s="265" customFormat="1" ht="15" customHeight="1">
      <c r="B14" s="271" t="s">
        <v>289</v>
      </c>
      <c r="C14" s="267">
        <v>55160</v>
      </c>
      <c r="D14" s="268">
        <v>109315</v>
      </c>
      <c r="E14" s="269">
        <v>175002</v>
      </c>
      <c r="F14" s="267">
        <v>33636</v>
      </c>
      <c r="G14" s="267">
        <v>77135</v>
      </c>
      <c r="H14" s="267">
        <v>43768</v>
      </c>
      <c r="I14" s="268">
        <v>20463</v>
      </c>
      <c r="J14" s="269">
        <v>164298</v>
      </c>
      <c r="K14" s="267">
        <v>38935</v>
      </c>
      <c r="L14" s="267">
        <v>34309</v>
      </c>
      <c r="M14" s="267">
        <v>46704</v>
      </c>
      <c r="N14" s="268">
        <v>44350</v>
      </c>
      <c r="O14" s="269">
        <v>133854</v>
      </c>
      <c r="P14" s="267">
        <v>52776</v>
      </c>
      <c r="Q14" s="267">
        <v>6113</v>
      </c>
      <c r="R14" s="267">
        <v>-164</v>
      </c>
      <c r="S14" s="268">
        <v>75129</v>
      </c>
      <c r="T14" s="269">
        <v>-6728</v>
      </c>
      <c r="U14" s="267">
        <v>19886</v>
      </c>
      <c r="V14" s="267">
        <v>-5697</v>
      </c>
      <c r="W14" s="267">
        <v>-11021</v>
      </c>
      <c r="X14" s="268">
        <v>-9896</v>
      </c>
      <c r="Y14" s="269">
        <v>-39822</v>
      </c>
      <c r="Z14" s="267">
        <v>16188</v>
      </c>
      <c r="AA14" s="267">
        <v>813</v>
      </c>
      <c r="AB14" s="267">
        <v>-8379</v>
      </c>
      <c r="AC14" s="267">
        <v>-48444</v>
      </c>
      <c r="AD14" s="269">
        <v>-19118</v>
      </c>
      <c r="AE14" s="267">
        <v>10580</v>
      </c>
      <c r="AF14" s="267">
        <v>-5493</v>
      </c>
      <c r="AG14" s="267">
        <v>-34175</v>
      </c>
      <c r="AH14" s="267">
        <v>9971</v>
      </c>
      <c r="AI14" s="269">
        <v>46486</v>
      </c>
      <c r="AJ14" s="267">
        <v>7809</v>
      </c>
      <c r="AK14" s="267">
        <v>12118</v>
      </c>
      <c r="AL14" s="267">
        <v>15455</v>
      </c>
      <c r="AM14" s="267">
        <v>11104</v>
      </c>
      <c r="AN14" s="269">
        <v>33460.300000000003</v>
      </c>
      <c r="AO14" s="267">
        <v>14348.1</v>
      </c>
      <c r="AP14" s="267">
        <v>6385</v>
      </c>
      <c r="AQ14" s="267">
        <v>3138</v>
      </c>
      <c r="AR14" s="267">
        <v>9588.4</v>
      </c>
      <c r="AS14" s="269">
        <v>99759</v>
      </c>
      <c r="AT14" s="267">
        <v>49978</v>
      </c>
      <c r="AU14" s="267">
        <v>13950</v>
      </c>
      <c r="AV14" s="267">
        <v>25662</v>
      </c>
      <c r="AW14" s="267">
        <v>10169</v>
      </c>
      <c r="AX14" s="269">
        <v>60868</v>
      </c>
      <c r="AY14" s="269">
        <v>61494</v>
      </c>
      <c r="AZ14" s="270"/>
      <c r="BA14" s="270"/>
      <c r="BB14" s="270"/>
      <c r="BC14" s="270"/>
      <c r="BD14" s="270"/>
      <c r="BE14" s="270"/>
      <c r="BF14" s="270"/>
      <c r="BG14" s="270"/>
    </row>
    <row r="15" spans="2:59" s="265" customFormat="1" ht="15" customHeight="1">
      <c r="B15" s="271" t="s">
        <v>291</v>
      </c>
      <c r="C15" s="272">
        <v>35436</v>
      </c>
      <c r="D15" s="389">
        <v>35622</v>
      </c>
      <c r="E15" s="390">
        <v>138442</v>
      </c>
      <c r="F15" s="272">
        <v>34930</v>
      </c>
      <c r="G15" s="272">
        <v>35416</v>
      </c>
      <c r="H15" s="272">
        <v>33607</v>
      </c>
      <c r="I15" s="389">
        <v>34490</v>
      </c>
      <c r="J15" s="390">
        <v>118185</v>
      </c>
      <c r="K15" s="272">
        <v>47832</v>
      </c>
      <c r="L15" s="272">
        <v>24200</v>
      </c>
      <c r="M15" s="272">
        <v>23121</v>
      </c>
      <c r="N15" s="389">
        <v>23032</v>
      </c>
      <c r="O15" s="390">
        <v>95665</v>
      </c>
      <c r="P15" s="272">
        <v>24122</v>
      </c>
      <c r="Q15" s="272">
        <v>23856</v>
      </c>
      <c r="R15" s="272">
        <v>23931</v>
      </c>
      <c r="S15" s="389">
        <v>23756</v>
      </c>
      <c r="T15" s="390">
        <v>90086</v>
      </c>
      <c r="U15" s="272">
        <v>24923</v>
      </c>
      <c r="V15" s="272">
        <v>21762</v>
      </c>
      <c r="W15" s="272">
        <v>21699</v>
      </c>
      <c r="X15" s="389">
        <v>21702</v>
      </c>
      <c r="Y15" s="390">
        <v>87448</v>
      </c>
      <c r="Z15" s="272">
        <v>21893</v>
      </c>
      <c r="AA15" s="272">
        <v>21875</v>
      </c>
      <c r="AB15" s="272">
        <v>21842</v>
      </c>
      <c r="AC15" s="272">
        <v>21839</v>
      </c>
      <c r="AD15" s="390">
        <v>92552</v>
      </c>
      <c r="AE15" s="272">
        <v>25486</v>
      </c>
      <c r="AF15" s="272">
        <v>21747</v>
      </c>
      <c r="AG15" s="272">
        <v>22211</v>
      </c>
      <c r="AH15" s="272">
        <v>23105</v>
      </c>
      <c r="AI15" s="390">
        <v>95858</v>
      </c>
      <c r="AJ15" s="272">
        <v>24836</v>
      </c>
      <c r="AK15" s="272">
        <v>35857</v>
      </c>
      <c r="AL15" s="272">
        <v>17628</v>
      </c>
      <c r="AM15" s="272">
        <v>17540</v>
      </c>
      <c r="AN15" s="390">
        <v>123879</v>
      </c>
      <c r="AO15" s="272">
        <v>72427.7</v>
      </c>
      <c r="AP15" s="272">
        <v>17195.3</v>
      </c>
      <c r="AQ15" s="272">
        <v>17144</v>
      </c>
      <c r="AR15" s="272">
        <v>17112.900000000001</v>
      </c>
      <c r="AS15" s="390">
        <v>109611</v>
      </c>
      <c r="AT15" s="272">
        <v>71885</v>
      </c>
      <c r="AU15" s="272">
        <v>12713</v>
      </c>
      <c r="AV15" s="272">
        <v>12530</v>
      </c>
      <c r="AW15" s="272">
        <v>12484</v>
      </c>
      <c r="AX15" s="390">
        <v>78326</v>
      </c>
      <c r="AY15" s="390">
        <v>46909</v>
      </c>
      <c r="AZ15" s="270"/>
      <c r="BA15" s="270"/>
      <c r="BB15" s="270"/>
      <c r="BC15" s="270"/>
      <c r="BD15" s="270"/>
      <c r="BE15" s="270"/>
      <c r="BF15" s="270"/>
      <c r="BG15" s="270"/>
    </row>
    <row r="16" spans="2:59" s="265" customFormat="1" ht="7.5" customHeight="1">
      <c r="B16" s="273"/>
      <c r="C16" s="267"/>
      <c r="D16" s="268"/>
      <c r="E16" s="269"/>
      <c r="F16" s="267"/>
      <c r="G16" s="267"/>
      <c r="H16" s="267"/>
      <c r="I16" s="268"/>
      <c r="J16" s="269"/>
      <c r="K16" s="267"/>
      <c r="L16" s="267"/>
      <c r="M16" s="267"/>
      <c r="N16" s="268"/>
      <c r="O16" s="269"/>
      <c r="P16" s="267"/>
      <c r="Q16" s="267"/>
      <c r="R16" s="267"/>
      <c r="S16" s="268"/>
      <c r="T16" s="269"/>
      <c r="U16" s="267"/>
      <c r="V16" s="267"/>
      <c r="W16" s="267"/>
      <c r="X16" s="268"/>
      <c r="Y16" s="269"/>
      <c r="Z16" s="267"/>
      <c r="AA16" s="267"/>
      <c r="AB16" s="267"/>
      <c r="AC16" s="267"/>
      <c r="AD16" s="269"/>
      <c r="AE16" s="267"/>
      <c r="AF16" s="267"/>
      <c r="AG16" s="267"/>
      <c r="AH16" s="267"/>
      <c r="AI16" s="269"/>
      <c r="AJ16" s="267"/>
      <c r="AK16" s="267"/>
      <c r="AL16" s="267"/>
      <c r="AM16" s="267"/>
      <c r="AN16" s="269"/>
      <c r="AO16" s="267"/>
      <c r="AP16" s="267"/>
      <c r="AQ16" s="267"/>
      <c r="AR16" s="267"/>
      <c r="AS16" s="269"/>
      <c r="AT16" s="267"/>
      <c r="AU16" s="267"/>
      <c r="AV16" s="267"/>
      <c r="AW16" s="267"/>
      <c r="AX16" s="269"/>
      <c r="AY16" s="269"/>
      <c r="AZ16" s="270"/>
      <c r="BA16" s="270"/>
      <c r="BB16" s="270"/>
      <c r="BC16" s="270"/>
      <c r="BD16" s="270"/>
      <c r="BE16" s="270"/>
      <c r="BF16" s="270"/>
      <c r="BG16" s="270"/>
    </row>
    <row r="17" spans="2:59" s="274" customFormat="1" ht="15" customHeight="1">
      <c r="B17" s="260" t="s">
        <v>155</v>
      </c>
      <c r="C17" s="261">
        <f t="shared" ref="C17" si="0">SUM(C12:C15)</f>
        <v>390471</v>
      </c>
      <c r="D17" s="262">
        <f t="shared" ref="D17" si="1">SUM(D12:D15)</f>
        <v>321860</v>
      </c>
      <c r="E17" s="263">
        <f t="shared" ref="E17:F17" si="2">SUM(E12:E15)</f>
        <v>1012554</v>
      </c>
      <c r="F17" s="261">
        <f t="shared" si="2"/>
        <v>444811</v>
      </c>
      <c r="G17" s="261">
        <f t="shared" ref="G17" si="3">SUM(G12:G15)</f>
        <v>249446</v>
      </c>
      <c r="H17" s="261">
        <f t="shared" ref="H17" si="4">SUM(H12:H15)</f>
        <v>184738</v>
      </c>
      <c r="I17" s="262">
        <f t="shared" ref="I17" si="5">SUM(I12:I15)</f>
        <v>133562</v>
      </c>
      <c r="J17" s="263">
        <f t="shared" ref="J17:K17" si="6">SUM(J12:J15)</f>
        <v>1221574</v>
      </c>
      <c r="K17" s="261">
        <f t="shared" si="6"/>
        <v>253802</v>
      </c>
      <c r="L17" s="261">
        <f t="shared" ref="L17" si="7">SUM(L12:L15)</f>
        <v>259294</v>
      </c>
      <c r="M17" s="261">
        <f t="shared" ref="M17" si="8">SUM(M12:M15)</f>
        <v>310501</v>
      </c>
      <c r="N17" s="262">
        <f t="shared" ref="N17" si="9">SUM(N12:N15)</f>
        <v>397977</v>
      </c>
      <c r="O17" s="263">
        <f t="shared" ref="O17:P17" si="10">SUM(O12:O15)</f>
        <v>1879232</v>
      </c>
      <c r="P17" s="261">
        <f t="shared" si="10"/>
        <v>278415</v>
      </c>
      <c r="Q17" s="261">
        <f>SUM(Q12:Q15)</f>
        <v>321729</v>
      </c>
      <c r="R17" s="261">
        <f>SUM(R12:R15)</f>
        <v>662888</v>
      </c>
      <c r="S17" s="262">
        <f>SUM(S12:S15)</f>
        <v>616200</v>
      </c>
      <c r="T17" s="263">
        <v>2434029</v>
      </c>
      <c r="U17" s="261">
        <v>929123</v>
      </c>
      <c r="V17" s="261">
        <f>SUM(V12:V15)</f>
        <v>867280</v>
      </c>
      <c r="W17" s="261">
        <f>SUM(W12:W15)</f>
        <v>316501</v>
      </c>
      <c r="X17" s="262">
        <f>SUM(X12:X15)</f>
        <v>321125</v>
      </c>
      <c r="Y17" s="263">
        <f>SUM(Y12:Y15)</f>
        <v>512115</v>
      </c>
      <c r="Z17" s="261">
        <f t="shared" ref="Z17" si="11">SUM(Z12:Z15)</f>
        <v>336916</v>
      </c>
      <c r="AA17" s="261">
        <f t="shared" ref="AA17:AB17" si="12">SUM(AA12:AA15)</f>
        <v>210764</v>
      </c>
      <c r="AB17" s="261">
        <f t="shared" si="12"/>
        <v>64938</v>
      </c>
      <c r="AC17" s="261">
        <f>SUM(AC12:AC15)</f>
        <v>-100502</v>
      </c>
      <c r="AD17" s="263">
        <f t="shared" ref="AD17:AG17" si="13">SUM(AD12:AD15)</f>
        <v>344138</v>
      </c>
      <c r="AE17" s="261">
        <f t="shared" si="13"/>
        <v>164141</v>
      </c>
      <c r="AF17" s="261">
        <f t="shared" si="13"/>
        <v>29682</v>
      </c>
      <c r="AG17" s="261">
        <f t="shared" si="13"/>
        <v>37119</v>
      </c>
      <c r="AH17" s="261">
        <f>SUM(AH12:AH15)</f>
        <v>113193</v>
      </c>
      <c r="AI17" s="263">
        <f t="shared" ref="AI17:AJ17" si="14">SUM(AI12:AI15)</f>
        <v>809743</v>
      </c>
      <c r="AJ17" s="261">
        <f t="shared" si="14"/>
        <v>194564</v>
      </c>
      <c r="AK17" s="261">
        <f>SUM(AK12:AK15)</f>
        <v>226981</v>
      </c>
      <c r="AL17" s="261">
        <f>SUM(AL12:AL15)</f>
        <v>142750</v>
      </c>
      <c r="AM17" s="261">
        <v>245451</v>
      </c>
      <c r="AN17" s="263">
        <v>474210</v>
      </c>
      <c r="AO17" s="261">
        <v>149533</v>
      </c>
      <c r="AP17" s="261">
        <v>162600</v>
      </c>
      <c r="AQ17" s="261">
        <v>70875.3</v>
      </c>
      <c r="AR17" s="261">
        <v>91203.3</v>
      </c>
      <c r="AS17" s="263">
        <v>677977</v>
      </c>
      <c r="AT17" s="261">
        <v>484123</v>
      </c>
      <c r="AU17" s="261">
        <v>59955</v>
      </c>
      <c r="AV17" s="261">
        <v>58870</v>
      </c>
      <c r="AW17" s="261">
        <v>75030</v>
      </c>
      <c r="AX17" s="263">
        <v>236058</v>
      </c>
      <c r="AY17" s="263">
        <v>183199</v>
      </c>
      <c r="AZ17" s="264"/>
      <c r="BA17" s="264"/>
      <c r="BB17" s="264"/>
      <c r="BC17" s="264"/>
      <c r="BD17" s="264"/>
      <c r="BE17" s="264"/>
      <c r="BF17" s="264"/>
      <c r="BG17" s="264"/>
    </row>
    <row r="18" spans="2:59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6"/>
      <c r="AM18" s="276"/>
      <c r="AN18" s="275"/>
      <c r="AO18" s="276"/>
      <c r="AP18" s="276"/>
      <c r="AQ18" s="276"/>
      <c r="AR18" s="276"/>
      <c r="AS18" s="275"/>
      <c r="AT18" s="276"/>
      <c r="AU18" s="276"/>
      <c r="AV18" s="276"/>
      <c r="AW18" s="276"/>
      <c r="AX18" s="275"/>
      <c r="AY18" s="275"/>
      <c r="AZ18" s="277"/>
      <c r="BA18" s="277"/>
      <c r="BB18" s="277"/>
      <c r="BC18" s="277"/>
      <c r="BD18" s="277"/>
      <c r="BE18" s="277"/>
      <c r="BF18" s="277"/>
      <c r="BG18" s="277"/>
    </row>
    <row r="19" spans="2:59" s="265" customFormat="1" ht="14.25">
      <c r="B19" s="278" t="s">
        <v>417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9"/>
      <c r="AM19" s="279"/>
      <c r="AN19" s="278"/>
      <c r="AO19" s="279"/>
      <c r="AP19" s="279"/>
      <c r="AQ19" s="391"/>
      <c r="AR19" s="279"/>
      <c r="AS19" s="278"/>
      <c r="AT19" s="279"/>
      <c r="AU19" s="279"/>
      <c r="AV19" s="279"/>
      <c r="AW19" s="279"/>
      <c r="AX19" s="278"/>
      <c r="AY19" s="278"/>
      <c r="AZ19" s="280"/>
      <c r="BE19" s="280"/>
    </row>
    <row r="20" spans="2:59">
      <c r="AL20" s="283"/>
      <c r="AM20" s="283"/>
      <c r="AO20" s="281"/>
      <c r="AP20" s="281"/>
      <c r="AQ20" s="281"/>
      <c r="AR20" s="281"/>
      <c r="AT20" s="281"/>
      <c r="AU20" s="281"/>
      <c r="AV20" s="281"/>
      <c r="AW20" s="281"/>
      <c r="BB20" s="85"/>
    </row>
    <row r="21" spans="2:59">
      <c r="AL21" s="283"/>
      <c r="AM21" s="392"/>
      <c r="BB21" s="85"/>
    </row>
    <row r="22" spans="2:59">
      <c r="AL22" s="283"/>
      <c r="AM22" s="392"/>
    </row>
    <row r="23" spans="2:59">
      <c r="AL23" s="283"/>
      <c r="AM23" s="392"/>
      <c r="AZ23" s="85"/>
    </row>
    <row r="24" spans="2:59">
      <c r="AL24" s="283"/>
      <c r="AM24" s="392"/>
    </row>
    <row r="25" spans="2:59">
      <c r="AL25" s="283"/>
      <c r="AM25" s="392"/>
    </row>
    <row r="26" spans="2:59">
      <c r="AL26" s="283"/>
      <c r="AM26" s="392"/>
    </row>
    <row r="27" spans="2:59">
      <c r="AL27" s="283"/>
      <c r="AM27" s="392"/>
    </row>
    <row r="28" spans="2:59">
      <c r="AL28" s="283"/>
      <c r="AM28" s="392"/>
    </row>
    <row r="50" spans="19:51" ht="14.25">
      <c r="S50" s="193"/>
      <c r="T50" s="193"/>
      <c r="U50" s="193"/>
      <c r="V50" s="193"/>
      <c r="W50" s="193"/>
      <c r="X50" s="193"/>
      <c r="Y50" s="193"/>
      <c r="AD50" s="193"/>
      <c r="AI50" s="193"/>
      <c r="AN50" s="193"/>
      <c r="AS50" s="193"/>
      <c r="AX50" s="193"/>
      <c r="AY50" s="193"/>
    </row>
    <row r="53" spans="19:51" ht="14.25">
      <c r="S53" s="193"/>
      <c r="T53" s="193"/>
      <c r="U53" s="193"/>
      <c r="V53" s="193"/>
      <c r="W53" s="193"/>
      <c r="X53" s="193"/>
      <c r="Y53" s="193"/>
      <c r="AD53" s="193"/>
      <c r="AI53" s="193"/>
      <c r="AN53" s="193"/>
      <c r="AS53" s="193"/>
      <c r="AX53" s="193"/>
      <c r="AY53" s="193"/>
    </row>
    <row r="54" spans="19:51" ht="15">
      <c r="S54" s="211"/>
      <c r="T54" s="211"/>
      <c r="U54" s="211"/>
      <c r="V54" s="211"/>
      <c r="W54" s="211"/>
      <c r="X54" s="211"/>
      <c r="Y54" s="211"/>
      <c r="AD54" s="211"/>
      <c r="AI54" s="211"/>
      <c r="AN54" s="211"/>
      <c r="AS54" s="211"/>
      <c r="AX54" s="211"/>
      <c r="AY54" s="211"/>
    </row>
    <row r="66" spans="19:51" ht="14.25">
      <c r="S66" s="193"/>
      <c r="T66" s="193"/>
      <c r="U66" s="193"/>
      <c r="V66" s="193"/>
      <c r="W66" s="193"/>
      <c r="X66" s="193"/>
      <c r="Y66" s="193"/>
      <c r="AD66" s="193"/>
      <c r="AI66" s="193"/>
      <c r="AN66" s="193"/>
      <c r="AS66" s="193"/>
      <c r="AX66" s="193"/>
      <c r="AY66" s="193"/>
    </row>
    <row r="67" spans="19:51" ht="14.25">
      <c r="S67" s="193"/>
      <c r="T67" s="193"/>
      <c r="U67" s="193"/>
      <c r="V67" s="193"/>
      <c r="W67" s="193"/>
      <c r="X67" s="193"/>
      <c r="Y67" s="193"/>
      <c r="AD67" s="193"/>
      <c r="AI67" s="193"/>
      <c r="AN67" s="193"/>
      <c r="AS67" s="193"/>
      <c r="AX67" s="193"/>
      <c r="AY67" s="193"/>
    </row>
    <row r="68" spans="19:51" ht="14.25">
      <c r="S68" s="193"/>
      <c r="T68" s="193"/>
      <c r="U68" s="193"/>
      <c r="V68" s="193"/>
      <c r="W68" s="193"/>
      <c r="X68" s="193"/>
      <c r="Y68" s="193"/>
      <c r="AD68" s="193"/>
      <c r="AI68" s="193"/>
      <c r="AN68" s="193"/>
      <c r="AS68" s="193"/>
      <c r="AX68" s="193"/>
      <c r="AY68" s="193"/>
    </row>
    <row r="69" spans="19:51" ht="14.25">
      <c r="S69" s="193"/>
      <c r="T69" s="193"/>
      <c r="U69" s="193"/>
      <c r="V69" s="193"/>
      <c r="W69" s="193"/>
      <c r="X69" s="193"/>
      <c r="Y69" s="193"/>
      <c r="AD69" s="193"/>
      <c r="AI69" s="193"/>
      <c r="AN69" s="193"/>
      <c r="AS69" s="193"/>
      <c r="AX69" s="193"/>
      <c r="AY69" s="193"/>
    </row>
    <row r="70" spans="19:51" ht="14.25">
      <c r="S70" s="193"/>
      <c r="T70" s="193"/>
      <c r="U70" s="193"/>
      <c r="V70" s="193"/>
      <c r="W70" s="193"/>
      <c r="X70" s="193"/>
      <c r="Y70" s="193"/>
      <c r="AD70" s="193"/>
      <c r="AI70" s="193"/>
      <c r="AN70" s="193"/>
      <c r="AS70" s="193"/>
      <c r="AX70" s="193"/>
      <c r="AY70" s="193"/>
    </row>
    <row r="71" spans="19:51" ht="14.25">
      <c r="S71" s="193"/>
      <c r="T71" s="193"/>
      <c r="U71" s="193"/>
      <c r="V71" s="193"/>
      <c r="W71" s="193"/>
      <c r="X71" s="193"/>
      <c r="Y71" s="193"/>
      <c r="AD71" s="193"/>
      <c r="AI71" s="193"/>
      <c r="AN71" s="193"/>
      <c r="AS71" s="193"/>
      <c r="AX71" s="193"/>
      <c r="AY71" s="193"/>
    </row>
    <row r="74" spans="19:51" ht="15">
      <c r="S74" s="211"/>
      <c r="T74" s="211"/>
      <c r="U74" s="211"/>
      <c r="V74" s="211"/>
      <c r="W74" s="211"/>
      <c r="X74" s="211"/>
      <c r="Y74" s="211"/>
      <c r="AD74" s="211"/>
      <c r="AI74" s="211"/>
      <c r="AN74" s="211"/>
      <c r="AS74" s="211"/>
      <c r="AX74" s="211"/>
      <c r="AY74" s="211"/>
    </row>
    <row r="75" spans="19:51" ht="15">
      <c r="S75" s="211"/>
      <c r="T75" s="211"/>
      <c r="U75" s="211"/>
      <c r="V75" s="211"/>
      <c r="W75" s="211"/>
      <c r="X75" s="211"/>
      <c r="Y75" s="211"/>
      <c r="AD75" s="211"/>
      <c r="AI75" s="211"/>
      <c r="AN75" s="211"/>
      <c r="AS75" s="211"/>
      <c r="AX75" s="211"/>
      <c r="AY75" s="211"/>
    </row>
    <row r="76" spans="19:51" ht="14.25">
      <c r="S76" s="193"/>
      <c r="T76" s="193"/>
      <c r="U76" s="193"/>
      <c r="V76" s="193"/>
      <c r="W76" s="193"/>
      <c r="X76" s="193"/>
      <c r="Y76" s="193"/>
      <c r="AD76" s="193"/>
      <c r="AI76" s="193"/>
      <c r="AN76" s="193"/>
      <c r="AS76" s="193"/>
      <c r="AX76" s="193"/>
      <c r="AY76" s="193"/>
    </row>
    <row r="77" spans="19:51" ht="15">
      <c r="S77" s="211"/>
      <c r="T77" s="211"/>
      <c r="U77" s="211"/>
      <c r="V77" s="211"/>
      <c r="W77" s="211"/>
      <c r="X77" s="211"/>
      <c r="Y77" s="211"/>
      <c r="AD77" s="211"/>
      <c r="AI77" s="211"/>
      <c r="AN77" s="211"/>
      <c r="AS77" s="211"/>
      <c r="AX77" s="211"/>
      <c r="AY77" s="211"/>
    </row>
  </sheetData>
  <mergeCells count="51">
    <mergeCell ref="AG10:AG11"/>
    <mergeCell ref="C10:C11"/>
    <mergeCell ref="X10:X11"/>
    <mergeCell ref="W10:W11"/>
    <mergeCell ref="AY10:AY11"/>
    <mergeCell ref="AX10:AX11"/>
    <mergeCell ref="AW10:AW11"/>
    <mergeCell ref="AV10:AV11"/>
    <mergeCell ref="AE10:AE11"/>
    <mergeCell ref="AU10:AU11"/>
    <mergeCell ref="AS10:AS11"/>
    <mergeCell ref="AT10:AT11"/>
    <mergeCell ref="AR10:AR11"/>
    <mergeCell ref="AP10:AP11"/>
    <mergeCell ref="AQ10:AQ11"/>
    <mergeCell ref="AL10:AL11"/>
    <mergeCell ref="AN10:AN11"/>
    <mergeCell ref="AO10:AO11"/>
    <mergeCell ref="AF10:AF11"/>
    <mergeCell ref="AC10:AC11"/>
    <mergeCell ref="Y10:Y11"/>
    <mergeCell ref="Z10:Z11"/>
    <mergeCell ref="AA10:AA11"/>
    <mergeCell ref="AB10:AB11"/>
    <mergeCell ref="AD10:AD11"/>
    <mergeCell ref="AM10:AM11"/>
    <mergeCell ref="AK10:AK11"/>
    <mergeCell ref="AI10:AI11"/>
    <mergeCell ref="AJ10:AJ11"/>
    <mergeCell ref="AH10:AH11"/>
    <mergeCell ref="V10:V11"/>
    <mergeCell ref="S10:S11"/>
    <mergeCell ref="R10:R11"/>
    <mergeCell ref="Q10:Q11"/>
    <mergeCell ref="O10:O11"/>
    <mergeCell ref="P10:P11"/>
    <mergeCell ref="I10:I11"/>
    <mergeCell ref="U10:U11"/>
    <mergeCell ref="T10:T11"/>
    <mergeCell ref="D10:D11"/>
    <mergeCell ref="B7:B8"/>
    <mergeCell ref="B10:B11"/>
    <mergeCell ref="N10:N11"/>
    <mergeCell ref="M10:M11"/>
    <mergeCell ref="L10:L11"/>
    <mergeCell ref="J10:J11"/>
    <mergeCell ref="G10:G11"/>
    <mergeCell ref="H10:H11"/>
    <mergeCell ref="E10:E11"/>
    <mergeCell ref="F10:F11"/>
    <mergeCell ref="K10:K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R45"/>
  <sheetViews>
    <sheetView showGridLines="0" zoomScale="90" zoomScaleNormal="90" workbookViewId="0"/>
  </sheetViews>
  <sheetFormatPr defaultColWidth="9.140625" defaultRowHeight="14.25"/>
  <cols>
    <col min="1" max="1" width="1.7109375" style="289" customWidth="1"/>
    <col min="2" max="2" width="49" style="289" customWidth="1"/>
    <col min="3" max="3" width="11.140625" style="289" customWidth="1"/>
    <col min="4" max="5" width="17" style="289" customWidth="1"/>
    <col min="6" max="6" width="21.42578125" style="289" bestFit="1" customWidth="1"/>
    <col min="7" max="7" width="23.140625" style="289" bestFit="1" customWidth="1"/>
    <col min="8" max="9" width="17" style="289" customWidth="1"/>
    <col min="10" max="10" width="21.28515625" style="289" customWidth="1"/>
    <col min="11" max="11" width="23.140625" style="289" bestFit="1" customWidth="1"/>
    <col min="12" max="12" width="17" style="289" customWidth="1"/>
    <col min="13" max="13" width="18.5703125" style="289" customWidth="1"/>
    <col min="14" max="14" width="21.85546875" style="289" customWidth="1"/>
    <col min="15" max="15" width="23.140625" style="289" bestFit="1" customWidth="1"/>
    <col min="16" max="16" width="17" style="289" customWidth="1"/>
    <col min="17" max="17" width="20.7109375" style="289" bestFit="1" customWidth="1"/>
    <col min="18" max="18" width="22" style="289" customWidth="1"/>
    <col min="19" max="19" width="23.140625" style="289" bestFit="1" customWidth="1"/>
    <col min="20" max="21" width="20.7109375" style="289" bestFit="1" customWidth="1"/>
    <col min="22" max="22" width="22.42578125" style="289" bestFit="1" customWidth="1"/>
    <col min="23" max="23" width="23.140625" style="289" bestFit="1" customWidth="1"/>
    <col min="24" max="24" width="16.28515625" style="289" bestFit="1" customWidth="1"/>
    <col min="25" max="25" width="19.85546875" style="289" bestFit="1" customWidth="1"/>
    <col min="26" max="26" width="22.42578125" style="289" bestFit="1" customWidth="1"/>
    <col min="27" max="27" width="23.140625" style="289" bestFit="1" customWidth="1"/>
    <col min="28" max="28" width="16.28515625" style="289" bestFit="1" customWidth="1"/>
    <col min="29" max="29" width="17.7109375" style="289" bestFit="1" customWidth="1"/>
    <col min="30" max="30" width="22.42578125" style="289" bestFit="1" customWidth="1"/>
    <col min="31" max="31" width="23.140625" style="289" bestFit="1" customWidth="1"/>
    <col min="32" max="32" width="14.42578125" style="313" customWidth="1"/>
    <col min="33" max="33" width="17.7109375" style="313" bestFit="1" customWidth="1"/>
    <col min="34" max="34" width="22.42578125" style="313" bestFit="1" customWidth="1"/>
    <col min="35" max="35" width="23.140625" style="313" bestFit="1" customWidth="1"/>
    <col min="36" max="36" width="14.7109375" style="313" customWidth="1"/>
    <col min="37" max="37" width="17.7109375" style="313" bestFit="1" customWidth="1"/>
    <col min="38" max="38" width="22.42578125" style="313" bestFit="1" customWidth="1"/>
    <col min="39" max="39" width="23.140625" style="313" bestFit="1" customWidth="1"/>
    <col min="40" max="40" width="13.5703125" style="313" customWidth="1"/>
    <col min="41" max="41" width="17.7109375" style="313" bestFit="1" customWidth="1"/>
    <col min="42" max="43" width="22.42578125" style="313" bestFit="1" customWidth="1"/>
    <col min="44" max="16384" width="9.140625" style="289"/>
  </cols>
  <sheetData>
    <row r="1" spans="2:44" s="181" customFormat="1" ht="9" customHeight="1">
      <c r="N1" s="409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</row>
    <row r="2" spans="2:44" s="181" customFormat="1" ht="15.75" customHeight="1">
      <c r="N2" s="409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</row>
    <row r="3" spans="2:44" s="181" customFormat="1" ht="15.75" customHeight="1">
      <c r="N3" s="409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</row>
    <row r="4" spans="2:44" s="181" customFormat="1" ht="15.75" customHeight="1">
      <c r="N4" s="409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</row>
    <row r="5" spans="2:44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410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181"/>
    </row>
    <row r="6" spans="2:44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410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</row>
    <row r="7" spans="2:44" s="181" customFormat="1" ht="15" customHeight="1">
      <c r="B7" s="450" t="s">
        <v>384</v>
      </c>
      <c r="C7" s="189"/>
      <c r="D7" s="443"/>
      <c r="E7" s="440"/>
      <c r="F7" s="438"/>
      <c r="G7" s="189"/>
      <c r="H7" s="189"/>
      <c r="I7" s="189"/>
      <c r="J7" s="189"/>
      <c r="K7" s="189"/>
      <c r="L7" s="189"/>
      <c r="M7" s="189"/>
      <c r="N7" s="411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</row>
    <row r="8" spans="2:44" s="181" customFormat="1" ht="15" customHeight="1">
      <c r="B8" s="450"/>
      <c r="C8" s="189"/>
      <c r="D8" s="443"/>
      <c r="E8" s="440"/>
      <c r="F8" s="438"/>
      <c r="G8" s="189"/>
      <c r="H8" s="189"/>
      <c r="I8" s="189"/>
      <c r="J8" s="189"/>
      <c r="K8" s="189"/>
      <c r="L8" s="189"/>
      <c r="M8" s="189"/>
      <c r="N8" s="41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</row>
    <row r="9" spans="2:44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410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</row>
    <row r="10" spans="2:44" ht="30" customHeight="1">
      <c r="B10" s="285" t="s">
        <v>377</v>
      </c>
      <c r="C10" s="286" t="s">
        <v>179</v>
      </c>
      <c r="D10" s="287">
        <v>45838</v>
      </c>
      <c r="E10" s="429" t="s">
        <v>446</v>
      </c>
      <c r="F10" s="288" t="s">
        <v>439</v>
      </c>
      <c r="G10" s="287">
        <v>45565</v>
      </c>
      <c r="H10" s="287">
        <v>45473</v>
      </c>
      <c r="I10" s="429" t="s">
        <v>423</v>
      </c>
      <c r="J10" s="288" t="s">
        <v>418</v>
      </c>
      <c r="K10" s="287">
        <v>45199</v>
      </c>
      <c r="L10" s="287">
        <v>45107</v>
      </c>
      <c r="M10" s="429" t="s">
        <v>397</v>
      </c>
      <c r="N10" s="288" t="s">
        <v>393</v>
      </c>
      <c r="O10" s="287">
        <v>44834</v>
      </c>
      <c r="P10" s="287">
        <v>44742</v>
      </c>
      <c r="Q10" s="287">
        <v>44651</v>
      </c>
      <c r="R10" s="288" t="s">
        <v>360</v>
      </c>
      <c r="S10" s="287">
        <v>44469</v>
      </c>
      <c r="T10" s="287">
        <v>44377</v>
      </c>
      <c r="U10" s="287">
        <v>44286</v>
      </c>
      <c r="V10" s="288">
        <v>44196</v>
      </c>
      <c r="W10" s="287">
        <v>44104</v>
      </c>
      <c r="X10" s="287">
        <v>44012</v>
      </c>
      <c r="Y10" s="287">
        <v>43921</v>
      </c>
      <c r="Z10" s="288">
        <v>43830</v>
      </c>
      <c r="AA10" s="287">
        <v>43738</v>
      </c>
      <c r="AB10" s="287">
        <v>43646</v>
      </c>
      <c r="AC10" s="287">
        <v>43555</v>
      </c>
      <c r="AD10" s="288">
        <v>43465</v>
      </c>
      <c r="AE10" s="287">
        <v>43373</v>
      </c>
      <c r="AF10" s="287">
        <v>43281</v>
      </c>
      <c r="AG10" s="287">
        <v>43190</v>
      </c>
      <c r="AH10" s="288">
        <v>43100</v>
      </c>
      <c r="AI10" s="287">
        <v>43008</v>
      </c>
      <c r="AJ10" s="287">
        <v>42916</v>
      </c>
      <c r="AK10" s="287">
        <v>42825</v>
      </c>
      <c r="AL10" s="288">
        <v>42735</v>
      </c>
      <c r="AM10" s="287">
        <v>42643</v>
      </c>
      <c r="AN10" s="287">
        <v>42551</v>
      </c>
      <c r="AO10" s="287">
        <v>42460</v>
      </c>
      <c r="AP10" s="288">
        <v>42369</v>
      </c>
      <c r="AQ10" s="288">
        <v>42004</v>
      </c>
    </row>
    <row r="11" spans="2:44" s="294" customFormat="1" ht="15" customHeight="1">
      <c r="B11" s="290" t="s">
        <v>320</v>
      </c>
      <c r="C11" s="393"/>
      <c r="D11" s="291">
        <f t="shared" ref="D11" si="0">SUM(D12:D18)</f>
        <v>3403826</v>
      </c>
      <c r="E11" s="291">
        <f>SUM(E12:E18)</f>
        <v>3196395</v>
      </c>
      <c r="F11" s="292">
        <f>SUM(F12:F18)</f>
        <v>3092954</v>
      </c>
      <c r="G11" s="291">
        <f t="shared" ref="G11" si="1">SUM(G12:G18)</f>
        <v>3503862</v>
      </c>
      <c r="H11" s="291">
        <f t="shared" ref="H11" si="2">SUM(H12:H18)</f>
        <v>3177871</v>
      </c>
      <c r="I11" s="291">
        <f t="shared" ref="I11" si="3">SUM(I12:I18)</f>
        <v>3365992</v>
      </c>
      <c r="J11" s="292">
        <f t="shared" ref="J11" si="4">SUM(J12:J18)</f>
        <v>2782150</v>
      </c>
      <c r="K11" s="291">
        <f t="shared" ref="K11" si="5">SUM(K12:K18)</f>
        <v>2038792</v>
      </c>
      <c r="L11" s="291">
        <f t="shared" ref="L11" si="6">SUM(L12:L18)</f>
        <v>1970991</v>
      </c>
      <c r="M11" s="291">
        <f t="shared" ref="M11" si="7">SUM(M12:M18)</f>
        <v>2076160</v>
      </c>
      <c r="N11" s="292">
        <f>SUM(N12:N18)</f>
        <v>2015449</v>
      </c>
      <c r="O11" s="291">
        <f t="shared" ref="O11" si="8">SUM(O12:O18)</f>
        <v>1395467</v>
      </c>
      <c r="P11" s="291">
        <f t="shared" ref="P11" si="9">SUM(P12:P18)</f>
        <v>1371590</v>
      </c>
      <c r="Q11" s="291">
        <v>1388824</v>
      </c>
      <c r="R11" s="292">
        <f>SUM(R12:R18)</f>
        <v>1431110</v>
      </c>
      <c r="S11" s="291">
        <f t="shared" ref="S11:T11" si="10">SUM(S12:S18)</f>
        <v>926482</v>
      </c>
      <c r="T11" s="291">
        <f t="shared" si="10"/>
        <v>717586</v>
      </c>
      <c r="U11" s="291">
        <f>SUM(U12:U18)</f>
        <v>503913.59436999995</v>
      </c>
      <c r="V11" s="292">
        <f>SUM(V12:V18)</f>
        <v>657872</v>
      </c>
      <c r="W11" s="291">
        <f>SUM(W12:W18)</f>
        <v>676747</v>
      </c>
      <c r="X11" s="291">
        <f>SUM(X12:X18)</f>
        <v>696437</v>
      </c>
      <c r="Y11" s="291">
        <f>SUM(Y12:Y18)</f>
        <v>647901</v>
      </c>
      <c r="Z11" s="292">
        <f t="shared" ref="Z11:AA11" si="11">SUM(Z12:Z18)</f>
        <v>611547</v>
      </c>
      <c r="AA11" s="291">
        <f t="shared" si="11"/>
        <v>676360</v>
      </c>
      <c r="AB11" s="291">
        <f t="shared" ref="AB11:AF11" si="12">SUM(AB12:AB18)</f>
        <v>724483</v>
      </c>
      <c r="AC11" s="291">
        <f t="shared" si="12"/>
        <v>851199</v>
      </c>
      <c r="AD11" s="292">
        <f t="shared" si="12"/>
        <v>860151</v>
      </c>
      <c r="AE11" s="291">
        <f t="shared" si="12"/>
        <v>910235</v>
      </c>
      <c r="AF11" s="291">
        <f t="shared" si="12"/>
        <v>961925</v>
      </c>
      <c r="AG11" s="291">
        <v>1087238</v>
      </c>
      <c r="AH11" s="292">
        <v>624887</v>
      </c>
      <c r="AI11" s="291">
        <v>590988</v>
      </c>
      <c r="AJ11" s="291">
        <v>476213</v>
      </c>
      <c r="AK11" s="291">
        <v>396068</v>
      </c>
      <c r="AL11" s="292">
        <v>470747</v>
      </c>
      <c r="AM11" s="291">
        <v>518284</v>
      </c>
      <c r="AN11" s="291">
        <v>568516</v>
      </c>
      <c r="AO11" s="291">
        <v>590466</v>
      </c>
      <c r="AP11" s="292">
        <v>577225</v>
      </c>
      <c r="AQ11" s="292">
        <v>642742</v>
      </c>
    </row>
    <row r="12" spans="2:44" ht="15" customHeight="1">
      <c r="B12" s="295" t="s">
        <v>317</v>
      </c>
      <c r="C12" s="394" t="s">
        <v>180</v>
      </c>
      <c r="D12" s="298">
        <v>2079597</v>
      </c>
      <c r="E12" s="298">
        <v>2115240</v>
      </c>
      <c r="F12" s="395">
        <v>2089304</v>
      </c>
      <c r="G12" s="298">
        <v>2151302</v>
      </c>
      <c r="H12" s="298">
        <v>1574586</v>
      </c>
      <c r="I12" s="298">
        <v>1809946</v>
      </c>
      <c r="J12" s="395">
        <v>1755548</v>
      </c>
      <c r="K12" s="298">
        <v>1042458</v>
      </c>
      <c r="L12" s="298">
        <v>1008635</v>
      </c>
      <c r="M12" s="298">
        <v>1131625</v>
      </c>
      <c r="N12" s="395">
        <v>1102149</v>
      </c>
      <c r="O12" s="298">
        <v>1137322</v>
      </c>
      <c r="P12" s="298">
        <v>1107311</v>
      </c>
      <c r="Q12" s="298">
        <v>1120772</v>
      </c>
      <c r="R12" s="395">
        <v>1157764</v>
      </c>
      <c r="S12" s="298">
        <v>648566</v>
      </c>
      <c r="T12" s="298">
        <v>630935</v>
      </c>
      <c r="U12" s="298">
        <v>274864.39536999998</v>
      </c>
      <c r="V12" s="395">
        <v>337653</v>
      </c>
      <c r="W12" s="298">
        <v>336700</v>
      </c>
      <c r="X12" s="298">
        <v>334366</v>
      </c>
      <c r="Y12" s="298">
        <v>387846</v>
      </c>
      <c r="Z12" s="395">
        <v>406150</v>
      </c>
      <c r="AA12" s="298">
        <v>458658</v>
      </c>
      <c r="AB12" s="298">
        <v>455104</v>
      </c>
      <c r="AC12" s="298">
        <f>154797+349408</f>
        <v>504205</v>
      </c>
      <c r="AD12" s="395">
        <f>151872+356058</f>
        <v>507930</v>
      </c>
      <c r="AE12" s="298">
        <f>207130+348392</f>
        <v>555522</v>
      </c>
      <c r="AF12" s="298">
        <f>202349+353263</f>
        <v>555612</v>
      </c>
      <c r="AG12" s="298">
        <f>257887+344304</f>
        <v>602191</v>
      </c>
      <c r="AH12" s="395">
        <v>252554</v>
      </c>
      <c r="AI12" s="298">
        <v>313913</v>
      </c>
      <c r="AJ12" s="302">
        <v>306299</v>
      </c>
      <c r="AK12" s="302">
        <v>372419</v>
      </c>
      <c r="AL12" s="395">
        <v>361418</v>
      </c>
      <c r="AM12" s="302">
        <v>410137</v>
      </c>
      <c r="AN12" s="302">
        <v>460598</v>
      </c>
      <c r="AO12" s="302">
        <v>484682</v>
      </c>
      <c r="AP12" s="395">
        <v>467769</v>
      </c>
      <c r="AQ12" s="395">
        <v>566491</v>
      </c>
    </row>
    <row r="13" spans="2:44" ht="15" customHeight="1">
      <c r="B13" s="295" t="s">
        <v>355</v>
      </c>
      <c r="C13" s="296" t="s">
        <v>149</v>
      </c>
      <c r="D13" s="298">
        <v>911342</v>
      </c>
      <c r="E13" s="298">
        <v>878805</v>
      </c>
      <c r="F13" s="395">
        <v>0</v>
      </c>
      <c r="G13" s="298">
        <v>527471</v>
      </c>
      <c r="H13" s="298">
        <v>802520</v>
      </c>
      <c r="I13" s="298">
        <v>777982</v>
      </c>
      <c r="J13" s="395">
        <v>271206</v>
      </c>
      <c r="K13" s="298">
        <v>264436</v>
      </c>
      <c r="L13" s="298">
        <v>256007</v>
      </c>
      <c r="M13" s="298">
        <v>249664</v>
      </c>
      <c r="N13" s="395">
        <v>242631</v>
      </c>
      <c r="O13" s="298">
        <v>233252</v>
      </c>
      <c r="P13" s="298">
        <v>226627</v>
      </c>
      <c r="Q13" s="296">
        <v>217755</v>
      </c>
      <c r="R13" s="297">
        <v>210640</v>
      </c>
      <c r="S13" s="296">
        <v>203782</v>
      </c>
      <c r="T13" s="296">
        <v>0</v>
      </c>
      <c r="U13" s="296">
        <v>0</v>
      </c>
      <c r="V13" s="297">
        <v>0</v>
      </c>
      <c r="W13" s="296">
        <v>0</v>
      </c>
      <c r="X13" s="296">
        <v>0</v>
      </c>
      <c r="Y13" s="296">
        <v>0</v>
      </c>
      <c r="Z13" s="297">
        <v>0</v>
      </c>
      <c r="AA13" s="296">
        <v>0</v>
      </c>
      <c r="AB13" s="296">
        <v>0</v>
      </c>
      <c r="AC13" s="296">
        <v>0</v>
      </c>
      <c r="AD13" s="297">
        <v>0</v>
      </c>
      <c r="AE13" s="298">
        <v>0</v>
      </c>
      <c r="AF13" s="298">
        <v>0</v>
      </c>
      <c r="AG13" s="298">
        <v>0</v>
      </c>
      <c r="AH13" s="297">
        <v>0</v>
      </c>
      <c r="AI13" s="298">
        <v>0</v>
      </c>
      <c r="AJ13" s="298">
        <v>0</v>
      </c>
      <c r="AK13" s="298">
        <v>0</v>
      </c>
      <c r="AL13" s="395">
        <v>0</v>
      </c>
      <c r="AM13" s="298">
        <v>0</v>
      </c>
      <c r="AN13" s="298">
        <v>0</v>
      </c>
      <c r="AO13" s="298">
        <v>0</v>
      </c>
      <c r="AP13" s="395">
        <v>0</v>
      </c>
      <c r="AQ13" s="395">
        <v>0</v>
      </c>
    </row>
    <row r="14" spans="2:44" ht="15" customHeight="1">
      <c r="B14" s="295" t="s">
        <v>312</v>
      </c>
      <c r="C14" s="394" t="s">
        <v>180</v>
      </c>
      <c r="D14" s="298">
        <v>0</v>
      </c>
      <c r="E14" s="298">
        <v>0</v>
      </c>
      <c r="F14" s="395">
        <v>0</v>
      </c>
      <c r="G14" s="298">
        <v>0</v>
      </c>
      <c r="H14" s="298">
        <v>0</v>
      </c>
      <c r="I14" s="298">
        <v>0</v>
      </c>
      <c r="J14" s="395">
        <v>0</v>
      </c>
      <c r="K14" s="298">
        <v>0</v>
      </c>
      <c r="L14" s="298">
        <v>0</v>
      </c>
      <c r="M14" s="298">
        <v>12570</v>
      </c>
      <c r="N14" s="395">
        <v>12347</v>
      </c>
      <c r="O14" s="298">
        <v>24893</v>
      </c>
      <c r="P14" s="298">
        <v>37652</v>
      </c>
      <c r="Q14" s="298">
        <v>50297</v>
      </c>
      <c r="R14" s="395">
        <v>62706</v>
      </c>
      <c r="S14" s="298">
        <v>74134</v>
      </c>
      <c r="T14" s="298">
        <v>85362</v>
      </c>
      <c r="U14" s="298">
        <v>226484.19899999999</v>
      </c>
      <c r="V14" s="395">
        <v>316382</v>
      </c>
      <c r="W14" s="298">
        <v>334945</v>
      </c>
      <c r="X14" s="298">
        <v>355711</v>
      </c>
      <c r="Y14" s="298">
        <v>252455</v>
      </c>
      <c r="Z14" s="395">
        <v>196579</v>
      </c>
      <c r="AA14" s="298">
        <v>207692</v>
      </c>
      <c r="AB14" s="298">
        <v>258213</v>
      </c>
      <c r="AC14" s="298">
        <f>334690</f>
        <v>334690</v>
      </c>
      <c r="AD14" s="395">
        <v>338815</v>
      </c>
      <c r="AE14" s="298">
        <v>340223</v>
      </c>
      <c r="AF14" s="298">
        <v>389594</v>
      </c>
      <c r="AG14" s="298">
        <v>466122</v>
      </c>
      <c r="AH14" s="395">
        <v>351234</v>
      </c>
      <c r="AI14" s="298">
        <v>253852</v>
      </c>
      <c r="AJ14" s="302">
        <v>148107</v>
      </c>
      <c r="AK14" s="298">
        <v>0</v>
      </c>
      <c r="AL14" s="395">
        <v>0</v>
      </c>
      <c r="AM14" s="298">
        <v>0</v>
      </c>
      <c r="AN14" s="298">
        <v>0</v>
      </c>
      <c r="AO14" s="298">
        <v>0</v>
      </c>
      <c r="AP14" s="395">
        <v>0</v>
      </c>
      <c r="AQ14" s="395">
        <v>59427</v>
      </c>
    </row>
    <row r="15" spans="2:44" ht="15" customHeight="1">
      <c r="B15" s="295" t="s">
        <v>318</v>
      </c>
      <c r="C15" s="394" t="s">
        <v>180</v>
      </c>
      <c r="D15" s="298">
        <v>207985</v>
      </c>
      <c r="E15" s="298">
        <v>0</v>
      </c>
      <c r="F15" s="395">
        <v>0</v>
      </c>
      <c r="G15" s="298">
        <v>0</v>
      </c>
      <c r="H15" s="298">
        <v>0</v>
      </c>
      <c r="I15" s="298">
        <v>0</v>
      </c>
      <c r="J15" s="395">
        <v>0</v>
      </c>
      <c r="K15" s="298">
        <v>0</v>
      </c>
      <c r="L15" s="298">
        <v>0</v>
      </c>
      <c r="M15" s="298">
        <v>0</v>
      </c>
      <c r="N15" s="395">
        <v>0</v>
      </c>
      <c r="O15" s="298">
        <v>0</v>
      </c>
      <c r="P15" s="298">
        <v>0</v>
      </c>
      <c r="Q15" s="298">
        <v>0</v>
      </c>
      <c r="R15" s="395">
        <v>0</v>
      </c>
      <c r="S15" s="298">
        <v>0</v>
      </c>
      <c r="T15" s="298">
        <v>1289</v>
      </c>
      <c r="U15" s="298">
        <v>2565</v>
      </c>
      <c r="V15" s="395">
        <v>3837</v>
      </c>
      <c r="W15" s="298">
        <v>5102</v>
      </c>
      <c r="X15" s="298">
        <v>6360</v>
      </c>
      <c r="Y15" s="298">
        <v>7600</v>
      </c>
      <c r="Z15" s="395">
        <v>8818</v>
      </c>
      <c r="AA15" s="298">
        <v>10010</v>
      </c>
      <c r="AB15" s="298">
        <v>11166</v>
      </c>
      <c r="AC15" s="298">
        <f>5658+6646</f>
        <v>12304</v>
      </c>
      <c r="AD15" s="395">
        <f>6206+7200</f>
        <v>13406</v>
      </c>
      <c r="AE15" s="298">
        <f>6753+7737</f>
        <v>14490</v>
      </c>
      <c r="AF15" s="298">
        <f>8468+8251</f>
        <v>16719</v>
      </c>
      <c r="AG15" s="298">
        <f>10176+8749</f>
        <v>18925</v>
      </c>
      <c r="AH15" s="395">
        <f>11873+9226</f>
        <v>21099</v>
      </c>
      <c r="AI15" s="298">
        <f>13552+9671</f>
        <v>23223</v>
      </c>
      <c r="AJ15" s="302">
        <f>13319+8488</f>
        <v>21807</v>
      </c>
      <c r="AK15" s="302">
        <f>14884+8765</f>
        <v>23649</v>
      </c>
      <c r="AL15" s="395">
        <f>16417+8979</f>
        <v>25396</v>
      </c>
      <c r="AM15" s="302">
        <f>17935+9153</f>
        <v>27088</v>
      </c>
      <c r="AN15" s="302">
        <f>16694+7240</f>
        <v>23934</v>
      </c>
      <c r="AO15" s="302">
        <f>17768+7003</f>
        <v>24771</v>
      </c>
      <c r="AP15" s="395">
        <f>18832+6782</f>
        <v>25614</v>
      </c>
      <c r="AQ15" s="395">
        <v>16824</v>
      </c>
    </row>
    <row r="16" spans="2:44" ht="15" customHeight="1">
      <c r="B16" s="295" t="s">
        <v>440</v>
      </c>
      <c r="C16" s="394" t="s">
        <v>180</v>
      </c>
      <c r="D16" s="298">
        <v>202023</v>
      </c>
      <c r="E16" s="298">
        <v>202350</v>
      </c>
      <c r="F16" s="395">
        <v>153417</v>
      </c>
      <c r="G16" s="298">
        <v>0</v>
      </c>
      <c r="H16" s="298">
        <v>0</v>
      </c>
      <c r="I16" s="298">
        <v>0</v>
      </c>
      <c r="J16" s="395">
        <v>0</v>
      </c>
      <c r="K16" s="298">
        <v>0</v>
      </c>
      <c r="L16" s="298">
        <v>0</v>
      </c>
      <c r="M16" s="298">
        <v>0</v>
      </c>
      <c r="N16" s="395">
        <v>0</v>
      </c>
      <c r="O16" s="298">
        <v>0</v>
      </c>
      <c r="P16" s="298">
        <v>0</v>
      </c>
      <c r="Q16" s="298">
        <v>0</v>
      </c>
      <c r="R16" s="395">
        <v>0</v>
      </c>
      <c r="S16" s="298">
        <v>0</v>
      </c>
      <c r="T16" s="298">
        <v>0</v>
      </c>
      <c r="U16" s="298">
        <v>0</v>
      </c>
      <c r="V16" s="395">
        <v>0</v>
      </c>
      <c r="W16" s="298">
        <v>0</v>
      </c>
      <c r="X16" s="298">
        <v>0</v>
      </c>
      <c r="Y16" s="298">
        <v>0</v>
      </c>
      <c r="Z16" s="395">
        <v>0</v>
      </c>
      <c r="AA16" s="298">
        <v>0</v>
      </c>
      <c r="AB16" s="298">
        <v>0</v>
      </c>
      <c r="AC16" s="298">
        <v>0</v>
      </c>
      <c r="AD16" s="395">
        <v>0</v>
      </c>
      <c r="AE16" s="298">
        <v>0</v>
      </c>
      <c r="AF16" s="298">
        <v>0</v>
      </c>
      <c r="AG16" s="298">
        <v>0</v>
      </c>
      <c r="AH16" s="395">
        <v>0</v>
      </c>
      <c r="AI16" s="298">
        <v>0</v>
      </c>
      <c r="AJ16" s="302">
        <v>0</v>
      </c>
      <c r="AK16" s="302">
        <v>0</v>
      </c>
      <c r="AL16" s="395">
        <v>0</v>
      </c>
      <c r="AM16" s="302">
        <v>0</v>
      </c>
      <c r="AN16" s="302">
        <v>0</v>
      </c>
      <c r="AO16" s="302">
        <v>0</v>
      </c>
      <c r="AP16" s="395">
        <v>0</v>
      </c>
      <c r="AQ16" s="395">
        <v>0</v>
      </c>
    </row>
    <row r="17" spans="2:43" ht="15" customHeight="1">
      <c r="B17" s="295" t="s">
        <v>448</v>
      </c>
      <c r="C17" s="394" t="s">
        <v>180</v>
      </c>
      <c r="D17" s="298">
        <v>2879</v>
      </c>
      <c r="E17" s="298"/>
      <c r="F17" s="395"/>
      <c r="G17" s="298"/>
      <c r="H17" s="298"/>
      <c r="I17" s="298"/>
      <c r="J17" s="395"/>
      <c r="K17" s="298"/>
      <c r="L17" s="298"/>
      <c r="M17" s="298"/>
      <c r="N17" s="395"/>
      <c r="O17" s="298"/>
      <c r="P17" s="298"/>
      <c r="Q17" s="298"/>
      <c r="R17" s="395"/>
      <c r="S17" s="298"/>
      <c r="T17" s="298"/>
      <c r="U17" s="298"/>
      <c r="V17" s="395"/>
      <c r="W17" s="298"/>
      <c r="X17" s="298"/>
      <c r="Y17" s="298"/>
      <c r="Z17" s="395"/>
      <c r="AA17" s="298"/>
      <c r="AB17" s="298"/>
      <c r="AC17" s="298"/>
      <c r="AD17" s="395"/>
      <c r="AE17" s="298"/>
      <c r="AF17" s="298"/>
      <c r="AG17" s="298"/>
      <c r="AH17" s="395"/>
      <c r="AI17" s="298"/>
      <c r="AJ17" s="302"/>
      <c r="AK17" s="302"/>
      <c r="AL17" s="395"/>
      <c r="AM17" s="302"/>
      <c r="AN17" s="302"/>
      <c r="AO17" s="302"/>
      <c r="AP17" s="395"/>
      <c r="AQ17" s="395"/>
    </row>
    <row r="18" spans="2:43" ht="15" customHeight="1">
      <c r="B18" s="295" t="s">
        <v>309</v>
      </c>
      <c r="C18" s="394" t="s">
        <v>180</v>
      </c>
      <c r="D18" s="298">
        <v>0</v>
      </c>
      <c r="E18" s="298">
        <v>0</v>
      </c>
      <c r="F18" s="395">
        <v>850233</v>
      </c>
      <c r="G18" s="298">
        <v>825089</v>
      </c>
      <c r="H18" s="298">
        <v>800765</v>
      </c>
      <c r="I18" s="298">
        <v>778064</v>
      </c>
      <c r="J18" s="395">
        <v>755396</v>
      </c>
      <c r="K18" s="298">
        <v>731898</v>
      </c>
      <c r="L18" s="298">
        <v>706349</v>
      </c>
      <c r="M18" s="298">
        <v>682301</v>
      </c>
      <c r="N18" s="395">
        <v>658322</v>
      </c>
      <c r="O18" s="298">
        <v>0</v>
      </c>
      <c r="P18" s="298">
        <v>0</v>
      </c>
      <c r="Q18" s="298">
        <v>0</v>
      </c>
      <c r="R18" s="395">
        <v>0</v>
      </c>
      <c r="S18" s="298">
        <v>0</v>
      </c>
      <c r="T18" s="298"/>
      <c r="U18" s="298">
        <v>0</v>
      </c>
      <c r="V18" s="395">
        <v>0</v>
      </c>
      <c r="W18" s="298">
        <v>0</v>
      </c>
      <c r="X18" s="298">
        <v>0</v>
      </c>
      <c r="Y18" s="298">
        <v>0</v>
      </c>
      <c r="Z18" s="395">
        <v>0</v>
      </c>
      <c r="AA18" s="298">
        <v>0</v>
      </c>
      <c r="AB18" s="298">
        <v>0</v>
      </c>
      <c r="AC18" s="298">
        <v>0</v>
      </c>
      <c r="AD18" s="395">
        <v>0</v>
      </c>
      <c r="AE18" s="298">
        <v>0</v>
      </c>
      <c r="AF18" s="298">
        <v>0</v>
      </c>
      <c r="AG18" s="298">
        <v>0</v>
      </c>
      <c r="AH18" s="395">
        <v>0</v>
      </c>
      <c r="AI18" s="298">
        <v>0</v>
      </c>
      <c r="AJ18" s="298">
        <v>0</v>
      </c>
      <c r="AK18" s="298">
        <v>0</v>
      </c>
      <c r="AL18" s="395">
        <v>83933</v>
      </c>
      <c r="AM18" s="302">
        <v>81059</v>
      </c>
      <c r="AN18" s="302">
        <v>83984</v>
      </c>
      <c r="AO18" s="302">
        <v>81013</v>
      </c>
      <c r="AP18" s="395">
        <v>83842</v>
      </c>
      <c r="AQ18" s="395">
        <v>0</v>
      </c>
    </row>
    <row r="19" spans="2:43" s="294" customFormat="1" ht="15" customHeight="1">
      <c r="B19" s="260" t="s">
        <v>319</v>
      </c>
      <c r="C19" s="396"/>
      <c r="D19" s="291">
        <f>SUM(D20)</f>
        <v>205993</v>
      </c>
      <c r="E19" s="291">
        <f>SUM(E20:E21)</f>
        <v>45262</v>
      </c>
      <c r="F19" s="292">
        <f>SUM(F20:F21)</f>
        <v>48079</v>
      </c>
      <c r="G19" s="291">
        <f>SUM(G20)</f>
        <v>31034</v>
      </c>
      <c r="H19" s="291">
        <f>SUM(H20)</f>
        <v>31347</v>
      </c>
      <c r="I19" s="291">
        <f t="shared" ref="I19" si="13">SUM(I21)</f>
        <v>0</v>
      </c>
      <c r="J19" s="292">
        <f t="shared" ref="J19" si="14">SUM(J21)</f>
        <v>0</v>
      </c>
      <c r="K19" s="291">
        <f t="shared" ref="K19" si="15">SUM(K21)</f>
        <v>0</v>
      </c>
      <c r="L19" s="291">
        <f t="shared" ref="L19" si="16">SUM(L21)</f>
        <v>0</v>
      </c>
      <c r="M19" s="291">
        <f t="shared" ref="M19" si="17">SUM(M21)</f>
        <v>0</v>
      </c>
      <c r="N19" s="292">
        <v>0</v>
      </c>
      <c r="O19" s="291">
        <f t="shared" ref="O19" si="18">SUM(O21)</f>
        <v>0</v>
      </c>
      <c r="P19" s="291">
        <f t="shared" ref="P19" si="19">SUM(P21)</f>
        <v>0</v>
      </c>
      <c r="Q19" s="291">
        <v>0</v>
      </c>
      <c r="R19" s="292">
        <v>0</v>
      </c>
      <c r="S19" s="291">
        <f t="shared" ref="S19:T19" si="20">SUM(S21)</f>
        <v>0</v>
      </c>
      <c r="T19" s="291">
        <f t="shared" si="20"/>
        <v>0</v>
      </c>
      <c r="U19" s="291">
        <f t="shared" ref="U19:V19" si="21">SUM(U21)</f>
        <v>0</v>
      </c>
      <c r="V19" s="292">
        <f t="shared" si="21"/>
        <v>0</v>
      </c>
      <c r="W19" s="291">
        <f t="shared" ref="W19" si="22">SUM(W21)</f>
        <v>0</v>
      </c>
      <c r="X19" s="291">
        <f t="shared" ref="X19" si="23">SUM(X21)</f>
        <v>0</v>
      </c>
      <c r="Y19" s="291">
        <f t="shared" ref="Y19" si="24">SUM(Y21)</f>
        <v>0</v>
      </c>
      <c r="Z19" s="292"/>
      <c r="AA19" s="291">
        <f t="shared" ref="AA19" si="25">SUM(AA21)</f>
        <v>0</v>
      </c>
      <c r="AB19" s="291">
        <f t="shared" ref="AB19:AF19" si="26">SUM(AB21)</f>
        <v>0</v>
      </c>
      <c r="AC19" s="291">
        <f t="shared" si="26"/>
        <v>0</v>
      </c>
      <c r="AD19" s="292">
        <f t="shared" si="26"/>
        <v>0</v>
      </c>
      <c r="AE19" s="291">
        <f t="shared" si="26"/>
        <v>244</v>
      </c>
      <c r="AF19" s="291">
        <f t="shared" si="26"/>
        <v>941</v>
      </c>
      <c r="AG19" s="291">
        <v>1421</v>
      </c>
      <c r="AH19" s="292">
        <v>2020</v>
      </c>
      <c r="AI19" s="291">
        <v>2515</v>
      </c>
      <c r="AJ19" s="291">
        <v>3231</v>
      </c>
      <c r="AK19" s="291">
        <v>3676</v>
      </c>
      <c r="AL19" s="292">
        <v>4378</v>
      </c>
      <c r="AM19" s="291">
        <v>4954</v>
      </c>
      <c r="AN19" s="291">
        <v>5487</v>
      </c>
      <c r="AO19" s="291">
        <v>6737</v>
      </c>
      <c r="AP19" s="292">
        <v>8107</v>
      </c>
      <c r="AQ19" s="292">
        <v>7461</v>
      </c>
    </row>
    <row r="20" spans="2:43" ht="15" customHeight="1">
      <c r="B20" s="295" t="s">
        <v>428</v>
      </c>
      <c r="C20" s="394" t="s">
        <v>181</v>
      </c>
      <c r="D20" s="437">
        <v>205993</v>
      </c>
      <c r="E20" s="298">
        <v>45262</v>
      </c>
      <c r="F20" s="395">
        <v>48079</v>
      </c>
      <c r="G20" s="437">
        <v>31034</v>
      </c>
      <c r="H20" s="437">
        <v>31347</v>
      </c>
      <c r="I20" s="298">
        <v>0</v>
      </c>
      <c r="J20" s="395">
        <v>0</v>
      </c>
      <c r="K20" s="434">
        <v>0</v>
      </c>
      <c r="L20" s="434">
        <v>0</v>
      </c>
      <c r="M20" s="298">
        <v>0</v>
      </c>
      <c r="N20" s="395">
        <v>0</v>
      </c>
      <c r="O20" s="302"/>
      <c r="P20" s="302"/>
      <c r="Q20" s="302"/>
      <c r="R20" s="397"/>
      <c r="S20" s="302"/>
      <c r="T20" s="302"/>
      <c r="U20" s="302"/>
      <c r="V20" s="397"/>
      <c r="W20" s="302"/>
      <c r="X20" s="302"/>
      <c r="Y20" s="302"/>
      <c r="Z20" s="397"/>
      <c r="AA20" s="302"/>
      <c r="AB20" s="302"/>
      <c r="AC20" s="302"/>
      <c r="AD20" s="397"/>
      <c r="AE20" s="302"/>
      <c r="AF20" s="302"/>
      <c r="AG20" s="302"/>
      <c r="AH20" s="397"/>
      <c r="AI20" s="302"/>
      <c r="AJ20" s="302"/>
      <c r="AK20" s="302"/>
      <c r="AL20" s="397"/>
      <c r="AM20" s="302"/>
      <c r="AN20" s="302"/>
      <c r="AO20" s="302"/>
      <c r="AP20" s="397"/>
      <c r="AQ20" s="397"/>
    </row>
    <row r="21" spans="2:43" ht="15" customHeight="1">
      <c r="B21" s="295" t="s">
        <v>318</v>
      </c>
      <c r="C21" s="394" t="s">
        <v>181</v>
      </c>
      <c r="D21" s="434"/>
      <c r="E21" s="298">
        <v>0</v>
      </c>
      <c r="F21" s="395">
        <v>0</v>
      </c>
      <c r="G21" s="434">
        <v>0</v>
      </c>
      <c r="H21" s="434">
        <v>0</v>
      </c>
      <c r="I21" s="298">
        <v>0</v>
      </c>
      <c r="J21" s="395">
        <v>0</v>
      </c>
      <c r="K21" s="434">
        <v>0</v>
      </c>
      <c r="L21" s="434">
        <v>0</v>
      </c>
      <c r="M21" s="298">
        <v>0</v>
      </c>
      <c r="N21" s="395">
        <v>0</v>
      </c>
      <c r="O21" s="302">
        <v>0</v>
      </c>
      <c r="P21" s="302" t="s">
        <v>112</v>
      </c>
      <c r="Q21" s="302">
        <v>0</v>
      </c>
      <c r="R21" s="397">
        <v>0</v>
      </c>
      <c r="S21" s="302">
        <v>0</v>
      </c>
      <c r="T21" s="302" t="s">
        <v>112</v>
      </c>
      <c r="U21" s="302" t="s">
        <v>112</v>
      </c>
      <c r="V21" s="397" t="s">
        <v>112</v>
      </c>
      <c r="W21" s="302" t="s">
        <v>112</v>
      </c>
      <c r="X21" s="302" t="s">
        <v>112</v>
      </c>
      <c r="Y21" s="302" t="s">
        <v>112</v>
      </c>
      <c r="Z21" s="397"/>
      <c r="AA21" s="302"/>
      <c r="AB21" s="302" t="s">
        <v>112</v>
      </c>
      <c r="AC21" s="302" t="s">
        <v>112</v>
      </c>
      <c r="AD21" s="397" t="s">
        <v>112</v>
      </c>
      <c r="AE21" s="302">
        <v>244</v>
      </c>
      <c r="AF21" s="302">
        <v>941</v>
      </c>
      <c r="AG21" s="302">
        <v>1421</v>
      </c>
      <c r="AH21" s="397">
        <v>2020</v>
      </c>
      <c r="AI21" s="302">
        <v>2515</v>
      </c>
      <c r="AJ21" s="302">
        <v>3231</v>
      </c>
      <c r="AK21" s="302">
        <v>3676</v>
      </c>
      <c r="AL21" s="397">
        <v>4378</v>
      </c>
      <c r="AM21" s="302">
        <v>4954</v>
      </c>
      <c r="AN21" s="302">
        <v>5487</v>
      </c>
      <c r="AO21" s="302">
        <v>6737</v>
      </c>
      <c r="AP21" s="397">
        <v>8107</v>
      </c>
      <c r="AQ21" s="397">
        <v>7461</v>
      </c>
    </row>
    <row r="22" spans="2:43" s="294" customFormat="1" ht="15" customHeight="1">
      <c r="B22" s="260" t="s">
        <v>294</v>
      </c>
      <c r="C22" s="396"/>
      <c r="D22" s="291">
        <f>D11+D19</f>
        <v>3609819</v>
      </c>
      <c r="E22" s="291">
        <f>E11+E19</f>
        <v>3241657</v>
      </c>
      <c r="F22" s="292">
        <f>F11+F19</f>
        <v>3141033</v>
      </c>
      <c r="G22" s="291">
        <f>G11+G19</f>
        <v>3534896</v>
      </c>
      <c r="H22" s="291">
        <f>H11+H19</f>
        <v>3209218</v>
      </c>
      <c r="I22" s="291">
        <f t="shared" ref="I22" si="27">I11</f>
        <v>3365992</v>
      </c>
      <c r="J22" s="292">
        <f t="shared" ref="J22:O22" si="28">J11</f>
        <v>2782150</v>
      </c>
      <c r="K22" s="291">
        <f t="shared" si="28"/>
        <v>2038792</v>
      </c>
      <c r="L22" s="291">
        <f t="shared" si="28"/>
        <v>1970991</v>
      </c>
      <c r="M22" s="291">
        <f t="shared" si="28"/>
        <v>2076160</v>
      </c>
      <c r="N22" s="292">
        <f t="shared" si="28"/>
        <v>2015449</v>
      </c>
      <c r="O22" s="291">
        <f t="shared" si="28"/>
        <v>1395467</v>
      </c>
      <c r="P22" s="291">
        <v>1371590</v>
      </c>
      <c r="Q22" s="291">
        <v>1388824</v>
      </c>
      <c r="R22" s="292">
        <v>1431110</v>
      </c>
      <c r="S22" s="291">
        <v>926482</v>
      </c>
      <c r="T22" s="291">
        <v>717586</v>
      </c>
      <c r="U22" s="291">
        <v>503913.59436999995</v>
      </c>
      <c r="V22" s="292">
        <v>657872</v>
      </c>
      <c r="W22" s="291">
        <v>676747</v>
      </c>
      <c r="X22" s="291">
        <v>696437</v>
      </c>
      <c r="Y22" s="291">
        <f t="shared" ref="Y22" si="29">Y11+Y19</f>
        <v>647901</v>
      </c>
      <c r="Z22" s="292">
        <f t="shared" ref="Z22:AA22" si="30">Z11+Z19</f>
        <v>611547</v>
      </c>
      <c r="AA22" s="291">
        <f t="shared" si="30"/>
        <v>676360</v>
      </c>
      <c r="AB22" s="291">
        <f t="shared" ref="AB22:AF22" si="31">AB11+AB19</f>
        <v>724483</v>
      </c>
      <c r="AC22" s="291">
        <f t="shared" si="31"/>
        <v>851199</v>
      </c>
      <c r="AD22" s="292">
        <f t="shared" si="31"/>
        <v>860151</v>
      </c>
      <c r="AE22" s="291">
        <f t="shared" si="31"/>
        <v>910479</v>
      </c>
      <c r="AF22" s="291">
        <f t="shared" si="31"/>
        <v>962866</v>
      </c>
      <c r="AG22" s="291">
        <v>1088659</v>
      </c>
      <c r="AH22" s="292">
        <v>626907</v>
      </c>
      <c r="AI22" s="291">
        <v>593503</v>
      </c>
      <c r="AJ22" s="291">
        <v>479444</v>
      </c>
      <c r="AK22" s="291">
        <v>399744</v>
      </c>
      <c r="AL22" s="292">
        <v>475125</v>
      </c>
      <c r="AM22" s="291">
        <v>523238</v>
      </c>
      <c r="AN22" s="291">
        <v>574003</v>
      </c>
      <c r="AO22" s="291">
        <v>597203</v>
      </c>
      <c r="AP22" s="292">
        <v>585332</v>
      </c>
      <c r="AQ22" s="292">
        <v>650203</v>
      </c>
    </row>
    <row r="23" spans="2:43" s="294" customFormat="1" ht="15" customHeight="1">
      <c r="B23" s="260" t="s">
        <v>295</v>
      </c>
      <c r="C23" s="396"/>
      <c r="D23" s="291">
        <f t="shared" ref="D23" si="32">D24+D25</f>
        <v>820226</v>
      </c>
      <c r="E23" s="291">
        <f t="shared" ref="E23" si="33">E24+E25</f>
        <v>630691</v>
      </c>
      <c r="F23" s="292">
        <f t="shared" ref="F23" si="34">F24+F25</f>
        <v>840329</v>
      </c>
      <c r="G23" s="291">
        <f t="shared" ref="G23" si="35">G24+G25</f>
        <v>1620678</v>
      </c>
      <c r="H23" s="291">
        <f t="shared" ref="H23" si="36">H24+H25</f>
        <v>1363042</v>
      </c>
      <c r="I23" s="291">
        <f t="shared" ref="I23" si="37">I24+I25</f>
        <v>1605592</v>
      </c>
      <c r="J23" s="292">
        <f t="shared" ref="J23" si="38">J24+J25</f>
        <v>1121342</v>
      </c>
      <c r="K23" s="291">
        <f t="shared" ref="K23" si="39">K24+K25</f>
        <v>545025</v>
      </c>
      <c r="L23" s="291">
        <f t="shared" ref="L23" si="40">L24+L25</f>
        <v>436549</v>
      </c>
      <c r="M23" s="291">
        <f t="shared" ref="M23" si="41">M24+M25</f>
        <v>649414</v>
      </c>
      <c r="N23" s="292">
        <f t="shared" ref="N23" si="42">N24+N25</f>
        <v>632015</v>
      </c>
      <c r="O23" s="291">
        <f t="shared" ref="O23" si="43">O24+O25</f>
        <v>284393</v>
      </c>
      <c r="P23" s="291">
        <f t="shared" ref="P23" si="44">P24+P25</f>
        <v>668941</v>
      </c>
      <c r="Q23" s="291">
        <v>669662</v>
      </c>
      <c r="R23" s="292">
        <f t="shared" ref="R23:W23" si="45">R24+R25</f>
        <v>558867</v>
      </c>
      <c r="S23" s="291">
        <f t="shared" si="45"/>
        <v>240712</v>
      </c>
      <c r="T23" s="291">
        <f t="shared" si="45"/>
        <v>197838</v>
      </c>
      <c r="U23" s="291">
        <f t="shared" si="45"/>
        <v>258179</v>
      </c>
      <c r="V23" s="292">
        <f t="shared" si="45"/>
        <v>424380</v>
      </c>
      <c r="W23" s="291">
        <f t="shared" si="45"/>
        <v>441280</v>
      </c>
      <c r="X23" s="291">
        <v>487368</v>
      </c>
      <c r="Y23" s="291">
        <f t="shared" ref="Y23" si="46">SUM(Y24:Y25)</f>
        <v>372470</v>
      </c>
      <c r="Z23" s="292">
        <f t="shared" ref="Z23:AA23" si="47">SUM(Z24:Z25)</f>
        <v>416575</v>
      </c>
      <c r="AA23" s="291">
        <f t="shared" si="47"/>
        <v>453083</v>
      </c>
      <c r="AB23" s="291">
        <f t="shared" ref="AB23:AF23" si="48">SUM(AB24:AB25)</f>
        <v>481022</v>
      </c>
      <c r="AC23" s="291">
        <f t="shared" si="48"/>
        <v>634097</v>
      </c>
      <c r="AD23" s="292">
        <f t="shared" si="48"/>
        <v>648401</v>
      </c>
      <c r="AE23" s="291">
        <f t="shared" si="48"/>
        <v>726349</v>
      </c>
      <c r="AF23" s="291">
        <f t="shared" si="48"/>
        <v>689214</v>
      </c>
      <c r="AG23" s="291">
        <v>834277</v>
      </c>
      <c r="AH23" s="292">
        <v>230928</v>
      </c>
      <c r="AI23" s="291">
        <v>262809</v>
      </c>
      <c r="AJ23" s="291">
        <v>360665</v>
      </c>
      <c r="AK23" s="291">
        <v>272393</v>
      </c>
      <c r="AL23" s="292">
        <v>287093</v>
      </c>
      <c r="AM23" s="291">
        <v>285168</v>
      </c>
      <c r="AN23" s="291">
        <v>292437</v>
      </c>
      <c r="AO23" s="291">
        <v>317835</v>
      </c>
      <c r="AP23" s="292">
        <v>249622</v>
      </c>
      <c r="AQ23" s="292">
        <v>166199</v>
      </c>
    </row>
    <row r="24" spans="2:43" ht="15" customHeight="1">
      <c r="B24" s="304" t="s">
        <v>296</v>
      </c>
      <c r="C24" s="398"/>
      <c r="D24" s="305">
        <v>622105</v>
      </c>
      <c r="E24" s="305">
        <f>'[12]09. BP'!C14</f>
        <v>331051</v>
      </c>
      <c r="F24" s="306">
        <v>486894</v>
      </c>
      <c r="G24" s="305">
        <v>800562</v>
      </c>
      <c r="H24" s="305">
        <v>989257</v>
      </c>
      <c r="I24" s="305">
        <v>1292247</v>
      </c>
      <c r="J24" s="306">
        <v>779328</v>
      </c>
      <c r="K24" s="305">
        <v>348953</v>
      </c>
      <c r="L24" s="305">
        <v>292400</v>
      </c>
      <c r="M24" s="305">
        <v>497690</v>
      </c>
      <c r="N24" s="306">
        <v>62709</v>
      </c>
      <c r="O24" s="305">
        <v>87840</v>
      </c>
      <c r="P24" s="305">
        <v>219529</v>
      </c>
      <c r="Q24" s="305">
        <v>166461</v>
      </c>
      <c r="R24" s="306">
        <v>156135</v>
      </c>
      <c r="S24" s="305">
        <v>70700</v>
      </c>
      <c r="T24" s="305">
        <v>105585</v>
      </c>
      <c r="U24" s="305">
        <v>181595</v>
      </c>
      <c r="V24" s="306">
        <v>371734</v>
      </c>
      <c r="W24" s="305">
        <v>404528</v>
      </c>
      <c r="X24" s="305">
        <v>472581</v>
      </c>
      <c r="Y24" s="305">
        <v>333894</v>
      </c>
      <c r="Z24" s="306">
        <v>286994</v>
      </c>
      <c r="AA24" s="305">
        <v>158655</v>
      </c>
      <c r="AB24" s="305">
        <v>231026</v>
      </c>
      <c r="AC24" s="305">
        <v>225673</v>
      </c>
      <c r="AD24" s="306">
        <v>162779</v>
      </c>
      <c r="AE24" s="305">
        <v>236864</v>
      </c>
      <c r="AF24" s="305">
        <v>89419</v>
      </c>
      <c r="AG24" s="305">
        <v>199807</v>
      </c>
      <c r="AH24" s="306">
        <v>49747</v>
      </c>
      <c r="AI24" s="305">
        <v>41105</v>
      </c>
      <c r="AJ24" s="305">
        <v>249869</v>
      </c>
      <c r="AK24" s="305">
        <v>106938</v>
      </c>
      <c r="AL24" s="306">
        <v>197832</v>
      </c>
      <c r="AM24" s="305">
        <v>63655</v>
      </c>
      <c r="AN24" s="305">
        <v>73095</v>
      </c>
      <c r="AO24" s="305">
        <v>146228</v>
      </c>
      <c r="AP24" s="306">
        <v>126949</v>
      </c>
      <c r="AQ24" s="306">
        <v>37755</v>
      </c>
    </row>
    <row r="25" spans="2:43" ht="15" customHeight="1">
      <c r="B25" s="307" t="s">
        <v>202</v>
      </c>
      <c r="C25" s="399"/>
      <c r="D25" s="308">
        <v>198121</v>
      </c>
      <c r="E25" s="305">
        <f>'[12]09. BP'!C15</f>
        <v>299640</v>
      </c>
      <c r="F25" s="309">
        <v>353435</v>
      </c>
      <c r="G25" s="308">
        <v>820116</v>
      </c>
      <c r="H25" s="308">
        <v>373785</v>
      </c>
      <c r="I25" s="308">
        <v>313345</v>
      </c>
      <c r="J25" s="309">
        <v>342014</v>
      </c>
      <c r="K25" s="308">
        <v>196072</v>
      </c>
      <c r="L25" s="308">
        <v>144149</v>
      </c>
      <c r="M25" s="308">
        <v>151724</v>
      </c>
      <c r="N25" s="309">
        <v>569306</v>
      </c>
      <c r="O25" s="308">
        <v>196553</v>
      </c>
      <c r="P25" s="308">
        <v>449412</v>
      </c>
      <c r="Q25" s="308">
        <v>503201</v>
      </c>
      <c r="R25" s="309">
        <v>402732</v>
      </c>
      <c r="S25" s="308">
        <v>170012</v>
      </c>
      <c r="T25" s="308">
        <v>92253</v>
      </c>
      <c r="U25" s="308">
        <v>76584</v>
      </c>
      <c r="V25" s="309">
        <v>52646</v>
      </c>
      <c r="W25" s="308">
        <v>36752</v>
      </c>
      <c r="X25" s="308">
        <v>14787</v>
      </c>
      <c r="Y25" s="308">
        <v>38576</v>
      </c>
      <c r="Z25" s="309">
        <v>129581</v>
      </c>
      <c r="AA25" s="308">
        <v>294428</v>
      </c>
      <c r="AB25" s="308">
        <v>249996</v>
      </c>
      <c r="AC25" s="308">
        <v>408424</v>
      </c>
      <c r="AD25" s="309">
        <v>485622</v>
      </c>
      <c r="AE25" s="308">
        <v>489485</v>
      </c>
      <c r="AF25" s="308">
        <v>599795</v>
      </c>
      <c r="AG25" s="308">
        <v>634470</v>
      </c>
      <c r="AH25" s="309">
        <v>181454</v>
      </c>
      <c r="AI25" s="308">
        <v>221704</v>
      </c>
      <c r="AJ25" s="308">
        <v>110796</v>
      </c>
      <c r="AK25" s="308">
        <v>165455</v>
      </c>
      <c r="AL25" s="309">
        <v>89261</v>
      </c>
      <c r="AM25" s="308">
        <v>221513</v>
      </c>
      <c r="AN25" s="308">
        <v>219342</v>
      </c>
      <c r="AO25" s="308">
        <v>171607</v>
      </c>
      <c r="AP25" s="309">
        <v>122673</v>
      </c>
      <c r="AQ25" s="309">
        <v>128444</v>
      </c>
    </row>
    <row r="26" spans="2:43" s="294" customFormat="1" ht="15" customHeight="1">
      <c r="B26" s="260" t="s">
        <v>297</v>
      </c>
      <c r="C26" s="396"/>
      <c r="D26" s="291">
        <f t="shared" ref="D26" si="49">D22-D23</f>
        <v>2789593</v>
      </c>
      <c r="E26" s="291">
        <f t="shared" ref="E26" si="50">E22-E23</f>
        <v>2610966</v>
      </c>
      <c r="F26" s="292">
        <f t="shared" ref="F26" si="51">F22-F23</f>
        <v>2300704</v>
      </c>
      <c r="G26" s="291">
        <f t="shared" ref="G26" si="52">G22-G23</f>
        <v>1914218</v>
      </c>
      <c r="H26" s="291">
        <f t="shared" ref="H26" si="53">H22-H23</f>
        <v>1846176</v>
      </c>
      <c r="I26" s="291">
        <f t="shared" ref="I26" si="54">I22-I23</f>
        <v>1760400</v>
      </c>
      <c r="J26" s="292">
        <f t="shared" ref="J26" si="55">J22-J23</f>
        <v>1660808</v>
      </c>
      <c r="K26" s="291">
        <f t="shared" ref="K26" si="56">K22-K23</f>
        <v>1493767</v>
      </c>
      <c r="L26" s="291">
        <f t="shared" ref="L26" si="57">L22-L23</f>
        <v>1534442</v>
      </c>
      <c r="M26" s="291">
        <f t="shared" ref="M26" si="58">M22-M23</f>
        <v>1426746</v>
      </c>
      <c r="N26" s="292">
        <f t="shared" ref="N26" si="59">N22-N23</f>
        <v>1383434</v>
      </c>
      <c r="O26" s="291">
        <f t="shared" ref="O26" si="60">O22-O23</f>
        <v>1111074</v>
      </c>
      <c r="P26" s="291">
        <f t="shared" ref="P26" si="61">P22-P23</f>
        <v>702649</v>
      </c>
      <c r="Q26" s="291">
        <v>719162</v>
      </c>
      <c r="R26" s="292">
        <f>R22-R23</f>
        <v>872243</v>
      </c>
      <c r="S26" s="291">
        <f>S22-S23</f>
        <v>685770</v>
      </c>
      <c r="T26" s="291">
        <f>T22-T23</f>
        <v>519748</v>
      </c>
      <c r="U26" s="291">
        <f>U22-U23</f>
        <v>245734.59436999995</v>
      </c>
      <c r="V26" s="292">
        <f>V22-V23</f>
        <v>233492</v>
      </c>
      <c r="W26" s="291">
        <v>235467</v>
      </c>
      <c r="X26" s="291">
        <v>209069</v>
      </c>
      <c r="Y26" s="291">
        <f>Y22-Y23</f>
        <v>275431</v>
      </c>
      <c r="Z26" s="292">
        <f t="shared" ref="Z26:AG26" si="62">Z22-Z23</f>
        <v>194972</v>
      </c>
      <c r="AA26" s="291">
        <f t="shared" si="62"/>
        <v>223277</v>
      </c>
      <c r="AB26" s="291">
        <f t="shared" si="62"/>
        <v>243461</v>
      </c>
      <c r="AC26" s="291">
        <f t="shared" si="62"/>
        <v>217102</v>
      </c>
      <c r="AD26" s="292">
        <f t="shared" si="62"/>
        <v>211750</v>
      </c>
      <c r="AE26" s="291">
        <f t="shared" si="62"/>
        <v>184130</v>
      </c>
      <c r="AF26" s="291">
        <f t="shared" si="62"/>
        <v>273652</v>
      </c>
      <c r="AG26" s="291">
        <f t="shared" si="62"/>
        <v>254382</v>
      </c>
      <c r="AH26" s="292">
        <v>395979</v>
      </c>
      <c r="AI26" s="291">
        <v>330694</v>
      </c>
      <c r="AJ26" s="291">
        <v>118779</v>
      </c>
      <c r="AK26" s="291">
        <v>127351</v>
      </c>
      <c r="AL26" s="292">
        <v>188032</v>
      </c>
      <c r="AM26" s="291">
        <v>238070</v>
      </c>
      <c r="AN26" s="291">
        <v>281566</v>
      </c>
      <c r="AO26" s="291">
        <v>279368</v>
      </c>
      <c r="AP26" s="292">
        <v>335710</v>
      </c>
      <c r="AQ26" s="292">
        <v>484004</v>
      </c>
    </row>
    <row r="27" spans="2:43" s="294" customFormat="1" ht="15" customHeight="1">
      <c r="B27" s="260" t="s">
        <v>298</v>
      </c>
      <c r="C27" s="396"/>
      <c r="D27" s="291">
        <v>1406584</v>
      </c>
      <c r="E27" s="291">
        <v>1200852</v>
      </c>
      <c r="F27" s="292">
        <v>1012554</v>
      </c>
      <c r="G27" s="291">
        <v>821548</v>
      </c>
      <c r="H27" s="291">
        <v>831396</v>
      </c>
      <c r="I27" s="291">
        <v>957159</v>
      </c>
      <c r="J27" s="292">
        <v>1221574</v>
      </c>
      <c r="K27" s="291">
        <v>1246187</v>
      </c>
      <c r="L27" s="291">
        <v>1308622</v>
      </c>
      <c r="M27" s="291">
        <v>1661009</v>
      </c>
      <c r="N27" s="292">
        <v>1879233</v>
      </c>
      <c r="O27" s="291">
        <v>2529940</v>
      </c>
      <c r="P27" s="291">
        <v>3075491</v>
      </c>
      <c r="Q27" s="291">
        <v>2729104</v>
      </c>
      <c r="R27" s="292">
        <v>2434029</v>
      </c>
      <c r="S27" s="291">
        <v>1841822</v>
      </c>
      <c r="T27" s="291">
        <v>1185305</v>
      </c>
      <c r="U27" s="291">
        <v>933742</v>
      </c>
      <c r="V27" s="292">
        <v>512115</v>
      </c>
      <c r="W27" s="291">
        <v>339341</v>
      </c>
      <c r="X27" s="291">
        <v>158263</v>
      </c>
      <c r="Y27" s="291">
        <v>130443</v>
      </c>
      <c r="Z27" s="292">
        <v>344138</v>
      </c>
      <c r="AA27" s="291">
        <v>374560</v>
      </c>
      <c r="AB27" s="291">
        <v>571855</v>
      </c>
      <c r="AC27" s="291">
        <v>677485</v>
      </c>
      <c r="AD27" s="292">
        <v>809743</v>
      </c>
      <c r="AE27" s="291">
        <v>764714</v>
      </c>
      <c r="AF27" s="291">
        <v>700333</v>
      </c>
      <c r="AG27" s="291">
        <v>628460</v>
      </c>
      <c r="AH27" s="292">
        <v>474210</v>
      </c>
      <c r="AI27" s="291">
        <v>808800</v>
      </c>
      <c r="AJ27" s="291">
        <v>706156</v>
      </c>
      <c r="AK27" s="291">
        <v>694150</v>
      </c>
      <c r="AL27" s="292">
        <v>677977</v>
      </c>
      <c r="AM27" s="291">
        <v>260648</v>
      </c>
      <c r="AN27" s="291">
        <v>231725</v>
      </c>
      <c r="AO27" s="291">
        <v>254480</v>
      </c>
      <c r="AP27" s="292">
        <v>236058</v>
      </c>
      <c r="AQ27" s="292">
        <v>183199</v>
      </c>
    </row>
    <row r="28" spans="2:43" s="294" customFormat="1" ht="15" customHeight="1">
      <c r="B28" s="260" t="s">
        <v>299</v>
      </c>
      <c r="C28" s="396"/>
      <c r="D28" s="310">
        <f t="shared" ref="D28" si="63">D26/D27</f>
        <v>1.9832395363518993</v>
      </c>
      <c r="E28" s="310">
        <f t="shared" ref="E28" si="64">E26/E27</f>
        <v>2.1742612744951084</v>
      </c>
      <c r="F28" s="311">
        <f t="shared" ref="F28" si="65">F26/F27</f>
        <v>2.2721790640301651</v>
      </c>
      <c r="G28" s="310">
        <f t="shared" ref="G28" si="66">G26/G27</f>
        <v>2.3300135841119447</v>
      </c>
      <c r="H28" s="310">
        <f t="shared" ref="H28" si="67">H26/H27</f>
        <v>2.2205735894808249</v>
      </c>
      <c r="I28" s="310">
        <f t="shared" ref="I28" si="68">I26/I27</f>
        <v>1.8391928613741291</v>
      </c>
      <c r="J28" s="311">
        <f t="shared" ref="J28" si="69">J26/J27</f>
        <v>1.3595639723831712</v>
      </c>
      <c r="K28" s="310">
        <f t="shared" ref="K28" si="70">K26/K27</f>
        <v>1.1986700230382759</v>
      </c>
      <c r="L28" s="310">
        <f t="shared" ref="L28" si="71">L26/L27</f>
        <v>1.1725632000684689</v>
      </c>
      <c r="M28" s="310">
        <f t="shared" ref="M28" si="72">M26/M27</f>
        <v>0.85896343728420499</v>
      </c>
      <c r="N28" s="311">
        <f t="shared" ref="N28" si="73">N26/N27</f>
        <v>0.73616949042508295</v>
      </c>
      <c r="O28" s="310">
        <f t="shared" ref="O28" si="74">O26/O27</f>
        <v>0.43917009889562597</v>
      </c>
      <c r="P28" s="310">
        <f t="shared" ref="P28" si="75">P26/P27</f>
        <v>0.22846725937419424</v>
      </c>
      <c r="Q28" s="310">
        <v>0.26351579126335972</v>
      </c>
      <c r="R28" s="311">
        <f t="shared" ref="R28:X28" si="76">R26/R27</f>
        <v>0.35835357754570712</v>
      </c>
      <c r="S28" s="310">
        <f t="shared" si="76"/>
        <v>0.37233239694172399</v>
      </c>
      <c r="T28" s="310">
        <f t="shared" si="76"/>
        <v>0.4384930460936215</v>
      </c>
      <c r="U28" s="310">
        <f t="shared" si="76"/>
        <v>0.26317183372923136</v>
      </c>
      <c r="V28" s="311">
        <f t="shared" si="76"/>
        <v>0.4559366548529139</v>
      </c>
      <c r="W28" s="310">
        <f t="shared" si="76"/>
        <v>0.69389493164692739</v>
      </c>
      <c r="X28" s="310">
        <f t="shared" si="76"/>
        <v>1.3210226016188245</v>
      </c>
      <c r="Y28" s="310">
        <f t="shared" ref="Y28" si="77">Y26/Y27</f>
        <v>2.1115046418742285</v>
      </c>
      <c r="Z28" s="311">
        <f t="shared" ref="Z28:AA28" si="78">Z26/Z27</f>
        <v>0.56655179027018232</v>
      </c>
      <c r="AA28" s="310">
        <f t="shared" si="78"/>
        <v>0.59610476292182824</v>
      </c>
      <c r="AB28" s="310">
        <f t="shared" ref="AB28:AF28" si="79">AB26/AB27</f>
        <v>0.42573904223972858</v>
      </c>
      <c r="AC28" s="310">
        <f t="shared" si="79"/>
        <v>0.32045285135464252</v>
      </c>
      <c r="AD28" s="311">
        <f t="shared" si="79"/>
        <v>0.26150272370369365</v>
      </c>
      <c r="AE28" s="310">
        <f t="shared" si="79"/>
        <v>0.24078282861305011</v>
      </c>
      <c r="AF28" s="310">
        <f t="shared" si="79"/>
        <v>0.39074554533343425</v>
      </c>
      <c r="AG28" s="310">
        <v>0.4</v>
      </c>
      <c r="AH28" s="311">
        <v>0.84</v>
      </c>
      <c r="AI28" s="310" t="s">
        <v>158</v>
      </c>
      <c r="AJ28" s="310">
        <f>AJ26/AJ27</f>
        <v>0.16820504251185289</v>
      </c>
      <c r="AK28" s="310" t="s">
        <v>153</v>
      </c>
      <c r="AL28" s="311" t="s">
        <v>152</v>
      </c>
      <c r="AM28" s="310">
        <v>0.91</v>
      </c>
      <c r="AN28" s="310">
        <v>1.22</v>
      </c>
      <c r="AO28" s="310">
        <v>1.1000000000000001</v>
      </c>
      <c r="AP28" s="311">
        <v>1.4221504884392819</v>
      </c>
      <c r="AQ28" s="311">
        <v>2.6419576526072741</v>
      </c>
    </row>
    <row r="29" spans="2:43" ht="15" customHeight="1">
      <c r="AF29" s="400"/>
      <c r="AG29" s="400"/>
      <c r="AH29" s="400"/>
      <c r="AI29" s="400"/>
      <c r="AJ29" s="400"/>
      <c r="AK29" s="312"/>
      <c r="AL29" s="312"/>
      <c r="AM29" s="312"/>
      <c r="AN29" s="312"/>
      <c r="AO29" s="312"/>
      <c r="AP29" s="312"/>
      <c r="AQ29" s="401"/>
    </row>
    <row r="30" spans="2:43">
      <c r="B30" s="278" t="s">
        <v>417</v>
      </c>
      <c r="C30" s="402"/>
      <c r="O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314"/>
      <c r="AG30" s="314"/>
    </row>
    <row r="31" spans="2:43">
      <c r="G31" s="203"/>
      <c r="AF31" s="314"/>
      <c r="AG31" s="314"/>
      <c r="AH31" s="315"/>
      <c r="AI31" s="315"/>
      <c r="AJ31" s="315"/>
      <c r="AK31" s="315"/>
      <c r="AL31" s="315"/>
      <c r="AM31" s="315"/>
      <c r="AN31" s="315"/>
      <c r="AO31" s="315"/>
      <c r="AP31" s="315"/>
    </row>
    <row r="32" spans="2:43">
      <c r="AF32" s="314"/>
      <c r="AG32" s="314"/>
    </row>
    <row r="33" spans="32:42">
      <c r="AF33" s="314"/>
      <c r="AG33" s="314"/>
      <c r="AH33" s="316"/>
      <c r="AI33" s="316"/>
      <c r="AJ33" s="316"/>
      <c r="AK33" s="316"/>
      <c r="AL33" s="316"/>
      <c r="AM33" s="316"/>
      <c r="AN33" s="316"/>
      <c r="AO33" s="316"/>
      <c r="AP33" s="316"/>
    </row>
    <row r="34" spans="32:42">
      <c r="AF34" s="314"/>
      <c r="AG34" s="314"/>
    </row>
    <row r="35" spans="32:42">
      <c r="AF35" s="314"/>
      <c r="AG35" s="314"/>
    </row>
    <row r="36" spans="32:42">
      <c r="AF36" s="314"/>
      <c r="AG36" s="314"/>
    </row>
    <row r="37" spans="32:42">
      <c r="AF37" s="314"/>
      <c r="AG37" s="314"/>
    </row>
    <row r="38" spans="32:42">
      <c r="AF38" s="314"/>
      <c r="AG38" s="314"/>
    </row>
    <row r="39" spans="32:42">
      <c r="AF39" s="314"/>
      <c r="AG39" s="314"/>
    </row>
    <row r="40" spans="32:42">
      <c r="AF40" s="314"/>
      <c r="AG40" s="314"/>
    </row>
    <row r="41" spans="32:42">
      <c r="AF41" s="314"/>
      <c r="AG41" s="314"/>
    </row>
    <row r="42" spans="32:42">
      <c r="AF42" s="314"/>
      <c r="AG42" s="314"/>
    </row>
    <row r="43" spans="32:42">
      <c r="AF43" s="314"/>
      <c r="AG43" s="314"/>
    </row>
    <row r="44" spans="32:42">
      <c r="AF44" s="314"/>
      <c r="AG44" s="314"/>
    </row>
    <row r="45" spans="32:42">
      <c r="AF45" s="314"/>
      <c r="AG45" s="314"/>
    </row>
  </sheetData>
  <sortState xmlns:xlrd2="http://schemas.microsoft.com/office/spreadsheetml/2017/richdata2" ref="A12:AY24">
    <sortCondition descending="1" ref="AL12:AL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4" bestFit="1" customWidth="1"/>
    <col min="9" max="9" width="14.5703125" bestFit="1" customWidth="1"/>
  </cols>
  <sheetData>
    <row r="6" spans="4:6" ht="15.75" thickBot="1">
      <c r="D6" s="51" t="s">
        <v>44</v>
      </c>
      <c r="E6" s="52"/>
      <c r="F6" s="52"/>
    </row>
    <row r="7" spans="4:6" ht="13.5" thickBot="1">
      <c r="D7" s="53" t="s">
        <v>45</v>
      </c>
      <c r="E7" s="54" t="s">
        <v>46</v>
      </c>
      <c r="F7" s="55" t="s">
        <v>47</v>
      </c>
    </row>
    <row r="8" spans="4:6">
      <c r="D8" s="56" t="s">
        <v>48</v>
      </c>
      <c r="E8" s="57" t="s">
        <v>49</v>
      </c>
      <c r="F8" s="58">
        <v>0.51</v>
      </c>
    </row>
    <row r="9" spans="4:6">
      <c r="D9" s="56" t="s">
        <v>50</v>
      </c>
      <c r="E9" s="57" t="s">
        <v>51</v>
      </c>
      <c r="F9" s="58">
        <v>0.59</v>
      </c>
    </row>
    <row r="10" spans="4:6" ht="13.5" thickBot="1">
      <c r="D10" s="56" t="s">
        <v>52</v>
      </c>
      <c r="E10" s="57" t="s">
        <v>53</v>
      </c>
      <c r="F10" s="58">
        <v>0.48</v>
      </c>
    </row>
    <row r="11" spans="4:6" ht="13.5" thickBot="1">
      <c r="D11" s="54" t="s">
        <v>54</v>
      </c>
      <c r="E11" s="55" t="s">
        <v>55</v>
      </c>
      <c r="F11" s="59">
        <v>0.49</v>
      </c>
    </row>
    <row r="12" spans="4:6" ht="13.5" thickBot="1">
      <c r="D12" s="60" t="s">
        <v>56</v>
      </c>
      <c r="E12" s="61" t="s">
        <v>57</v>
      </c>
      <c r="F12" s="62"/>
    </row>
    <row r="13" spans="4:6">
      <c r="D13" s="52"/>
      <c r="E13" s="52"/>
      <c r="F13" s="52"/>
    </row>
    <row r="14" spans="4:6" ht="15.75" thickBot="1">
      <c r="D14" s="51" t="s">
        <v>58</v>
      </c>
      <c r="E14" s="52"/>
      <c r="F14" s="52"/>
    </row>
    <row r="15" spans="4:6" ht="13.5" thickBot="1">
      <c r="D15" s="53" t="s">
        <v>45</v>
      </c>
      <c r="E15" s="54" t="s">
        <v>46</v>
      </c>
      <c r="F15" s="55" t="s">
        <v>47</v>
      </c>
    </row>
    <row r="16" spans="4:6">
      <c r="D16" s="56" t="s">
        <v>48</v>
      </c>
      <c r="E16" s="57" t="s">
        <v>59</v>
      </c>
      <c r="F16" s="58">
        <v>0.51</v>
      </c>
    </row>
    <row r="17" spans="4:9">
      <c r="D17" s="56" t="s">
        <v>50</v>
      </c>
      <c r="E17" s="57" t="s">
        <v>60</v>
      </c>
      <c r="F17" s="58">
        <v>0.59</v>
      </c>
    </row>
    <row r="18" spans="4:9" ht="13.5" thickBot="1">
      <c r="D18" s="56" t="s">
        <v>52</v>
      </c>
      <c r="E18" s="57" t="s">
        <v>61</v>
      </c>
      <c r="F18" s="58">
        <v>0.48</v>
      </c>
    </row>
    <row r="19" spans="4:9" ht="13.5" thickBot="1">
      <c r="D19" s="54" t="s">
        <v>54</v>
      </c>
      <c r="E19" s="55" t="s">
        <v>62</v>
      </c>
      <c r="F19" s="59">
        <v>0.48</v>
      </c>
    </row>
    <row r="20" spans="4:9" ht="13.5" thickBot="1">
      <c r="D20" s="60" t="s">
        <v>56</v>
      </c>
      <c r="E20" s="61" t="s">
        <v>63</v>
      </c>
      <c r="F20" s="62"/>
    </row>
    <row r="21" spans="4:9">
      <c r="D21" s="52"/>
      <c r="E21" s="52"/>
      <c r="F21" s="52"/>
    </row>
    <row r="22" spans="4:9" ht="15.75" thickBot="1">
      <c r="D22" s="63" t="s">
        <v>64</v>
      </c>
      <c r="E22" s="52"/>
      <c r="F22" s="52"/>
    </row>
    <row r="23" spans="4:9" ht="13.5" thickBot="1">
      <c r="D23" s="53" t="s">
        <v>45</v>
      </c>
      <c r="E23" s="54" t="s">
        <v>46</v>
      </c>
      <c r="F23" s="55" t="s">
        <v>47</v>
      </c>
    </row>
    <row r="24" spans="4:9">
      <c r="D24" s="56" t="s">
        <v>48</v>
      </c>
      <c r="E24" s="57" t="s">
        <v>65</v>
      </c>
      <c r="F24" s="58">
        <v>0.51</v>
      </c>
      <c r="H24" s="64">
        <v>277523812</v>
      </c>
      <c r="I24" s="65">
        <f>H24*F24</f>
        <v>141537144.12</v>
      </c>
    </row>
    <row r="25" spans="4:9">
      <c r="D25" s="56" t="s">
        <v>50</v>
      </c>
      <c r="E25" s="57" t="s">
        <v>66</v>
      </c>
      <c r="F25" s="58">
        <v>0.69</v>
      </c>
      <c r="H25" s="64">
        <v>25906128</v>
      </c>
      <c r="I25" s="65">
        <f>H25*F25</f>
        <v>17875228.32</v>
      </c>
    </row>
    <row r="26" spans="4:9" ht="13.5" thickBot="1">
      <c r="D26" s="56" t="s">
        <v>52</v>
      </c>
      <c r="E26" s="57" t="s">
        <v>67</v>
      </c>
      <c r="F26" s="58">
        <v>0.49</v>
      </c>
      <c r="H26" s="64">
        <v>502856647</v>
      </c>
      <c r="I26" s="65">
        <f>H26*F26</f>
        <v>246399757.03</v>
      </c>
    </row>
    <row r="27" spans="4:9" ht="13.5" thickBot="1">
      <c r="D27" s="54" t="s">
        <v>54</v>
      </c>
      <c r="E27" s="55" t="s">
        <v>68</v>
      </c>
      <c r="F27" s="59">
        <v>0.49</v>
      </c>
      <c r="I27" s="65">
        <f>SUM(I24:I26)</f>
        <v>405812129.47000003</v>
      </c>
    </row>
    <row r="28" spans="4:9" ht="13.5" thickBot="1">
      <c r="D28" s="60" t="s">
        <v>56</v>
      </c>
      <c r="E28" s="61" t="s">
        <v>69</v>
      </c>
      <c r="F28" s="6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115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D7</f>
        <v>467698</v>
      </c>
      <c r="D3" s="139">
        <v>591334</v>
      </c>
      <c r="E3" s="139">
        <v>111527</v>
      </c>
    </row>
    <row r="4" spans="2:5" s="135" customFormat="1" ht="24.95" customHeight="1">
      <c r="B4" s="140" t="s">
        <v>107</v>
      </c>
      <c r="C4" s="141" t="s">
        <v>112</v>
      </c>
      <c r="D4" s="141" t="s">
        <v>112</v>
      </c>
      <c r="E4" s="141">
        <v>42544</v>
      </c>
    </row>
    <row r="5" spans="2:5" s="136" customFormat="1" ht="24.95" customHeight="1">
      <c r="B5" s="140" t="s">
        <v>114</v>
      </c>
      <c r="C5" s="142">
        <v>-562</v>
      </c>
      <c r="D5" s="142">
        <v>-123636</v>
      </c>
      <c r="E5" s="142">
        <v>-112737</v>
      </c>
    </row>
    <row r="6" spans="2:5" s="136" customFormat="1" ht="24.95" customHeight="1">
      <c r="B6" s="140" t="s">
        <v>109</v>
      </c>
      <c r="C6" s="142">
        <v>80000</v>
      </c>
      <c r="D6" s="142" t="s">
        <v>112</v>
      </c>
      <c r="E6" s="142">
        <v>550000</v>
      </c>
    </row>
    <row r="7" spans="2:5" s="45" customFormat="1" ht="24.95" customHeight="1">
      <c r="B7" s="138" t="s">
        <v>113</v>
      </c>
      <c r="C7" s="139">
        <f>SUM(C3:C6)</f>
        <v>547136</v>
      </c>
      <c r="D7" s="139">
        <f>SUM(D3:D6)</f>
        <v>467698</v>
      </c>
      <c r="E7" s="139">
        <f>SUM(E3:E6)</f>
        <v>591334</v>
      </c>
    </row>
    <row r="9" spans="2:5">
      <c r="C9" s="103"/>
    </row>
    <row r="10" spans="2:5">
      <c r="C10" s="103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116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D11</f>
        <v>182505</v>
      </c>
      <c r="D3" s="139">
        <v>149482</v>
      </c>
      <c r="E3" s="139">
        <v>107624</v>
      </c>
    </row>
    <row r="4" spans="2:5" s="135" customFormat="1" ht="24.95" customHeight="1">
      <c r="B4" s="140" t="s">
        <v>104</v>
      </c>
      <c r="C4" s="141">
        <v>23058</v>
      </c>
      <c r="D4" s="141">
        <v>89832</v>
      </c>
      <c r="E4" s="141">
        <v>56709</v>
      </c>
    </row>
    <row r="5" spans="2:5" s="136" customFormat="1" ht="24.95" customHeight="1">
      <c r="B5" s="140" t="s">
        <v>105</v>
      </c>
      <c r="C5" s="142"/>
      <c r="D5" s="142">
        <v>2530</v>
      </c>
      <c r="E5" s="142">
        <v>1877</v>
      </c>
    </row>
    <row r="6" spans="2:5" s="136" customFormat="1" ht="24.95" customHeight="1">
      <c r="B6" s="140" t="s">
        <v>106</v>
      </c>
      <c r="C6" s="142">
        <v>-2001</v>
      </c>
      <c r="D6" s="142">
        <v>-85896</v>
      </c>
      <c r="E6" s="142">
        <v>-46343</v>
      </c>
    </row>
    <row r="7" spans="2:5" s="136" customFormat="1" ht="24.95" customHeight="1">
      <c r="B7" s="140" t="s">
        <v>107</v>
      </c>
      <c r="C7" s="142"/>
      <c r="D7" s="142" t="s">
        <v>112</v>
      </c>
      <c r="E7" s="142">
        <v>28529</v>
      </c>
    </row>
    <row r="8" spans="2:5" s="136" customFormat="1" ht="24.95" customHeight="1">
      <c r="B8" s="140" t="s">
        <v>108</v>
      </c>
      <c r="C8" s="142">
        <v>562</v>
      </c>
      <c r="D8" s="142">
        <v>123636</v>
      </c>
      <c r="E8" s="142">
        <v>112737</v>
      </c>
    </row>
    <row r="9" spans="2:5" s="136" customFormat="1" ht="24.95" customHeight="1">
      <c r="B9" s="140" t="s">
        <v>109</v>
      </c>
      <c r="C9" s="142"/>
      <c r="D9" s="142">
        <v>40000</v>
      </c>
      <c r="E9" s="142" t="s">
        <v>112</v>
      </c>
    </row>
    <row r="10" spans="2:5" s="136" customFormat="1" ht="24.95" customHeight="1">
      <c r="B10" s="140" t="s">
        <v>110</v>
      </c>
      <c r="C10" s="142">
        <v>-10647</v>
      </c>
      <c r="D10" s="142">
        <v>-137079</v>
      </c>
      <c r="E10" s="142">
        <v>-111651</v>
      </c>
    </row>
    <row r="11" spans="2:5" s="45" customFormat="1" ht="24.95" customHeight="1">
      <c r="B11" s="138" t="s">
        <v>113</v>
      </c>
      <c r="C11" s="139">
        <f>SUM(C3:C10)</f>
        <v>193477</v>
      </c>
      <c r="D11" s="139">
        <f>SUM(D3:D10)</f>
        <v>182505</v>
      </c>
      <c r="E11" s="139">
        <f>SUM(E3:E10)</f>
        <v>149482</v>
      </c>
    </row>
    <row r="12" spans="2:5">
      <c r="C12" s="103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3" customFormat="1" ht="15"/>
    <row r="2" spans="2:22" s="43" customFormat="1" ht="31.5" customHeight="1">
      <c r="B2" s="106" t="s">
        <v>97</v>
      </c>
      <c r="C2" s="107" t="s">
        <v>93</v>
      </c>
      <c r="D2" s="107" t="s">
        <v>88</v>
      </c>
      <c r="E2" s="107" t="s">
        <v>6</v>
      </c>
      <c r="F2" s="107" t="s">
        <v>5</v>
      </c>
      <c r="G2" s="107" t="s">
        <v>4</v>
      </c>
      <c r="H2" s="108" t="s">
        <v>95</v>
      </c>
      <c r="I2" s="108" t="s">
        <v>96</v>
      </c>
      <c r="J2" s="107">
        <v>2014</v>
      </c>
      <c r="K2" s="107">
        <v>2013</v>
      </c>
      <c r="L2" s="108" t="s">
        <v>94</v>
      </c>
      <c r="M2" s="109"/>
      <c r="N2" s="107" t="s">
        <v>15</v>
      </c>
      <c r="O2" s="107" t="s">
        <v>1</v>
      </c>
      <c r="P2" s="107" t="s">
        <v>2</v>
      </c>
      <c r="Q2" s="107" t="s">
        <v>4</v>
      </c>
      <c r="R2" s="107">
        <v>2013</v>
      </c>
      <c r="S2" s="107" t="s">
        <v>81</v>
      </c>
      <c r="T2" s="107">
        <v>2012</v>
      </c>
      <c r="U2" s="13" t="s">
        <v>82</v>
      </c>
      <c r="V2" s="13" t="s">
        <v>0</v>
      </c>
    </row>
    <row r="3" spans="2:22" s="43" customFormat="1" ht="15" customHeight="1">
      <c r="B3" s="110" t="s">
        <v>3</v>
      </c>
      <c r="C3" s="111">
        <v>18507</v>
      </c>
      <c r="D3" s="111">
        <v>1652</v>
      </c>
      <c r="E3" s="111"/>
      <c r="F3" s="111">
        <v>29712</v>
      </c>
      <c r="G3" s="112">
        <v>17345</v>
      </c>
      <c r="H3" s="113">
        <f>(C3/D3)-1</f>
        <v>10.20278450363196</v>
      </c>
      <c r="I3" s="114">
        <f>(C3/G3-1)</f>
        <v>6.6993369847218265E-2</v>
      </c>
      <c r="J3" s="111">
        <v>65591</v>
      </c>
      <c r="K3" s="112">
        <v>360072</v>
      </c>
      <c r="L3" s="114">
        <f>(J3/K3)-1</f>
        <v>-0.81783920993579062</v>
      </c>
      <c r="M3" s="115"/>
      <c r="N3" s="111">
        <v>795</v>
      </c>
      <c r="O3" s="111">
        <v>-12335</v>
      </c>
      <c r="P3" s="111">
        <v>354267</v>
      </c>
      <c r="Q3" s="111">
        <f>R3-S3</f>
        <v>17345</v>
      </c>
      <c r="R3" s="111">
        <v>360072</v>
      </c>
      <c r="S3" s="111">
        <v>342727</v>
      </c>
      <c r="T3" s="111">
        <v>39282</v>
      </c>
      <c r="U3" s="104">
        <v>30488</v>
      </c>
      <c r="V3" s="104">
        <f>T3-U3</f>
        <v>8794</v>
      </c>
    </row>
    <row r="4" spans="2:22" s="43" customFormat="1" ht="15" customHeight="1">
      <c r="B4" s="116" t="s">
        <v>16</v>
      </c>
      <c r="C4" s="117">
        <v>2104</v>
      </c>
      <c r="D4" s="117">
        <v>-8871</v>
      </c>
      <c r="E4" s="117"/>
      <c r="F4" s="117">
        <v>-8871</v>
      </c>
      <c r="G4" s="118">
        <v>-4266</v>
      </c>
      <c r="H4" s="119">
        <f>(C4/D4-1)</f>
        <v>-1.2371773193552023</v>
      </c>
      <c r="I4" s="120">
        <f>(C4/G4)-1</f>
        <v>-1.4932020628223159</v>
      </c>
      <c r="J4" s="117">
        <v>9205</v>
      </c>
      <c r="K4" s="118">
        <v>-6457</v>
      </c>
      <c r="L4" s="120">
        <f>J4/K4-1</f>
        <v>-2.4255846368282485</v>
      </c>
      <c r="M4" s="118"/>
      <c r="N4" s="117">
        <v>-770</v>
      </c>
      <c r="O4" s="117">
        <v>-735</v>
      </c>
      <c r="P4" s="117">
        <v>-686</v>
      </c>
      <c r="Q4" s="117">
        <v>-4266</v>
      </c>
      <c r="R4" s="117">
        <v>-6457</v>
      </c>
      <c r="S4" s="117">
        <v>-2190</v>
      </c>
      <c r="T4" s="117">
        <v>-1894</v>
      </c>
      <c r="U4" s="42">
        <v>-1207</v>
      </c>
      <c r="V4" s="42">
        <f>T4-U4</f>
        <v>-687</v>
      </c>
    </row>
    <row r="5" spans="2:22" s="43" customFormat="1" ht="15" customHeight="1">
      <c r="B5" s="116" t="s">
        <v>17</v>
      </c>
      <c r="C5" s="117">
        <v>14605</v>
      </c>
      <c r="D5" s="117">
        <v>15063</v>
      </c>
      <c r="E5" s="117"/>
      <c r="F5" s="117">
        <v>15063</v>
      </c>
      <c r="G5" s="118">
        <v>15878</v>
      </c>
      <c r="H5" s="119">
        <f>C5/D5-1</f>
        <v>-3.0405629688641023E-2</v>
      </c>
      <c r="I5" s="120">
        <f>(C5/G5)-1</f>
        <v>-8.0173825418818456E-2</v>
      </c>
      <c r="J5" s="117">
        <v>61494</v>
      </c>
      <c r="K5" s="118">
        <v>36660</v>
      </c>
      <c r="L5" s="120">
        <f>J5/K5-1</f>
        <v>0.67741407528641573</v>
      </c>
      <c r="M5" s="118"/>
      <c r="N5" s="117">
        <f>-1424+41</f>
        <v>-1383</v>
      </c>
      <c r="O5" s="117">
        <v>7070</v>
      </c>
      <c r="P5" s="117">
        <v>15095</v>
      </c>
      <c r="Q5" s="117">
        <v>15878</v>
      </c>
      <c r="R5" s="117">
        <f>36660</f>
        <v>36660</v>
      </c>
      <c r="S5" s="117">
        <v>20782</v>
      </c>
      <c r="T5" s="117">
        <v>-4505</v>
      </c>
      <c r="U5" s="42">
        <v>-8540</v>
      </c>
      <c r="V5" s="42">
        <f>T5-U5</f>
        <v>4035</v>
      </c>
    </row>
    <row r="6" spans="2:22" s="43" customFormat="1" ht="15" customHeight="1">
      <c r="B6" s="116" t="s">
        <v>18</v>
      </c>
      <c r="C6" s="117">
        <v>12597</v>
      </c>
      <c r="D6" s="117">
        <v>11846</v>
      </c>
      <c r="E6" s="117"/>
      <c r="F6" s="117">
        <v>11846</v>
      </c>
      <c r="G6" s="118">
        <v>11422</v>
      </c>
      <c r="H6" s="119">
        <f>C6/D6-1</f>
        <v>6.3396927232821199E-2</v>
      </c>
      <c r="I6" s="120">
        <f>(C6/G6)-1</f>
        <v>0.10287165119943964</v>
      </c>
      <c r="J6" s="117">
        <v>46909</v>
      </c>
      <c r="K6" s="118">
        <v>16912</v>
      </c>
      <c r="L6" s="120">
        <f>J6/K6-1</f>
        <v>1.7737109744560078</v>
      </c>
      <c r="M6" s="118"/>
      <c r="N6" s="117">
        <v>1832</v>
      </c>
      <c r="O6" s="117">
        <v>1831</v>
      </c>
      <c r="P6" s="117">
        <v>1827</v>
      </c>
      <c r="Q6" s="117">
        <f>R6-S6</f>
        <v>11422</v>
      </c>
      <c r="R6" s="117">
        <v>16912</v>
      </c>
      <c r="S6" s="117">
        <v>5490</v>
      </c>
      <c r="T6" s="117">
        <v>4403</v>
      </c>
      <c r="U6" s="42">
        <v>2526</v>
      </c>
      <c r="V6" s="42">
        <f>T6-U6</f>
        <v>1877</v>
      </c>
    </row>
    <row r="7" spans="2:22" s="43" customFormat="1" ht="15" customHeight="1">
      <c r="B7" s="121" t="s">
        <v>19</v>
      </c>
      <c r="C7" s="117">
        <v>9699</v>
      </c>
      <c r="D7" s="117">
        <v>9484</v>
      </c>
      <c r="E7" s="117"/>
      <c r="F7" s="117">
        <v>9484</v>
      </c>
      <c r="G7" s="118">
        <v>8141</v>
      </c>
      <c r="H7" s="119">
        <f>C7/D7-1</f>
        <v>2.266975959510753E-2</v>
      </c>
      <c r="I7" s="120">
        <f>(C7/G7)-1</f>
        <v>0.19137698071489995</v>
      </c>
      <c r="J7" s="118">
        <v>37537</v>
      </c>
      <c r="K7" s="118">
        <v>8140</v>
      </c>
      <c r="L7" s="120">
        <f>J7/K7-1</f>
        <v>3.6114250614250611</v>
      </c>
      <c r="M7" s="118"/>
      <c r="N7" s="117">
        <v>0</v>
      </c>
      <c r="O7" s="117">
        <v>0</v>
      </c>
      <c r="P7" s="117"/>
      <c r="Q7" s="117">
        <v>8140</v>
      </c>
      <c r="R7" s="117">
        <f>SUM(N7:Q7)</f>
        <v>8140</v>
      </c>
      <c r="S7" s="117"/>
      <c r="T7" s="117"/>
      <c r="U7" s="42"/>
      <c r="V7" s="42"/>
    </row>
    <row r="8" spans="2:22" s="43" customFormat="1" ht="15" customHeight="1">
      <c r="B8" s="121" t="s">
        <v>20</v>
      </c>
      <c r="C8" s="117">
        <v>2898</v>
      </c>
      <c r="D8" s="117">
        <v>2362</v>
      </c>
      <c r="E8" s="117"/>
      <c r="F8" s="117">
        <v>2362</v>
      </c>
      <c r="G8" s="118">
        <v>3281</v>
      </c>
      <c r="H8" s="119">
        <f>C8/D8-1</f>
        <v>0.22692633361558001</v>
      </c>
      <c r="I8" s="120">
        <f>(C8/G8)-1</f>
        <v>-0.11673270344407194</v>
      </c>
      <c r="J8" s="118">
        <v>9372</v>
      </c>
      <c r="K8" s="118">
        <v>8772</v>
      </c>
      <c r="L8" s="120">
        <f>J8/K8-1</f>
        <v>6.8399452804377647E-2</v>
      </c>
      <c r="M8" s="118"/>
      <c r="N8" s="117">
        <v>1832</v>
      </c>
      <c r="O8" s="117">
        <v>1831</v>
      </c>
      <c r="P8" s="117">
        <v>1827</v>
      </c>
      <c r="Q8" s="117">
        <v>3282</v>
      </c>
      <c r="R8" s="117">
        <f>SUM(N8:Q8)</f>
        <v>8772</v>
      </c>
      <c r="S8" s="117">
        <f>S6</f>
        <v>5490</v>
      </c>
      <c r="T8" s="117"/>
      <c r="U8" s="42"/>
      <c r="V8" s="42"/>
    </row>
    <row r="9" spans="2:22" s="43" customFormat="1" ht="7.5" customHeight="1">
      <c r="B9" s="122"/>
      <c r="C9" s="117"/>
      <c r="D9" s="117"/>
      <c r="E9" s="117"/>
      <c r="F9" s="117"/>
      <c r="G9" s="118"/>
      <c r="H9" s="117"/>
      <c r="I9" s="120"/>
      <c r="J9" s="117"/>
      <c r="K9" s="118"/>
      <c r="L9" s="120"/>
      <c r="M9" s="118"/>
      <c r="N9" s="117"/>
      <c r="O9" s="117"/>
      <c r="P9" s="117"/>
      <c r="Q9" s="117"/>
      <c r="R9" s="117"/>
      <c r="S9" s="117"/>
      <c r="T9" s="117"/>
      <c r="U9" s="42"/>
      <c r="V9" s="42"/>
    </row>
    <row r="10" spans="2:22" s="43" customFormat="1" ht="15" customHeight="1">
      <c r="B10" s="128" t="s">
        <v>21</v>
      </c>
      <c r="C10" s="129">
        <f>C3+C4+C5+C6</f>
        <v>47813</v>
      </c>
      <c r="D10" s="129">
        <v>19690</v>
      </c>
      <c r="E10" s="129"/>
      <c r="F10" s="129">
        <v>19690</v>
      </c>
      <c r="G10" s="130">
        <v>40379</v>
      </c>
      <c r="H10" s="131">
        <f>(C10/D10)-1</f>
        <v>1.4282884713052311</v>
      </c>
      <c r="I10" s="132">
        <f>(C10/G10)-1</f>
        <v>0.18410559944525628</v>
      </c>
      <c r="J10" s="129">
        <f>J3+J4+J5+J6</f>
        <v>183199</v>
      </c>
      <c r="K10" s="130">
        <v>407187</v>
      </c>
      <c r="L10" s="132">
        <f>(J10/K10)-1</f>
        <v>-0.55008632397399726</v>
      </c>
      <c r="M10" s="133"/>
      <c r="N10" s="129">
        <f>N3+N4+N5+N6</f>
        <v>474</v>
      </c>
      <c r="O10" s="129">
        <v>-4169</v>
      </c>
      <c r="P10" s="129">
        <f t="shared" ref="P10:V12" si="0">P3+P4+P5+P6</f>
        <v>370503</v>
      </c>
      <c r="Q10" s="129">
        <f t="shared" si="0"/>
        <v>40379</v>
      </c>
      <c r="R10" s="129">
        <f t="shared" si="0"/>
        <v>407187</v>
      </c>
      <c r="S10" s="129">
        <f t="shared" si="0"/>
        <v>366809</v>
      </c>
      <c r="T10" s="129">
        <f t="shared" si="0"/>
        <v>37286</v>
      </c>
      <c r="U10" s="134">
        <f t="shared" si="0"/>
        <v>23267</v>
      </c>
      <c r="V10" s="134">
        <f t="shared" si="0"/>
        <v>14019</v>
      </c>
    </row>
    <row r="11" spans="2:22" s="43" customFormat="1" ht="15" customHeight="1">
      <c r="B11" s="128" t="s">
        <v>13</v>
      </c>
      <c r="C11" s="129">
        <f>C4+C5+C6+C7</f>
        <v>39005</v>
      </c>
      <c r="D11" s="129">
        <v>19690</v>
      </c>
      <c r="E11" s="129"/>
      <c r="F11" s="129">
        <v>19690</v>
      </c>
      <c r="G11" s="130">
        <v>40379</v>
      </c>
      <c r="H11" s="131">
        <f>(C11/D11)-1</f>
        <v>0.98095479939055363</v>
      </c>
      <c r="I11" s="132">
        <f>(C11/G11)-1</f>
        <v>-3.4027588598033676E-2</v>
      </c>
      <c r="J11" s="129" t="e">
        <f>'12. Net Debt'!#REF!</f>
        <v>#REF!</v>
      </c>
      <c r="K11" s="130" t="e">
        <f>'12. Net Debt'!#REF!</f>
        <v>#REF!</v>
      </c>
      <c r="L11" s="132" t="e">
        <f>(J11/K11)-1</f>
        <v>#REF!</v>
      </c>
      <c r="M11" s="133"/>
      <c r="N11" s="129">
        <f>N4+N5+N6+N7</f>
        <v>-321</v>
      </c>
      <c r="O11" s="129">
        <v>-4169</v>
      </c>
      <c r="P11" s="129">
        <f t="shared" si="0"/>
        <v>16236</v>
      </c>
      <c r="Q11" s="129">
        <f t="shared" si="0"/>
        <v>31174</v>
      </c>
      <c r="R11" s="129">
        <f t="shared" si="0"/>
        <v>55255</v>
      </c>
      <c r="S11" s="129">
        <f t="shared" si="0"/>
        <v>24082</v>
      </c>
      <c r="T11" s="129">
        <f t="shared" si="0"/>
        <v>-1996</v>
      </c>
      <c r="U11" s="134">
        <f t="shared" si="0"/>
        <v>-7221</v>
      </c>
      <c r="V11" s="134">
        <f t="shared" si="0"/>
        <v>5225</v>
      </c>
    </row>
    <row r="12" spans="2:22" s="44" customFormat="1" ht="15" customHeight="1">
      <c r="B12" s="110" t="s">
        <v>103</v>
      </c>
      <c r="C12" s="111">
        <f>C5+C6+C7+C8</f>
        <v>39799</v>
      </c>
      <c r="D12" s="111">
        <v>19690</v>
      </c>
      <c r="E12" s="111"/>
      <c r="F12" s="111">
        <v>19690</v>
      </c>
      <c r="G12" s="112">
        <v>40379</v>
      </c>
      <c r="H12" s="113">
        <f>(C12/D12)-1</f>
        <v>1.0212798374809546</v>
      </c>
      <c r="I12" s="114">
        <f>(C12/G12)-1</f>
        <v>-1.4363902028282083E-2</v>
      </c>
      <c r="J12" s="127" t="e">
        <f>J11/J10</f>
        <v>#REF!</v>
      </c>
      <c r="K12" s="127" t="e">
        <f>K11/K10</f>
        <v>#REF!</v>
      </c>
      <c r="L12" s="114"/>
      <c r="M12" s="115"/>
      <c r="N12" s="111">
        <f>N5+N6+N7+N8</f>
        <v>2281</v>
      </c>
      <c r="O12" s="111">
        <v>-4169</v>
      </c>
      <c r="P12" s="111">
        <f t="shared" si="0"/>
        <v>18749</v>
      </c>
      <c r="Q12" s="111">
        <f t="shared" si="0"/>
        <v>38722</v>
      </c>
      <c r="R12" s="111">
        <f t="shared" si="0"/>
        <v>70484</v>
      </c>
      <c r="S12" s="111">
        <f t="shared" si="0"/>
        <v>31762</v>
      </c>
      <c r="T12" s="111">
        <f t="shared" si="0"/>
        <v>-102</v>
      </c>
      <c r="U12" s="104">
        <f t="shared" si="0"/>
        <v>-6014</v>
      </c>
      <c r="V12" s="104">
        <f t="shared" si="0"/>
        <v>5912</v>
      </c>
    </row>
    <row r="13" spans="2:22" s="44" customFormat="1" ht="6" customHeight="1"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124"/>
      <c r="O13" s="124"/>
      <c r="P13" s="124"/>
      <c r="Q13" s="124"/>
      <c r="R13" s="124"/>
      <c r="S13" s="124"/>
      <c r="T13" s="124"/>
      <c r="U13" s="105"/>
      <c r="V13" s="105"/>
    </row>
    <row r="14" spans="2:22" s="43" customFormat="1" ht="15">
      <c r="B14" s="446" t="s">
        <v>22</v>
      </c>
      <c r="C14" s="446"/>
      <c r="D14" s="85"/>
      <c r="E14" s="85"/>
      <c r="F14" s="85"/>
      <c r="G14" s="2"/>
      <c r="H14" s="85"/>
      <c r="I14" s="2"/>
      <c r="J14" s="85"/>
      <c r="K14" s="85"/>
      <c r="L14" s="2"/>
      <c r="M14" s="2"/>
      <c r="N14" s="2"/>
      <c r="O14" s="2"/>
      <c r="P14" s="2"/>
      <c r="Q14" s="85"/>
      <c r="R14" s="85"/>
      <c r="S14" s="2"/>
      <c r="T14" s="85"/>
    </row>
    <row r="15" spans="2:22">
      <c r="C15" s="78"/>
      <c r="H15" s="85"/>
      <c r="J15" s="85"/>
      <c r="K15" s="85"/>
      <c r="P15" s="85"/>
    </row>
    <row r="16" spans="2:22">
      <c r="H16" s="85"/>
      <c r="J16" s="85"/>
      <c r="P16" s="85"/>
    </row>
    <row r="17" spans="2:17">
      <c r="D17" s="96"/>
      <c r="E17" s="96"/>
      <c r="F17" s="96"/>
      <c r="H17" s="85"/>
    </row>
    <row r="18" spans="2:17">
      <c r="C18" s="85"/>
      <c r="D18" s="126"/>
      <c r="E18" s="126"/>
      <c r="F18" s="126"/>
      <c r="J18" s="85"/>
      <c r="Q18" s="85"/>
    </row>
    <row r="19" spans="2:17">
      <c r="D19" s="78"/>
      <c r="E19" s="78"/>
      <c r="F19" s="78"/>
      <c r="G19" s="85"/>
      <c r="J19" s="85"/>
    </row>
    <row r="20" spans="2:17">
      <c r="B20" s="144">
        <v>42136</v>
      </c>
      <c r="C20" s="85"/>
      <c r="D20" s="78"/>
      <c r="E20" s="78"/>
      <c r="F20" s="78"/>
      <c r="J20" s="85"/>
    </row>
    <row r="21" spans="2:17">
      <c r="B21" s="144">
        <f>B20+365</f>
        <v>42501</v>
      </c>
      <c r="G21" s="96"/>
      <c r="J21" s="85"/>
    </row>
    <row r="22" spans="2:17">
      <c r="D22" s="8"/>
      <c r="E22" s="8"/>
      <c r="F22" s="8"/>
      <c r="J22" s="85"/>
    </row>
    <row r="23" spans="2:17">
      <c r="B23" s="78">
        <f>135000</f>
        <v>135000</v>
      </c>
      <c r="C23" s="85"/>
      <c r="G23" s="98"/>
    </row>
    <row r="24" spans="2:17">
      <c r="B24" s="78">
        <f>B23*((12.25%+1)^(1/252))</f>
        <v>135061.92045009692</v>
      </c>
      <c r="G24" s="97"/>
    </row>
    <row r="25" spans="2:17">
      <c r="J25" s="85"/>
      <c r="N25" s="85"/>
    </row>
    <row r="26" spans="2:17">
      <c r="D26" s="85"/>
      <c r="E26" s="85"/>
      <c r="F26" s="85"/>
    </row>
    <row r="28" spans="2:17">
      <c r="N28" s="85"/>
    </row>
    <row r="29" spans="2:17">
      <c r="N29" s="85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6" bestFit="1" customWidth="1"/>
    <col min="3" max="5" width="9.140625" style="67"/>
    <col min="6" max="6" width="9.140625" style="68"/>
    <col min="7" max="7" width="10.7109375" style="66" bestFit="1" customWidth="1"/>
    <col min="8" max="11" width="9.140625" style="68"/>
    <col min="12" max="12" width="9.42578125" style="68" customWidth="1"/>
    <col min="13" max="13" width="10.7109375" style="66" bestFit="1" customWidth="1"/>
    <col min="14" max="14" width="9.140625" style="68"/>
    <col min="15" max="17" width="9.140625" style="79"/>
    <col min="18" max="23" width="9.140625" style="68"/>
    <col min="24" max="24" width="9.140625" style="68" customWidth="1"/>
    <col min="25" max="16384" width="9.140625" style="68"/>
  </cols>
  <sheetData>
    <row r="1" spans="1:18">
      <c r="C1" s="67" t="s">
        <v>70</v>
      </c>
      <c r="H1" s="68" t="s">
        <v>71</v>
      </c>
      <c r="N1" s="68" t="s">
        <v>71</v>
      </c>
    </row>
    <row r="2" spans="1:18">
      <c r="C2" s="67" t="s">
        <v>72</v>
      </c>
      <c r="D2" s="67" t="s">
        <v>73</v>
      </c>
      <c r="E2" s="67" t="s">
        <v>74</v>
      </c>
      <c r="F2" s="68" t="s">
        <v>75</v>
      </c>
      <c r="H2" s="69" t="str">
        <f>C2</f>
        <v>UNIP3</v>
      </c>
      <c r="I2" s="69" t="str">
        <f>D2</f>
        <v>UNIP6</v>
      </c>
      <c r="J2" s="69" t="str">
        <f>E2</f>
        <v>UNIP5</v>
      </c>
      <c r="K2" s="69" t="str">
        <f>F2</f>
        <v>IBOV</v>
      </c>
      <c r="N2" s="69" t="str">
        <f>H2</f>
        <v>UNIP3</v>
      </c>
      <c r="O2" s="79" t="str">
        <f>I2</f>
        <v>UNIP6</v>
      </c>
      <c r="P2" s="79" t="str">
        <f>J2</f>
        <v>UNIP5</v>
      </c>
      <c r="Q2" s="79" t="str">
        <f>K2</f>
        <v>IBOV</v>
      </c>
    </row>
    <row r="3" spans="1:18">
      <c r="A3" s="66">
        <v>41456</v>
      </c>
      <c r="B3" s="66">
        <v>41456</v>
      </c>
      <c r="C3" s="67">
        <v>0.39600000000000002</v>
      </c>
      <c r="D3" s="67">
        <v>0.42199999999999999</v>
      </c>
      <c r="E3" s="67">
        <v>0.56599999999999995</v>
      </c>
      <c r="F3" s="68">
        <v>47229.59</v>
      </c>
      <c r="G3" s="66">
        <f>A3</f>
        <v>41456</v>
      </c>
      <c r="H3" s="67">
        <v>1</v>
      </c>
      <c r="M3" s="66">
        <f>A3</f>
        <v>41456</v>
      </c>
      <c r="N3" s="68">
        <v>100</v>
      </c>
      <c r="O3" s="79">
        <v>100</v>
      </c>
      <c r="P3" s="79">
        <v>100</v>
      </c>
      <c r="Q3" s="79">
        <v>100</v>
      </c>
    </row>
    <row r="4" spans="1:18">
      <c r="A4" s="66">
        <v>41457</v>
      </c>
      <c r="B4" s="66">
        <v>41457</v>
      </c>
      <c r="C4" s="67">
        <v>0.40600000000000003</v>
      </c>
      <c r="D4" s="67">
        <v>0.41199999999999998</v>
      </c>
      <c r="E4" s="67">
        <v>0.57499999999999996</v>
      </c>
      <c r="F4" s="68">
        <v>45228.95</v>
      </c>
      <c r="G4" s="66">
        <f t="shared" ref="G4:G67" si="0">A4</f>
        <v>41457</v>
      </c>
      <c r="H4" s="70">
        <f>LN(C4/C3)</f>
        <v>2.4938948347252146E-2</v>
      </c>
      <c r="I4" s="70">
        <f>LN(D4/D3)</f>
        <v>-2.3981964686485439E-2</v>
      </c>
      <c r="J4" s="70">
        <f>LN(E4/E3)</f>
        <v>1.5775962594167615E-2</v>
      </c>
      <c r="K4" s="70">
        <f>LN(F4/F3)</f>
        <v>-4.3283234407439135E-2</v>
      </c>
      <c r="L4" s="69"/>
      <c r="M4" s="66">
        <f t="shared" ref="M4:M67" si="1">A4</f>
        <v>41457</v>
      </c>
      <c r="N4" s="81">
        <f>C4/C3*N3</f>
        <v>102.52525252525253</v>
      </c>
      <c r="O4" s="81">
        <f>D4/D3*O3</f>
        <v>97.630331753554501</v>
      </c>
      <c r="P4" s="81">
        <f>E4/E3*P3</f>
        <v>101.59010600706715</v>
      </c>
      <c r="Q4" s="81">
        <f>F4/F3*Q3</f>
        <v>95.764011502111273</v>
      </c>
      <c r="R4" s="68">
        <f>C4/C3</f>
        <v>1.0252525252525253</v>
      </c>
    </row>
    <row r="5" spans="1:18">
      <c r="A5" s="66">
        <v>41458</v>
      </c>
      <c r="B5" s="66">
        <v>41458</v>
      </c>
      <c r="C5" s="67">
        <v>0.42499999999999999</v>
      </c>
      <c r="D5" s="67">
        <v>0.42199999999999999</v>
      </c>
      <c r="E5" s="71">
        <v>0.78</v>
      </c>
      <c r="F5" s="68">
        <v>45044.03</v>
      </c>
      <c r="G5" s="66">
        <f t="shared" si="0"/>
        <v>41458</v>
      </c>
      <c r="H5" s="70">
        <f t="shared" ref="H5:K68" si="2">LN(C5/C4)</f>
        <v>4.5736009322684082E-2</v>
      </c>
      <c r="I5" s="70">
        <f t="shared" si="2"/>
        <v>2.3981964686485405E-2</v>
      </c>
      <c r="J5" s="70">
        <f t="shared" si="2"/>
        <v>0.30492387888628708</v>
      </c>
      <c r="K5" s="70">
        <f t="shared" si="2"/>
        <v>-4.0969126897562151E-3</v>
      </c>
      <c r="L5" s="69"/>
      <c r="M5" s="66">
        <f t="shared" si="1"/>
        <v>41458</v>
      </c>
      <c r="N5" s="81">
        <f t="shared" ref="N5:Q20" si="3">C5/C4*N4</f>
        <v>107.32323232323232</v>
      </c>
      <c r="O5" s="81">
        <f t="shared" si="3"/>
        <v>100</v>
      </c>
      <c r="P5" s="81">
        <f t="shared" si="3"/>
        <v>137.80918727915198</v>
      </c>
      <c r="Q5" s="81">
        <f t="shared" si="3"/>
        <v>95.372477296542272</v>
      </c>
    </row>
    <row r="6" spans="1:18">
      <c r="A6" s="66">
        <v>41459</v>
      </c>
      <c r="B6" s="66">
        <v>41459</v>
      </c>
      <c r="C6" s="67">
        <v>0.435</v>
      </c>
      <c r="D6" s="67">
        <v>0.43099999999999999</v>
      </c>
      <c r="E6" s="71">
        <v>0.77</v>
      </c>
      <c r="F6" s="68">
        <v>45763.16</v>
      </c>
      <c r="G6" s="66">
        <f t="shared" si="0"/>
        <v>41459</v>
      </c>
      <c r="H6" s="70">
        <f t="shared" si="2"/>
        <v>2.3256862164267183E-2</v>
      </c>
      <c r="I6" s="70">
        <f t="shared" si="2"/>
        <v>2.1102776067736036E-2</v>
      </c>
      <c r="J6" s="70">
        <f t="shared" si="2"/>
        <v>-1.2903404835907954E-2</v>
      </c>
      <c r="K6" s="70">
        <f t="shared" si="2"/>
        <v>1.5838944781337655E-2</v>
      </c>
      <c r="L6" s="69"/>
      <c r="M6" s="66">
        <f t="shared" si="1"/>
        <v>41459</v>
      </c>
      <c r="N6" s="81">
        <f t="shared" si="3"/>
        <v>109.84848484848483</v>
      </c>
      <c r="O6" s="81">
        <f t="shared" si="3"/>
        <v>102.13270142180096</v>
      </c>
      <c r="P6" s="81">
        <f t="shared" si="3"/>
        <v>136.04240282685515</v>
      </c>
      <c r="Q6" s="81">
        <f t="shared" si="3"/>
        <v>96.895103260477171</v>
      </c>
    </row>
    <row r="7" spans="1:18">
      <c r="A7" s="66">
        <v>41460</v>
      </c>
      <c r="B7" s="66">
        <v>41460</v>
      </c>
      <c r="C7" s="67">
        <v>0.44400000000000001</v>
      </c>
      <c r="D7" s="67">
        <v>0.441</v>
      </c>
      <c r="E7" s="71">
        <v>0.77</v>
      </c>
      <c r="F7" s="68">
        <v>45210.49</v>
      </c>
      <c r="G7" s="66">
        <f t="shared" si="0"/>
        <v>41460</v>
      </c>
      <c r="H7" s="70">
        <f t="shared" si="2"/>
        <v>2.0478531343540701E-2</v>
      </c>
      <c r="I7" s="70">
        <f t="shared" si="2"/>
        <v>2.2936785343098232E-2</v>
      </c>
      <c r="J7" s="70">
        <f t="shared" si="2"/>
        <v>0</v>
      </c>
      <c r="K7" s="70">
        <f t="shared" si="2"/>
        <v>-1.2150261073458473E-2</v>
      </c>
      <c r="L7" s="69"/>
      <c r="M7" s="66">
        <f t="shared" si="1"/>
        <v>41460</v>
      </c>
      <c r="N7" s="81">
        <f t="shared" si="3"/>
        <v>112.12121212121211</v>
      </c>
      <c r="O7" s="81">
        <f t="shared" si="3"/>
        <v>104.50236966824646</v>
      </c>
      <c r="P7" s="81">
        <f t="shared" si="3"/>
        <v>136.04240282685515</v>
      </c>
      <c r="Q7" s="81">
        <f t="shared" si="3"/>
        <v>95.724925835689007</v>
      </c>
    </row>
    <row r="8" spans="1:18">
      <c r="A8" s="66">
        <v>41463</v>
      </c>
      <c r="B8" s="66">
        <v>41463</v>
      </c>
      <c r="C8" s="67">
        <v>0.435</v>
      </c>
      <c r="D8" s="67">
        <v>0.45100000000000001</v>
      </c>
      <c r="E8" s="71">
        <v>0.73299999999999998</v>
      </c>
      <c r="F8" s="68">
        <v>45075.5</v>
      </c>
      <c r="G8" s="66">
        <f t="shared" si="0"/>
        <v>41463</v>
      </c>
      <c r="H8" s="70">
        <f t="shared" si="2"/>
        <v>-2.0478531343540676E-2</v>
      </c>
      <c r="I8" s="70">
        <f t="shared" si="2"/>
        <v>2.2422464055832307E-2</v>
      </c>
      <c r="J8" s="70">
        <f t="shared" si="2"/>
        <v>-4.9244812961078119E-2</v>
      </c>
      <c r="K8" s="70">
        <f t="shared" si="2"/>
        <v>-2.9902779066243784E-3</v>
      </c>
      <c r="L8" s="69"/>
      <c r="M8" s="66">
        <f t="shared" si="1"/>
        <v>41463</v>
      </c>
      <c r="N8" s="81">
        <f t="shared" si="3"/>
        <v>109.84848484848483</v>
      </c>
      <c r="O8" s="81">
        <f t="shared" si="3"/>
        <v>106.87203791469196</v>
      </c>
      <c r="P8" s="81">
        <f t="shared" si="3"/>
        <v>129.50530035335692</v>
      </c>
      <c r="Q8" s="81">
        <f t="shared" si="3"/>
        <v>95.439109253330358</v>
      </c>
    </row>
    <row r="9" spans="1:18">
      <c r="A9" s="66">
        <v>41465</v>
      </c>
      <c r="B9" s="66">
        <v>41465</v>
      </c>
      <c r="C9" s="67">
        <v>0.41499999999999998</v>
      </c>
      <c r="D9" s="67">
        <v>0.45100000000000001</v>
      </c>
      <c r="E9" s="71">
        <v>0.73299999999999998</v>
      </c>
      <c r="F9" s="68">
        <v>45483.43</v>
      </c>
      <c r="G9" s="66">
        <f t="shared" si="0"/>
        <v>41465</v>
      </c>
      <c r="H9" s="70">
        <f t="shared" si="2"/>
        <v>-4.7067510857985856E-2</v>
      </c>
      <c r="I9" s="70">
        <f t="shared" si="2"/>
        <v>0</v>
      </c>
      <c r="J9" s="70">
        <f t="shared" si="2"/>
        <v>0</v>
      </c>
      <c r="K9" s="70">
        <f t="shared" si="2"/>
        <v>9.009222153345901E-3</v>
      </c>
      <c r="L9" s="69"/>
      <c r="M9" s="66">
        <f t="shared" si="1"/>
        <v>41465</v>
      </c>
      <c r="N9" s="81">
        <f t="shared" si="3"/>
        <v>104.79797979797978</v>
      </c>
      <c r="O9" s="81">
        <f t="shared" si="3"/>
        <v>106.87203791469196</v>
      </c>
      <c r="P9" s="81">
        <f t="shared" si="3"/>
        <v>129.50530035335692</v>
      </c>
      <c r="Q9" s="81">
        <f t="shared" si="3"/>
        <v>96.302826257860787</v>
      </c>
    </row>
    <row r="10" spans="1:18">
      <c r="A10" s="66">
        <v>41466</v>
      </c>
      <c r="B10" s="66">
        <v>41466</v>
      </c>
      <c r="C10" s="67">
        <v>0.40600000000000003</v>
      </c>
      <c r="D10" s="67">
        <v>0.45100000000000001</v>
      </c>
      <c r="E10" s="67">
        <v>0.73299999999999998</v>
      </c>
      <c r="F10" s="68">
        <v>46626.26</v>
      </c>
      <c r="G10" s="66">
        <f t="shared" si="0"/>
        <v>41466</v>
      </c>
      <c r="H10" s="70">
        <f t="shared" si="2"/>
        <v>-2.1925360628965548E-2</v>
      </c>
      <c r="I10" s="70">
        <f t="shared" si="2"/>
        <v>0</v>
      </c>
      <c r="J10" s="70">
        <f t="shared" si="2"/>
        <v>0</v>
      </c>
      <c r="K10" s="70">
        <f t="shared" si="2"/>
        <v>2.4815817922911251E-2</v>
      </c>
      <c r="L10" s="69"/>
      <c r="M10" s="66">
        <f t="shared" si="1"/>
        <v>41466</v>
      </c>
      <c r="N10" s="81">
        <f t="shared" si="3"/>
        <v>102.52525252525251</v>
      </c>
      <c r="O10" s="81">
        <f t="shared" si="3"/>
        <v>106.87203791469196</v>
      </c>
      <c r="P10" s="81">
        <f t="shared" si="3"/>
        <v>129.50530035335692</v>
      </c>
      <c r="Q10" s="81">
        <f t="shared" si="3"/>
        <v>98.722559310804925</v>
      </c>
    </row>
    <row r="11" spans="1:18">
      <c r="A11" s="66">
        <v>41467</v>
      </c>
      <c r="B11" s="66">
        <v>41467</v>
      </c>
      <c r="C11" s="67">
        <v>0.40600000000000003</v>
      </c>
      <c r="D11" s="67">
        <v>0.43099999999999999</v>
      </c>
      <c r="E11" s="71">
        <v>0.73299999999999998</v>
      </c>
      <c r="F11" s="68">
        <v>45533.24</v>
      </c>
      <c r="G11" s="66">
        <f t="shared" si="0"/>
        <v>41467</v>
      </c>
      <c r="H11" s="70">
        <f t="shared" si="2"/>
        <v>0</v>
      </c>
      <c r="I11" s="70">
        <f t="shared" si="2"/>
        <v>-4.5359249398930643E-2</v>
      </c>
      <c r="J11" s="70">
        <f t="shared" si="2"/>
        <v>0</v>
      </c>
      <c r="K11" s="70">
        <f t="shared" si="2"/>
        <v>-2.3721293041422328E-2</v>
      </c>
      <c r="L11" s="69"/>
      <c r="M11" s="66">
        <f t="shared" si="1"/>
        <v>41467</v>
      </c>
      <c r="N11" s="81">
        <f t="shared" si="3"/>
        <v>102.52525252525251</v>
      </c>
      <c r="O11" s="81">
        <f t="shared" si="3"/>
        <v>102.13270142180096</v>
      </c>
      <c r="P11" s="81">
        <f t="shared" si="3"/>
        <v>129.50530035335692</v>
      </c>
      <c r="Q11" s="81">
        <f t="shared" si="3"/>
        <v>96.408289803066225</v>
      </c>
    </row>
    <row r="12" spans="1:18">
      <c r="A12" s="66">
        <v>41470</v>
      </c>
      <c r="B12" s="66">
        <v>41470</v>
      </c>
      <c r="C12" s="67">
        <v>0.40600000000000003</v>
      </c>
      <c r="D12" s="67">
        <v>0.43099999999999999</v>
      </c>
      <c r="E12" s="67">
        <v>0.78</v>
      </c>
      <c r="F12" s="68">
        <v>46738.9</v>
      </c>
      <c r="G12" s="66">
        <f t="shared" si="0"/>
        <v>41470</v>
      </c>
      <c r="H12" s="70">
        <f t="shared" si="2"/>
        <v>0</v>
      </c>
      <c r="I12" s="70">
        <f t="shared" si="2"/>
        <v>0</v>
      </c>
      <c r="J12" s="70">
        <f t="shared" si="2"/>
        <v>6.2148217796986087E-2</v>
      </c>
      <c r="K12" s="70">
        <f t="shared" si="2"/>
        <v>2.6134185701803248E-2</v>
      </c>
      <c r="L12" s="69"/>
      <c r="M12" s="66">
        <f t="shared" si="1"/>
        <v>41470</v>
      </c>
      <c r="N12" s="81">
        <f t="shared" si="3"/>
        <v>102.52525252525251</v>
      </c>
      <c r="O12" s="81">
        <f t="shared" si="3"/>
        <v>102.13270142180096</v>
      </c>
      <c r="P12" s="81">
        <f t="shared" si="3"/>
        <v>137.80918727915198</v>
      </c>
      <c r="Q12" s="81">
        <f t="shared" si="3"/>
        <v>98.961053864748749</v>
      </c>
    </row>
    <row r="13" spans="1:18">
      <c r="A13" s="66">
        <v>41471</v>
      </c>
      <c r="B13" s="66">
        <v>41471</v>
      </c>
      <c r="C13" s="67">
        <v>0.42499999999999999</v>
      </c>
      <c r="D13" s="67">
        <v>0.43099999999999999</v>
      </c>
      <c r="E13" s="67">
        <v>0.69599999999999995</v>
      </c>
      <c r="F13" s="68">
        <v>46869.29</v>
      </c>
      <c r="G13" s="66">
        <f t="shared" si="0"/>
        <v>41471</v>
      </c>
      <c r="H13" s="70">
        <f t="shared" si="2"/>
        <v>4.5736009322684082E-2</v>
      </c>
      <c r="I13" s="70">
        <f t="shared" si="2"/>
        <v>0</v>
      </c>
      <c r="J13" s="70">
        <f t="shared" si="2"/>
        <v>-0.11394425934921784</v>
      </c>
      <c r="K13" s="70">
        <f t="shared" si="2"/>
        <v>2.7858691494931855E-3</v>
      </c>
      <c r="L13" s="69"/>
      <c r="M13" s="66">
        <f t="shared" si="1"/>
        <v>41471</v>
      </c>
      <c r="N13" s="81">
        <f t="shared" si="3"/>
        <v>107.3232323232323</v>
      </c>
      <c r="O13" s="81">
        <f t="shared" si="3"/>
        <v>102.13270142180096</v>
      </c>
      <c r="P13" s="81">
        <f t="shared" si="3"/>
        <v>122.96819787985869</v>
      </c>
      <c r="Q13" s="81">
        <f t="shared" si="3"/>
        <v>99.237130790252436</v>
      </c>
    </row>
    <row r="14" spans="1:18">
      <c r="A14" s="66">
        <v>41472</v>
      </c>
      <c r="B14" s="66">
        <v>41472</v>
      </c>
      <c r="C14" s="71">
        <v>0.44400000000000001</v>
      </c>
      <c r="D14" s="67">
        <v>0.42199999999999999</v>
      </c>
      <c r="E14" s="67">
        <v>0.69599999999999995</v>
      </c>
      <c r="F14" s="68">
        <v>47407.31</v>
      </c>
      <c r="G14" s="66">
        <f t="shared" si="0"/>
        <v>41472</v>
      </c>
      <c r="H14" s="70">
        <f t="shared" si="2"/>
        <v>4.3735393507807897E-2</v>
      </c>
      <c r="I14" s="70">
        <f t="shared" si="2"/>
        <v>-2.1102776067736053E-2</v>
      </c>
      <c r="J14" s="70">
        <f t="shared" si="2"/>
        <v>0</v>
      </c>
      <c r="K14" s="70">
        <f t="shared" si="2"/>
        <v>1.1413772682328009E-2</v>
      </c>
      <c r="L14" s="69"/>
      <c r="M14" s="66">
        <f t="shared" si="1"/>
        <v>41472</v>
      </c>
      <c r="N14" s="81">
        <f t="shared" si="3"/>
        <v>112.1212121212121</v>
      </c>
      <c r="O14" s="81">
        <f t="shared" si="3"/>
        <v>100</v>
      </c>
      <c r="P14" s="81">
        <f t="shared" si="3"/>
        <v>122.96819787985869</v>
      </c>
      <c r="Q14" s="81">
        <f t="shared" si="3"/>
        <v>100.37628952527427</v>
      </c>
    </row>
    <row r="15" spans="1:18">
      <c r="A15" s="66">
        <v>41473</v>
      </c>
      <c r="B15" s="66">
        <v>41473</v>
      </c>
      <c r="C15" s="71">
        <v>0.44400000000000001</v>
      </c>
      <c r="D15" s="67">
        <v>0.43099999999999999</v>
      </c>
      <c r="E15" s="71">
        <v>0.70499999999999996</v>
      </c>
      <c r="F15" s="68">
        <v>47656.92</v>
      </c>
      <c r="G15" s="66">
        <f t="shared" si="0"/>
        <v>41473</v>
      </c>
      <c r="H15" s="70">
        <f t="shared" si="2"/>
        <v>0</v>
      </c>
      <c r="I15" s="70">
        <f t="shared" si="2"/>
        <v>2.1102776067736036E-2</v>
      </c>
      <c r="J15" s="70">
        <f t="shared" si="2"/>
        <v>1.2848142477849059E-2</v>
      </c>
      <c r="K15" s="70">
        <f t="shared" si="2"/>
        <v>5.251408939628905E-3</v>
      </c>
      <c r="L15" s="69"/>
      <c r="M15" s="66">
        <f t="shared" si="1"/>
        <v>41473</v>
      </c>
      <c r="N15" s="81">
        <f t="shared" si="3"/>
        <v>112.1212121212121</v>
      </c>
      <c r="O15" s="81">
        <f t="shared" si="3"/>
        <v>102.13270142180096</v>
      </c>
      <c r="P15" s="81">
        <f t="shared" si="3"/>
        <v>124.55830388692584</v>
      </c>
      <c r="Q15" s="81">
        <f t="shared" si="3"/>
        <v>100.90479294865779</v>
      </c>
    </row>
    <row r="16" spans="1:18">
      <c r="A16" s="66">
        <v>41474</v>
      </c>
      <c r="B16" s="66">
        <v>41474</v>
      </c>
      <c r="C16" s="67">
        <v>0.435</v>
      </c>
      <c r="D16" s="67">
        <v>0.43099999999999999</v>
      </c>
      <c r="E16" s="71">
        <v>0.72399999999999998</v>
      </c>
      <c r="F16" s="68">
        <v>47400.23</v>
      </c>
      <c r="G16" s="66">
        <f t="shared" si="0"/>
        <v>41474</v>
      </c>
      <c r="H16" s="70">
        <f t="shared" si="2"/>
        <v>-2.0478531343540676E-2</v>
      </c>
      <c r="I16" s="70">
        <f t="shared" si="2"/>
        <v>0</v>
      </c>
      <c r="J16" s="70">
        <f t="shared" si="2"/>
        <v>2.6593589573447644E-2</v>
      </c>
      <c r="K16" s="70">
        <f t="shared" si="2"/>
        <v>-5.4007641494182674E-3</v>
      </c>
      <c r="L16" s="69"/>
      <c r="M16" s="66">
        <f t="shared" si="1"/>
        <v>41474</v>
      </c>
      <c r="N16" s="81">
        <f t="shared" si="3"/>
        <v>109.84848484848482</v>
      </c>
      <c r="O16" s="81">
        <f t="shared" si="3"/>
        <v>102.13270142180096</v>
      </c>
      <c r="P16" s="81">
        <f t="shared" si="3"/>
        <v>127.91519434628979</v>
      </c>
      <c r="Q16" s="81">
        <f t="shared" si="3"/>
        <v>100.36129892298449</v>
      </c>
    </row>
    <row r="17" spans="1:17">
      <c r="A17" s="66">
        <v>41477</v>
      </c>
      <c r="B17" s="66">
        <v>41477</v>
      </c>
      <c r="C17" s="67">
        <v>0.435</v>
      </c>
      <c r="D17" s="67">
        <v>0.43099999999999999</v>
      </c>
      <c r="E17" s="67">
        <v>0.78</v>
      </c>
      <c r="F17" s="68">
        <v>48574.09</v>
      </c>
      <c r="G17" s="66">
        <f t="shared" si="0"/>
        <v>41477</v>
      </c>
      <c r="H17" s="70">
        <f t="shared" si="2"/>
        <v>0</v>
      </c>
      <c r="I17" s="70">
        <f t="shared" si="2"/>
        <v>0</v>
      </c>
      <c r="J17" s="70">
        <f t="shared" si="2"/>
        <v>7.4502527297921076E-2</v>
      </c>
      <c r="K17" s="70">
        <f t="shared" si="2"/>
        <v>2.4463180161464305E-2</v>
      </c>
      <c r="L17" s="69"/>
      <c r="M17" s="66">
        <f t="shared" si="1"/>
        <v>41477</v>
      </c>
      <c r="N17" s="81">
        <f t="shared" si="3"/>
        <v>109.84848484848482</v>
      </c>
      <c r="O17" s="81">
        <f t="shared" si="3"/>
        <v>102.13270142180096</v>
      </c>
      <c r="P17" s="81">
        <f t="shared" si="3"/>
        <v>137.80918727915198</v>
      </c>
      <c r="Q17" s="81">
        <f t="shared" si="3"/>
        <v>102.84673231336537</v>
      </c>
    </row>
    <row r="18" spans="1:17">
      <c r="A18" s="66">
        <v>41478</v>
      </c>
      <c r="B18" s="66">
        <v>41478</v>
      </c>
      <c r="C18" s="67">
        <v>0.435</v>
      </c>
      <c r="D18" s="67">
        <v>0.43099999999999999</v>
      </c>
      <c r="E18" s="71">
        <v>0.74299999999999999</v>
      </c>
      <c r="F18" s="68">
        <v>48819.519999999997</v>
      </c>
      <c r="G18" s="66">
        <f t="shared" si="0"/>
        <v>41478</v>
      </c>
      <c r="H18" s="70">
        <f t="shared" si="2"/>
        <v>0</v>
      </c>
      <c r="I18" s="70">
        <f t="shared" si="2"/>
        <v>0</v>
      </c>
      <c r="J18" s="70">
        <f t="shared" si="2"/>
        <v>-4.8597874965878314E-2</v>
      </c>
      <c r="K18" s="70">
        <f t="shared" si="2"/>
        <v>5.0399717090303933E-3</v>
      </c>
      <c r="L18" s="69"/>
      <c r="M18" s="66">
        <f t="shared" si="1"/>
        <v>41478</v>
      </c>
      <c r="N18" s="81">
        <f t="shared" si="3"/>
        <v>109.84848484848482</v>
      </c>
      <c r="O18" s="81">
        <f t="shared" si="3"/>
        <v>102.13270142180096</v>
      </c>
      <c r="P18" s="81">
        <f t="shared" si="3"/>
        <v>131.27208480565375</v>
      </c>
      <c r="Q18" s="81">
        <f t="shared" si="3"/>
        <v>103.36638535291112</v>
      </c>
    </row>
    <row r="19" spans="1:17">
      <c r="A19" s="66">
        <v>41479</v>
      </c>
      <c r="B19" s="66">
        <v>41479</v>
      </c>
      <c r="C19" s="67">
        <v>0.46400000000000002</v>
      </c>
      <c r="D19" s="67">
        <v>0.43099999999999999</v>
      </c>
      <c r="E19" s="67">
        <v>0.74299999999999999</v>
      </c>
      <c r="F19" s="68">
        <v>48374.23</v>
      </c>
      <c r="G19" s="66">
        <f t="shared" si="0"/>
        <v>41479</v>
      </c>
      <c r="H19" s="70">
        <f t="shared" si="2"/>
        <v>6.4538521137571164E-2</v>
      </c>
      <c r="I19" s="70">
        <f t="shared" si="2"/>
        <v>0</v>
      </c>
      <c r="J19" s="70">
        <f t="shared" si="2"/>
        <v>0</v>
      </c>
      <c r="K19" s="70">
        <f t="shared" si="2"/>
        <v>-9.1629989698256819E-3</v>
      </c>
      <c r="L19" s="69"/>
      <c r="M19" s="66">
        <f t="shared" si="1"/>
        <v>41479</v>
      </c>
      <c r="N19" s="81">
        <f t="shared" si="3"/>
        <v>117.17171717171713</v>
      </c>
      <c r="O19" s="81">
        <f t="shared" si="3"/>
        <v>102.13270142180096</v>
      </c>
      <c r="P19" s="81">
        <f t="shared" si="3"/>
        <v>131.27208480565375</v>
      </c>
      <c r="Q19" s="81">
        <f t="shared" si="3"/>
        <v>102.42356539618486</v>
      </c>
    </row>
    <row r="20" spans="1:17">
      <c r="A20" s="66">
        <v>41480</v>
      </c>
      <c r="B20" s="66">
        <v>41480</v>
      </c>
      <c r="C20" s="67">
        <v>0.45400000000000001</v>
      </c>
      <c r="D20" s="67">
        <v>0.43099999999999999</v>
      </c>
      <c r="E20" s="71">
        <v>0.65</v>
      </c>
      <c r="F20" s="68">
        <v>49066.75</v>
      </c>
      <c r="G20" s="66">
        <f t="shared" si="0"/>
        <v>41480</v>
      </c>
      <c r="H20" s="70">
        <f t="shared" si="2"/>
        <v>-2.1787354184907296E-2</v>
      </c>
      <c r="I20" s="70">
        <f t="shared" si="2"/>
        <v>0</v>
      </c>
      <c r="J20" s="70">
        <f t="shared" si="2"/>
        <v>-0.13372368182807637</v>
      </c>
      <c r="K20" s="70">
        <f t="shared" si="2"/>
        <v>1.4214382084186581E-2</v>
      </c>
      <c r="L20" s="69"/>
      <c r="M20" s="66">
        <f t="shared" si="1"/>
        <v>41480</v>
      </c>
      <c r="N20" s="81">
        <f t="shared" si="3"/>
        <v>114.64646464646461</v>
      </c>
      <c r="O20" s="81">
        <f t="shared" si="3"/>
        <v>102.13270142180096</v>
      </c>
      <c r="P20" s="81">
        <f t="shared" si="3"/>
        <v>114.84098939929332</v>
      </c>
      <c r="Q20" s="81">
        <f t="shared" si="3"/>
        <v>103.88984956253057</v>
      </c>
    </row>
    <row r="21" spans="1:17">
      <c r="A21" s="66">
        <v>41481</v>
      </c>
      <c r="B21" s="66">
        <v>41481</v>
      </c>
      <c r="C21" s="67">
        <v>0.44400000000000001</v>
      </c>
      <c r="D21" s="67">
        <v>0.43099999999999999</v>
      </c>
      <c r="E21" s="67">
        <v>0.65900000000000003</v>
      </c>
      <c r="F21" s="68">
        <v>49422.05</v>
      </c>
      <c r="G21" s="66">
        <f t="shared" si="0"/>
        <v>41481</v>
      </c>
      <c r="H21" s="70">
        <f t="shared" si="2"/>
        <v>-2.2272635609123292E-2</v>
      </c>
      <c r="I21" s="70">
        <f t="shared" si="2"/>
        <v>0</v>
      </c>
      <c r="J21" s="70">
        <f t="shared" si="2"/>
        <v>1.3751171612824419E-2</v>
      </c>
      <c r="K21" s="70">
        <f t="shared" si="2"/>
        <v>7.2150648870622112E-3</v>
      </c>
      <c r="L21" s="69"/>
      <c r="M21" s="66">
        <f t="shared" si="1"/>
        <v>41481</v>
      </c>
      <c r="N21" s="81">
        <f t="shared" ref="N21:Q36" si="4">C21/C20*N20</f>
        <v>112.12121212121208</v>
      </c>
      <c r="O21" s="81">
        <f t="shared" si="4"/>
        <v>102.13270142180096</v>
      </c>
      <c r="P21" s="81">
        <f t="shared" si="4"/>
        <v>116.43109540636046</v>
      </c>
      <c r="Q21" s="81">
        <f t="shared" si="4"/>
        <v>104.64213218874011</v>
      </c>
    </row>
    <row r="22" spans="1:17">
      <c r="A22" s="66">
        <v>41484</v>
      </c>
      <c r="B22" s="66">
        <v>41484</v>
      </c>
      <c r="C22" s="67">
        <v>0.46400000000000002</v>
      </c>
      <c r="D22" s="67">
        <v>0.43099999999999999</v>
      </c>
      <c r="E22" s="67">
        <v>0.65</v>
      </c>
      <c r="F22" s="68">
        <v>49212.33</v>
      </c>
      <c r="G22" s="66">
        <f t="shared" si="0"/>
        <v>41484</v>
      </c>
      <c r="H22" s="70">
        <f t="shared" si="2"/>
        <v>4.4059989794030495E-2</v>
      </c>
      <c r="I22" s="70">
        <f t="shared" si="2"/>
        <v>0</v>
      </c>
      <c r="J22" s="70">
        <f t="shared" si="2"/>
        <v>-1.3751171612824409E-2</v>
      </c>
      <c r="K22" s="70">
        <f t="shared" si="2"/>
        <v>-4.252479024870812E-3</v>
      </c>
      <c r="L22" s="69"/>
      <c r="M22" s="66">
        <f t="shared" si="1"/>
        <v>41484</v>
      </c>
      <c r="N22" s="81">
        <f t="shared" si="4"/>
        <v>117.17171717171713</v>
      </c>
      <c r="O22" s="81">
        <f t="shared" si="4"/>
        <v>102.13270142180096</v>
      </c>
      <c r="P22" s="81">
        <f t="shared" si="4"/>
        <v>114.84098939929332</v>
      </c>
      <c r="Q22" s="81">
        <f t="shared" si="4"/>
        <v>104.19808852882267</v>
      </c>
    </row>
    <row r="23" spans="1:17">
      <c r="A23" s="66">
        <v>41485</v>
      </c>
      <c r="B23" s="66">
        <v>41485</v>
      </c>
      <c r="C23" s="67">
        <v>0.45400000000000001</v>
      </c>
      <c r="D23" s="67">
        <v>0.42199999999999999</v>
      </c>
      <c r="E23" s="71">
        <v>0.60299999999999998</v>
      </c>
      <c r="F23" s="68">
        <v>48561.78</v>
      </c>
      <c r="G23" s="66">
        <f t="shared" si="0"/>
        <v>41485</v>
      </c>
      <c r="H23" s="70">
        <f t="shared" si="2"/>
        <v>-2.1787354184907296E-2</v>
      </c>
      <c r="I23" s="70">
        <f t="shared" si="2"/>
        <v>-2.1102776067736053E-2</v>
      </c>
      <c r="J23" s="70">
        <f t="shared" si="2"/>
        <v>-7.5055166162497453E-2</v>
      </c>
      <c r="K23" s="70">
        <f t="shared" si="2"/>
        <v>-1.3307400093850778E-2</v>
      </c>
      <c r="L23" s="69"/>
      <c r="M23" s="66">
        <f t="shared" si="1"/>
        <v>41485</v>
      </c>
      <c r="N23" s="81">
        <f t="shared" si="4"/>
        <v>114.64646464646461</v>
      </c>
      <c r="O23" s="81">
        <f t="shared" si="4"/>
        <v>100</v>
      </c>
      <c r="P23" s="81">
        <f t="shared" si="4"/>
        <v>106.53710247349825</v>
      </c>
      <c r="Q23" s="81">
        <f t="shared" si="4"/>
        <v>102.82066814469482</v>
      </c>
    </row>
    <row r="24" spans="1:17">
      <c r="A24" s="66">
        <v>41486</v>
      </c>
      <c r="B24" s="66">
        <v>41486</v>
      </c>
      <c r="C24" s="67">
        <v>0.45400000000000001</v>
      </c>
      <c r="D24" s="67">
        <v>0.43099999999999999</v>
      </c>
      <c r="E24" s="67">
        <v>0.55700000000000005</v>
      </c>
      <c r="F24" s="68">
        <v>48234.49</v>
      </c>
      <c r="G24" s="66">
        <f t="shared" si="0"/>
        <v>41486</v>
      </c>
      <c r="H24" s="70">
        <f t="shared" si="2"/>
        <v>0</v>
      </c>
      <c r="I24" s="70">
        <f t="shared" si="2"/>
        <v>2.1102776067736036E-2</v>
      </c>
      <c r="J24" s="70">
        <f t="shared" si="2"/>
        <v>-7.9351956799901285E-2</v>
      </c>
      <c r="K24" s="70">
        <f t="shared" si="2"/>
        <v>-6.7624764317127236E-3</v>
      </c>
      <c r="L24" s="69"/>
      <c r="M24" s="66">
        <f t="shared" si="1"/>
        <v>41486</v>
      </c>
      <c r="N24" s="81">
        <f t="shared" si="4"/>
        <v>114.64646464646461</v>
      </c>
      <c r="O24" s="81">
        <f t="shared" si="4"/>
        <v>102.13270142180096</v>
      </c>
      <c r="P24" s="81">
        <f t="shared" si="4"/>
        <v>98.409893992932894</v>
      </c>
      <c r="Q24" s="81">
        <f t="shared" si="4"/>
        <v>102.12769155946509</v>
      </c>
    </row>
    <row r="25" spans="1:17">
      <c r="A25" s="66">
        <v>41487</v>
      </c>
      <c r="B25" s="66">
        <v>41487</v>
      </c>
      <c r="C25" s="67">
        <v>0.45400000000000001</v>
      </c>
      <c r="D25" s="67">
        <v>0.43099999999999999</v>
      </c>
      <c r="E25" s="71">
        <v>0.55700000000000005</v>
      </c>
      <c r="F25" s="68">
        <v>49140.78</v>
      </c>
      <c r="G25" s="66">
        <f t="shared" si="0"/>
        <v>41487</v>
      </c>
      <c r="H25" s="70">
        <f t="shared" si="2"/>
        <v>0</v>
      </c>
      <c r="I25" s="70">
        <f t="shared" si="2"/>
        <v>0</v>
      </c>
      <c r="J25" s="70">
        <f t="shared" si="2"/>
        <v>0</v>
      </c>
      <c r="K25" s="70">
        <f t="shared" si="2"/>
        <v>1.8614914651513836E-2</v>
      </c>
      <c r="L25" s="69"/>
      <c r="M25" s="66">
        <f t="shared" si="1"/>
        <v>41487</v>
      </c>
      <c r="N25" s="81">
        <f t="shared" si="4"/>
        <v>114.64646464646461</v>
      </c>
      <c r="O25" s="81">
        <f t="shared" si="4"/>
        <v>102.13270142180096</v>
      </c>
      <c r="P25" s="81">
        <f t="shared" si="4"/>
        <v>98.409893992932894</v>
      </c>
      <c r="Q25" s="81">
        <f t="shared" si="4"/>
        <v>104.04659451839402</v>
      </c>
    </row>
    <row r="26" spans="1:17">
      <c r="A26" s="66">
        <v>41488</v>
      </c>
      <c r="B26" s="66">
        <v>41488</v>
      </c>
      <c r="C26" s="67">
        <v>0.46400000000000002</v>
      </c>
      <c r="D26" s="67">
        <v>0.42199999999999999</v>
      </c>
      <c r="E26" s="67">
        <v>0.54800000000000004</v>
      </c>
      <c r="F26" s="68">
        <v>48474.04</v>
      </c>
      <c r="G26" s="66">
        <f t="shared" si="0"/>
        <v>41488</v>
      </c>
      <c r="H26" s="70">
        <f t="shared" si="2"/>
        <v>2.178735418490723E-2</v>
      </c>
      <c r="I26" s="70">
        <f t="shared" si="2"/>
        <v>-2.1102776067736053E-2</v>
      </c>
      <c r="J26" s="70">
        <f t="shared" si="2"/>
        <v>-1.6289952979268458E-2</v>
      </c>
      <c r="K26" s="70">
        <f t="shared" si="2"/>
        <v>-1.3660843073009897E-2</v>
      </c>
      <c r="L26" s="69"/>
      <c r="M26" s="66">
        <f t="shared" si="1"/>
        <v>41488</v>
      </c>
      <c r="N26" s="81">
        <f t="shared" si="4"/>
        <v>117.17171717171712</v>
      </c>
      <c r="O26" s="81">
        <f t="shared" si="4"/>
        <v>100</v>
      </c>
      <c r="P26" s="81">
        <f t="shared" si="4"/>
        <v>96.819787985865759</v>
      </c>
      <c r="Q26" s="81">
        <f t="shared" si="4"/>
        <v>102.63489477677018</v>
      </c>
    </row>
    <row r="27" spans="1:17">
      <c r="A27" s="66">
        <v>41491</v>
      </c>
      <c r="B27" s="66">
        <v>41491</v>
      </c>
      <c r="C27" s="67">
        <v>0.51200000000000001</v>
      </c>
      <c r="D27" s="67">
        <v>0.43099999999999999</v>
      </c>
      <c r="E27" s="71">
        <v>0.55700000000000005</v>
      </c>
      <c r="F27" s="68">
        <v>48436.44</v>
      </c>
      <c r="G27" s="66">
        <f t="shared" si="0"/>
        <v>41491</v>
      </c>
      <c r="H27" s="70">
        <f t="shared" si="2"/>
        <v>9.844007281325251E-2</v>
      </c>
      <c r="I27" s="70">
        <f t="shared" si="2"/>
        <v>2.1102776067736036E-2</v>
      </c>
      <c r="J27" s="70">
        <f t="shared" si="2"/>
        <v>1.6289952979268552E-2</v>
      </c>
      <c r="K27" s="70">
        <f t="shared" si="2"/>
        <v>-7.7597390677849377E-4</v>
      </c>
      <c r="L27" s="69"/>
      <c r="M27" s="66">
        <f t="shared" si="1"/>
        <v>41491</v>
      </c>
      <c r="N27" s="81">
        <f t="shared" si="4"/>
        <v>129.29292929292924</v>
      </c>
      <c r="O27" s="81">
        <f t="shared" si="4"/>
        <v>102.13270142180096</v>
      </c>
      <c r="P27" s="81">
        <f t="shared" si="4"/>
        <v>98.409893992932908</v>
      </c>
      <c r="Q27" s="81">
        <f t="shared" si="4"/>
        <v>102.5552836685645</v>
      </c>
    </row>
    <row r="28" spans="1:17">
      <c r="A28" s="66">
        <v>41492</v>
      </c>
      <c r="B28" s="66">
        <v>41492</v>
      </c>
      <c r="C28" s="67">
        <v>0.55100000000000005</v>
      </c>
      <c r="D28" s="67">
        <v>0.43099999999999999</v>
      </c>
      <c r="E28" s="71">
        <v>0.55700000000000005</v>
      </c>
      <c r="F28" s="68">
        <v>47421.85</v>
      </c>
      <c r="G28" s="66">
        <f t="shared" si="0"/>
        <v>41492</v>
      </c>
      <c r="H28" s="70">
        <f t="shared" si="2"/>
        <v>7.3410184113406704E-2</v>
      </c>
      <c r="I28" s="70">
        <f t="shared" si="2"/>
        <v>0</v>
      </c>
      <c r="J28" s="70">
        <f t="shared" si="2"/>
        <v>0</v>
      </c>
      <c r="K28" s="70">
        <f t="shared" si="2"/>
        <v>-2.1169330052221481E-2</v>
      </c>
      <c r="L28" s="69"/>
      <c r="M28" s="66">
        <f t="shared" si="1"/>
        <v>41492</v>
      </c>
      <c r="N28" s="81">
        <f t="shared" si="4"/>
        <v>139.14141414141409</v>
      </c>
      <c r="O28" s="81">
        <f t="shared" si="4"/>
        <v>102.13270142180096</v>
      </c>
      <c r="P28" s="81">
        <f t="shared" si="4"/>
        <v>98.409893992932908</v>
      </c>
      <c r="Q28" s="81">
        <f t="shared" si="4"/>
        <v>100.4070753102027</v>
      </c>
    </row>
    <row r="29" spans="1:17">
      <c r="A29" s="66">
        <v>41493</v>
      </c>
      <c r="B29" s="66">
        <v>41493</v>
      </c>
      <c r="C29" s="71">
        <v>0.54100000000000004</v>
      </c>
      <c r="D29" s="67">
        <v>0.43099999999999999</v>
      </c>
      <c r="E29" s="71">
        <v>0.53800000000000003</v>
      </c>
      <c r="F29" s="68">
        <v>47446.71</v>
      </c>
      <c r="G29" s="66">
        <f t="shared" si="0"/>
        <v>41493</v>
      </c>
      <c r="H29" s="70">
        <f t="shared" si="2"/>
        <v>-1.8315530306432948E-2</v>
      </c>
      <c r="I29" s="70">
        <f t="shared" si="2"/>
        <v>0</v>
      </c>
      <c r="J29" s="70">
        <f t="shared" si="2"/>
        <v>-3.4706679765499647E-2</v>
      </c>
      <c r="K29" s="70">
        <f t="shared" si="2"/>
        <v>5.24093557845457E-4</v>
      </c>
      <c r="L29" s="69"/>
      <c r="M29" s="66">
        <f t="shared" si="1"/>
        <v>41493</v>
      </c>
      <c r="N29" s="81">
        <f t="shared" si="4"/>
        <v>136.61616161616158</v>
      </c>
      <c r="O29" s="81">
        <f t="shared" si="4"/>
        <v>102.13270142180096</v>
      </c>
      <c r="P29" s="81">
        <f t="shared" si="4"/>
        <v>95.05300353356894</v>
      </c>
      <c r="Q29" s="81">
        <f t="shared" si="4"/>
        <v>100.45971180355359</v>
      </c>
    </row>
    <row r="30" spans="1:17">
      <c r="A30" s="66">
        <v>41494</v>
      </c>
      <c r="B30" s="66">
        <v>41494</v>
      </c>
      <c r="C30" s="67">
        <v>0.54100000000000004</v>
      </c>
      <c r="D30" s="67">
        <v>0.45100000000000001</v>
      </c>
      <c r="E30" s="71">
        <v>0.52900000000000003</v>
      </c>
      <c r="F30" s="68">
        <v>48928.82</v>
      </c>
      <c r="G30" s="66">
        <f t="shared" si="0"/>
        <v>41494</v>
      </c>
      <c r="H30" s="70">
        <f t="shared" si="2"/>
        <v>0</v>
      </c>
      <c r="I30" s="70">
        <f t="shared" si="2"/>
        <v>4.5359249398930608E-2</v>
      </c>
      <c r="J30" s="70">
        <f t="shared" si="2"/>
        <v>-1.6870128303485034E-2</v>
      </c>
      <c r="K30" s="70">
        <f t="shared" si="2"/>
        <v>3.0759402417266136E-2</v>
      </c>
      <c r="L30" s="69"/>
      <c r="M30" s="66">
        <f t="shared" si="1"/>
        <v>41494</v>
      </c>
      <c r="N30" s="81">
        <f t="shared" si="4"/>
        <v>136.61616161616158</v>
      </c>
      <c r="O30" s="81">
        <f t="shared" si="4"/>
        <v>106.87203791469196</v>
      </c>
      <c r="P30" s="81">
        <f t="shared" si="4"/>
        <v>93.462897526501806</v>
      </c>
      <c r="Q30" s="81">
        <f t="shared" si="4"/>
        <v>103.59780806905154</v>
      </c>
    </row>
    <row r="31" spans="1:17">
      <c r="A31" s="66">
        <v>41495</v>
      </c>
      <c r="B31" s="66">
        <v>41495</v>
      </c>
      <c r="C31" s="67">
        <v>0.502</v>
      </c>
      <c r="D31" s="67">
        <v>0.45100000000000001</v>
      </c>
      <c r="E31" s="71">
        <v>0.53800000000000003</v>
      </c>
      <c r="F31" s="68">
        <v>49874.9</v>
      </c>
      <c r="G31" s="66">
        <f t="shared" si="0"/>
        <v>41495</v>
      </c>
      <c r="H31" s="70">
        <f t="shared" si="2"/>
        <v>-7.4819159154752346E-2</v>
      </c>
      <c r="I31" s="70">
        <f t="shared" si="2"/>
        <v>0</v>
      </c>
      <c r="J31" s="70">
        <f t="shared" si="2"/>
        <v>1.6870128303484975E-2</v>
      </c>
      <c r="K31" s="70">
        <f t="shared" si="2"/>
        <v>1.9151281269453289E-2</v>
      </c>
      <c r="L31" s="69"/>
      <c r="M31" s="66">
        <f t="shared" si="1"/>
        <v>41495</v>
      </c>
      <c r="N31" s="81">
        <f t="shared" si="4"/>
        <v>126.76767676767673</v>
      </c>
      <c r="O31" s="81">
        <f t="shared" si="4"/>
        <v>106.87203791469196</v>
      </c>
      <c r="P31" s="81">
        <f t="shared" si="4"/>
        <v>95.05300353356894</v>
      </c>
      <c r="Q31" s="81">
        <f t="shared" si="4"/>
        <v>105.60095905977578</v>
      </c>
    </row>
    <row r="32" spans="1:17">
      <c r="A32" s="66">
        <v>41498</v>
      </c>
      <c r="B32" s="66">
        <v>41498</v>
      </c>
      <c r="C32" s="67">
        <v>0.48299999999999998</v>
      </c>
      <c r="D32" s="67">
        <v>0.45100000000000001</v>
      </c>
      <c r="E32" s="71">
        <v>0.54800000000000004</v>
      </c>
      <c r="F32" s="68">
        <v>50299.49</v>
      </c>
      <c r="G32" s="66">
        <f t="shared" si="0"/>
        <v>41498</v>
      </c>
      <c r="H32" s="70">
        <f t="shared" si="2"/>
        <v>-3.8583466039156591E-2</v>
      </c>
      <c r="I32" s="70">
        <f t="shared" si="2"/>
        <v>0</v>
      </c>
      <c r="J32" s="70">
        <f t="shared" si="2"/>
        <v>1.8416726786231068E-2</v>
      </c>
      <c r="K32" s="70">
        <f t="shared" si="2"/>
        <v>8.4770676937957271E-3</v>
      </c>
      <c r="L32" s="69"/>
      <c r="M32" s="66">
        <f t="shared" si="1"/>
        <v>41498</v>
      </c>
      <c r="N32" s="81">
        <f t="shared" si="4"/>
        <v>121.96969696969693</v>
      </c>
      <c r="O32" s="81">
        <f t="shared" si="4"/>
        <v>106.87203791469196</v>
      </c>
      <c r="P32" s="81">
        <f t="shared" si="4"/>
        <v>96.819787985865759</v>
      </c>
      <c r="Q32" s="81">
        <f t="shared" si="4"/>
        <v>106.49995056065478</v>
      </c>
    </row>
    <row r="33" spans="1:17">
      <c r="A33" s="66">
        <v>41499</v>
      </c>
      <c r="B33" s="66">
        <v>41499</v>
      </c>
      <c r="C33" s="67">
        <v>0.502</v>
      </c>
      <c r="D33" s="67">
        <v>0.441</v>
      </c>
      <c r="E33" s="67">
        <v>0.53800000000000003</v>
      </c>
      <c r="F33" s="68">
        <v>50600.55</v>
      </c>
      <c r="G33" s="66">
        <f t="shared" si="0"/>
        <v>41499</v>
      </c>
      <c r="H33" s="70">
        <f t="shared" si="2"/>
        <v>3.8583466039156612E-2</v>
      </c>
      <c r="I33" s="70">
        <f t="shared" si="2"/>
        <v>-2.2422464055832397E-2</v>
      </c>
      <c r="J33" s="70">
        <f t="shared" si="2"/>
        <v>-1.8416726786231151E-2</v>
      </c>
      <c r="K33" s="70">
        <f t="shared" si="2"/>
        <v>5.9675079102820645E-3</v>
      </c>
      <c r="L33" s="69"/>
      <c r="M33" s="66">
        <f t="shared" si="1"/>
        <v>41499</v>
      </c>
      <c r="N33" s="81">
        <f t="shared" si="4"/>
        <v>126.76767676767673</v>
      </c>
      <c r="O33" s="81">
        <f t="shared" si="4"/>
        <v>104.50236966824646</v>
      </c>
      <c r="P33" s="81">
        <f t="shared" si="4"/>
        <v>95.05300353356894</v>
      </c>
      <c r="Q33" s="81">
        <f t="shared" si="4"/>
        <v>107.13738992864421</v>
      </c>
    </row>
    <row r="34" spans="1:17">
      <c r="A34" s="66">
        <v>41500</v>
      </c>
      <c r="B34" s="66">
        <v>41500</v>
      </c>
      <c r="C34" s="71">
        <v>0.49299999999999999</v>
      </c>
      <c r="D34" s="67">
        <v>0.441</v>
      </c>
      <c r="E34" s="71">
        <v>0.54800000000000004</v>
      </c>
      <c r="F34" s="68">
        <v>50895.92</v>
      </c>
      <c r="G34" s="66">
        <f t="shared" si="0"/>
        <v>41500</v>
      </c>
      <c r="H34" s="70">
        <f t="shared" si="2"/>
        <v>-1.8090945649039073E-2</v>
      </c>
      <c r="I34" s="70">
        <f t="shared" si="2"/>
        <v>0</v>
      </c>
      <c r="J34" s="70">
        <f t="shared" si="2"/>
        <v>1.8416726786231068E-2</v>
      </c>
      <c r="K34" s="70">
        <f t="shared" si="2"/>
        <v>5.8203173732319317E-3</v>
      </c>
      <c r="L34" s="69"/>
      <c r="M34" s="66">
        <f t="shared" si="1"/>
        <v>41500</v>
      </c>
      <c r="N34" s="81">
        <f t="shared" si="4"/>
        <v>124.49494949494947</v>
      </c>
      <c r="O34" s="81">
        <f t="shared" si="4"/>
        <v>104.50236966824646</v>
      </c>
      <c r="P34" s="81">
        <f t="shared" si="4"/>
        <v>96.819787985865759</v>
      </c>
      <c r="Q34" s="81">
        <f t="shared" si="4"/>
        <v>107.76278176456741</v>
      </c>
    </row>
    <row r="35" spans="1:17">
      <c r="A35" s="66">
        <v>41501</v>
      </c>
      <c r="B35" s="66">
        <v>41501</v>
      </c>
      <c r="C35" s="67">
        <v>0.47299999999999998</v>
      </c>
      <c r="D35" s="67">
        <v>0.441</v>
      </c>
      <c r="E35" s="71">
        <v>0.54800000000000004</v>
      </c>
      <c r="F35" s="68">
        <v>50908.34</v>
      </c>
      <c r="G35" s="66">
        <f t="shared" si="0"/>
        <v>41501</v>
      </c>
      <c r="H35" s="70">
        <f t="shared" si="2"/>
        <v>-4.1413785550757198E-2</v>
      </c>
      <c r="I35" s="70">
        <f t="shared" si="2"/>
        <v>0</v>
      </c>
      <c r="J35" s="70">
        <f t="shared" si="2"/>
        <v>0</v>
      </c>
      <c r="K35" s="70">
        <f t="shared" si="2"/>
        <v>2.4399764924594602E-4</v>
      </c>
      <c r="L35" s="69"/>
      <c r="M35" s="66">
        <f t="shared" si="1"/>
        <v>41501</v>
      </c>
      <c r="N35" s="81">
        <f t="shared" si="4"/>
        <v>119.44444444444441</v>
      </c>
      <c r="O35" s="81">
        <f t="shared" si="4"/>
        <v>104.50236966824646</v>
      </c>
      <c r="P35" s="81">
        <f t="shared" si="4"/>
        <v>96.819787985865759</v>
      </c>
      <c r="Q35" s="81">
        <f t="shared" si="4"/>
        <v>107.78907883807575</v>
      </c>
    </row>
    <row r="36" spans="1:17">
      <c r="A36" s="66">
        <v>41502</v>
      </c>
      <c r="B36" s="66">
        <v>41502</v>
      </c>
      <c r="C36" s="67">
        <v>0.47299999999999998</v>
      </c>
      <c r="D36" s="67">
        <v>0.46</v>
      </c>
      <c r="E36" s="67">
        <v>0.53800000000000003</v>
      </c>
      <c r="F36" s="68">
        <v>51538.78</v>
      </c>
      <c r="G36" s="66">
        <f t="shared" si="0"/>
        <v>41502</v>
      </c>
      <c r="H36" s="70">
        <f t="shared" si="2"/>
        <v>0</v>
      </c>
      <c r="I36" s="70">
        <f t="shared" si="2"/>
        <v>4.2181614036294668E-2</v>
      </c>
      <c r="J36" s="70">
        <f t="shared" si="2"/>
        <v>-1.8416726786231151E-2</v>
      </c>
      <c r="K36" s="70">
        <f t="shared" si="2"/>
        <v>1.2307773186820036E-2</v>
      </c>
      <c r="L36" s="69"/>
      <c r="M36" s="66">
        <f t="shared" si="1"/>
        <v>41502</v>
      </c>
      <c r="N36" s="81">
        <f t="shared" si="4"/>
        <v>119.44444444444441</v>
      </c>
      <c r="O36" s="81">
        <f t="shared" si="4"/>
        <v>109.0047393364929</v>
      </c>
      <c r="P36" s="81">
        <f t="shared" si="4"/>
        <v>95.05300353356894</v>
      </c>
      <c r="Q36" s="81">
        <f t="shared" si="4"/>
        <v>109.1239199832138</v>
      </c>
    </row>
    <row r="37" spans="1:17">
      <c r="A37" s="66">
        <v>41505</v>
      </c>
      <c r="B37" s="66">
        <v>41505</v>
      </c>
      <c r="C37" s="67">
        <v>0.51200000000000001</v>
      </c>
      <c r="D37" s="67">
        <v>0.46</v>
      </c>
      <c r="E37" s="67">
        <v>0.53800000000000003</v>
      </c>
      <c r="F37" s="68">
        <v>51574.09</v>
      </c>
      <c r="G37" s="66">
        <f t="shared" si="0"/>
        <v>41505</v>
      </c>
      <c r="H37" s="70">
        <f t="shared" si="2"/>
        <v>7.9229236547574855E-2</v>
      </c>
      <c r="I37" s="70">
        <f t="shared" si="2"/>
        <v>0</v>
      </c>
      <c r="J37" s="70">
        <f t="shared" si="2"/>
        <v>0</v>
      </c>
      <c r="K37" s="70">
        <f t="shared" si="2"/>
        <v>6.8488058532771199E-4</v>
      </c>
      <c r="L37" s="69"/>
      <c r="M37" s="66">
        <f t="shared" si="1"/>
        <v>41505</v>
      </c>
      <c r="N37" s="81">
        <f t="shared" ref="N37:Q52" si="5">C37/C36*N36</f>
        <v>129.29292929292927</v>
      </c>
      <c r="O37" s="81">
        <f t="shared" si="5"/>
        <v>109.0047393364929</v>
      </c>
      <c r="P37" s="81">
        <f t="shared" si="5"/>
        <v>95.05300353356894</v>
      </c>
      <c r="Q37" s="81">
        <f t="shared" si="5"/>
        <v>109.19868243615907</v>
      </c>
    </row>
    <row r="38" spans="1:17">
      <c r="A38" s="66">
        <v>41506</v>
      </c>
      <c r="B38" s="66">
        <v>41506</v>
      </c>
      <c r="C38" s="67">
        <v>0.47299999999999998</v>
      </c>
      <c r="D38" s="67">
        <v>0.45100000000000001</v>
      </c>
      <c r="E38" s="71">
        <v>0.53800000000000003</v>
      </c>
      <c r="F38" s="68">
        <v>50507.02</v>
      </c>
      <c r="G38" s="66">
        <f t="shared" si="0"/>
        <v>41506</v>
      </c>
      <c r="H38" s="70">
        <f t="shared" si="2"/>
        <v>-7.9229236547574938E-2</v>
      </c>
      <c r="I38" s="70">
        <f t="shared" si="2"/>
        <v>-1.9759149980462333E-2</v>
      </c>
      <c r="J38" s="70">
        <f t="shared" si="2"/>
        <v>0</v>
      </c>
      <c r="K38" s="70">
        <f t="shared" si="2"/>
        <v>-2.0907078072866528E-2</v>
      </c>
      <c r="L38" s="69"/>
      <c r="M38" s="66">
        <f t="shared" si="1"/>
        <v>41506</v>
      </c>
      <c r="N38" s="81">
        <f t="shared" si="5"/>
        <v>119.44444444444441</v>
      </c>
      <c r="O38" s="81">
        <f t="shared" si="5"/>
        <v>106.87203791469196</v>
      </c>
      <c r="P38" s="81">
        <f t="shared" si="5"/>
        <v>95.05300353356894</v>
      </c>
      <c r="Q38" s="81">
        <f t="shared" si="5"/>
        <v>106.93935729698256</v>
      </c>
    </row>
    <row r="39" spans="1:17">
      <c r="A39" s="66">
        <v>41507</v>
      </c>
      <c r="B39" s="66">
        <v>41507</v>
      </c>
      <c r="C39" s="67">
        <v>0.47299999999999998</v>
      </c>
      <c r="D39" s="67">
        <v>0.45100000000000001</v>
      </c>
      <c r="E39" s="67">
        <v>0.53800000000000003</v>
      </c>
      <c r="F39" s="68">
        <v>50405.2</v>
      </c>
      <c r="G39" s="66">
        <f t="shared" si="0"/>
        <v>41507</v>
      </c>
      <c r="H39" s="70">
        <f t="shared" si="2"/>
        <v>0</v>
      </c>
      <c r="I39" s="70">
        <f t="shared" si="2"/>
        <v>0</v>
      </c>
      <c r="J39" s="70">
        <f t="shared" si="2"/>
        <v>0</v>
      </c>
      <c r="K39" s="70">
        <f t="shared" si="2"/>
        <v>-2.0179921629590344E-3</v>
      </c>
      <c r="L39" s="69"/>
      <c r="M39" s="66">
        <f t="shared" si="1"/>
        <v>41507</v>
      </c>
      <c r="N39" s="81">
        <f t="shared" si="5"/>
        <v>119.44444444444441</v>
      </c>
      <c r="O39" s="81">
        <f t="shared" si="5"/>
        <v>106.87203791469196</v>
      </c>
      <c r="P39" s="81">
        <f t="shared" si="5"/>
        <v>95.05300353356894</v>
      </c>
      <c r="Q39" s="81">
        <f t="shared" si="5"/>
        <v>106.72377210981494</v>
      </c>
    </row>
    <row r="40" spans="1:17">
      <c r="A40" s="66">
        <v>41508</v>
      </c>
      <c r="B40" s="66">
        <v>41508</v>
      </c>
      <c r="C40" s="67">
        <v>0.47299999999999998</v>
      </c>
      <c r="D40" s="67">
        <v>0.45100000000000001</v>
      </c>
      <c r="E40" s="67">
        <v>0.53800000000000003</v>
      </c>
      <c r="F40" s="68">
        <v>51397.66</v>
      </c>
      <c r="G40" s="66">
        <f t="shared" si="0"/>
        <v>41508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1.9498301774618896E-2</v>
      </c>
      <c r="L40" s="69"/>
      <c r="M40" s="66">
        <f t="shared" si="1"/>
        <v>41508</v>
      </c>
      <c r="N40" s="81">
        <f t="shared" si="5"/>
        <v>119.44444444444441</v>
      </c>
      <c r="O40" s="81">
        <f t="shared" si="5"/>
        <v>106.87203791469196</v>
      </c>
      <c r="P40" s="81">
        <f t="shared" si="5"/>
        <v>95.05300353356894</v>
      </c>
      <c r="Q40" s="81">
        <f t="shared" si="5"/>
        <v>108.82512424943759</v>
      </c>
    </row>
    <row r="41" spans="1:17">
      <c r="A41" s="66">
        <v>41509</v>
      </c>
      <c r="B41" s="66">
        <v>41509</v>
      </c>
      <c r="C41" s="67">
        <v>0.48299999999999998</v>
      </c>
      <c r="D41" s="67">
        <v>0.45100000000000001</v>
      </c>
      <c r="E41" s="71">
        <v>0.53800000000000003</v>
      </c>
      <c r="F41" s="68">
        <v>52197.06</v>
      </c>
      <c r="G41" s="66">
        <f t="shared" si="0"/>
        <v>41509</v>
      </c>
      <c r="H41" s="70">
        <f t="shared" si="2"/>
        <v>2.0921265160639736E-2</v>
      </c>
      <c r="I41" s="70">
        <f t="shared" si="2"/>
        <v>0</v>
      </c>
      <c r="J41" s="70">
        <f t="shared" si="2"/>
        <v>0</v>
      </c>
      <c r="K41" s="70">
        <f t="shared" si="2"/>
        <v>1.5433525330395013E-2</v>
      </c>
      <c r="L41" s="69"/>
      <c r="M41" s="66">
        <f t="shared" si="1"/>
        <v>41509</v>
      </c>
      <c r="N41" s="81">
        <f t="shared" si="5"/>
        <v>121.96969696969694</v>
      </c>
      <c r="O41" s="81">
        <f t="shared" si="5"/>
        <v>106.87203791469196</v>
      </c>
      <c r="P41" s="81">
        <f t="shared" si="5"/>
        <v>95.05300353356894</v>
      </c>
      <c r="Q41" s="81">
        <f t="shared" si="5"/>
        <v>110.51770722549136</v>
      </c>
    </row>
    <row r="42" spans="1:17">
      <c r="A42" s="66">
        <v>41512</v>
      </c>
      <c r="B42" s="66">
        <v>41512</v>
      </c>
      <c r="C42" s="67">
        <v>0.48299999999999998</v>
      </c>
      <c r="D42" s="67">
        <v>0.45100000000000001</v>
      </c>
      <c r="E42" s="67">
        <v>0.501</v>
      </c>
      <c r="F42" s="68">
        <v>51429.48</v>
      </c>
      <c r="G42" s="66">
        <f t="shared" si="0"/>
        <v>41512</v>
      </c>
      <c r="H42" s="70">
        <f t="shared" si="2"/>
        <v>0</v>
      </c>
      <c r="I42" s="70">
        <f t="shared" si="2"/>
        <v>0</v>
      </c>
      <c r="J42" s="70">
        <f t="shared" si="2"/>
        <v>-7.1252459076919669E-2</v>
      </c>
      <c r="K42" s="70">
        <f t="shared" si="2"/>
        <v>-1.4814622557922773E-2</v>
      </c>
      <c r="L42" s="69"/>
      <c r="M42" s="66">
        <f t="shared" si="1"/>
        <v>41512</v>
      </c>
      <c r="N42" s="81">
        <f t="shared" si="5"/>
        <v>121.96969696969694</v>
      </c>
      <c r="O42" s="81">
        <f t="shared" si="5"/>
        <v>106.87203791469196</v>
      </c>
      <c r="P42" s="81">
        <f t="shared" si="5"/>
        <v>88.515901060070703</v>
      </c>
      <c r="Q42" s="81">
        <f t="shared" si="5"/>
        <v>108.89249726707337</v>
      </c>
    </row>
    <row r="43" spans="1:17">
      <c r="A43" s="66">
        <v>41513</v>
      </c>
      <c r="B43" s="66">
        <v>41513</v>
      </c>
      <c r="C43" s="67">
        <v>0.47299999999999998</v>
      </c>
      <c r="D43" s="67">
        <v>0.45100000000000001</v>
      </c>
      <c r="E43" s="67">
        <v>0.501</v>
      </c>
      <c r="F43" s="68">
        <v>50091.55</v>
      </c>
      <c r="G43" s="66">
        <f t="shared" si="0"/>
        <v>41513</v>
      </c>
      <c r="H43" s="70">
        <f t="shared" si="2"/>
        <v>-2.0921265160639684E-2</v>
      </c>
      <c r="I43" s="70">
        <f t="shared" si="2"/>
        <v>0</v>
      </c>
      <c r="J43" s="70">
        <f t="shared" si="2"/>
        <v>0</v>
      </c>
      <c r="K43" s="70">
        <f t="shared" si="2"/>
        <v>-2.6359217714435387E-2</v>
      </c>
      <c r="L43" s="69"/>
      <c r="M43" s="66">
        <f t="shared" si="1"/>
        <v>41513</v>
      </c>
      <c r="N43" s="81">
        <f t="shared" si="5"/>
        <v>119.44444444444441</v>
      </c>
      <c r="O43" s="81">
        <f t="shared" si="5"/>
        <v>106.87203791469196</v>
      </c>
      <c r="P43" s="81">
        <f t="shared" si="5"/>
        <v>88.515901060070703</v>
      </c>
      <c r="Q43" s="81">
        <f t="shared" si="5"/>
        <v>106.05967572447688</v>
      </c>
    </row>
    <row r="44" spans="1:17">
      <c r="A44" s="66">
        <v>41514</v>
      </c>
      <c r="B44" s="66">
        <v>41514</v>
      </c>
      <c r="C44" s="67">
        <v>0.48299999999999998</v>
      </c>
      <c r="D44" s="67">
        <v>0.45100000000000001</v>
      </c>
      <c r="E44" s="67">
        <v>0.51</v>
      </c>
      <c r="F44" s="68">
        <v>49866.92</v>
      </c>
      <c r="G44" s="66">
        <f t="shared" si="0"/>
        <v>41514</v>
      </c>
      <c r="H44" s="70">
        <f t="shared" si="2"/>
        <v>2.0921265160639736E-2</v>
      </c>
      <c r="I44" s="70">
        <f t="shared" si="2"/>
        <v>0</v>
      </c>
      <c r="J44" s="70">
        <f t="shared" si="2"/>
        <v>1.7804624633506686E-2</v>
      </c>
      <c r="K44" s="70">
        <f t="shared" si="2"/>
        <v>-4.494474117753413E-3</v>
      </c>
      <c r="L44" s="69"/>
      <c r="M44" s="66">
        <f t="shared" si="1"/>
        <v>41514</v>
      </c>
      <c r="N44" s="81">
        <f t="shared" si="5"/>
        <v>121.96969696969694</v>
      </c>
      <c r="O44" s="81">
        <f t="shared" si="5"/>
        <v>106.87203791469196</v>
      </c>
      <c r="P44" s="81">
        <f t="shared" si="5"/>
        <v>90.106007067137838</v>
      </c>
      <c r="Q44" s="81">
        <f t="shared" si="5"/>
        <v>105.58406287244914</v>
      </c>
    </row>
    <row r="45" spans="1:17">
      <c r="A45" s="66">
        <v>41515</v>
      </c>
      <c r="B45" s="66">
        <v>41515</v>
      </c>
      <c r="C45" s="67">
        <v>0.46400000000000002</v>
      </c>
      <c r="D45" s="67">
        <v>0.46</v>
      </c>
      <c r="E45" s="67">
        <v>0.501</v>
      </c>
      <c r="F45" s="68">
        <v>49921.88</v>
      </c>
      <c r="G45" s="66">
        <f t="shared" si="0"/>
        <v>41515</v>
      </c>
      <c r="H45" s="70">
        <f t="shared" si="2"/>
        <v>-4.0132101426317304E-2</v>
      </c>
      <c r="I45" s="70">
        <f t="shared" si="2"/>
        <v>1.9759149980462392E-2</v>
      </c>
      <c r="J45" s="70">
        <f t="shared" si="2"/>
        <v>-1.7804624633506707E-2</v>
      </c>
      <c r="K45" s="70">
        <f t="shared" si="2"/>
        <v>1.1015265351860236E-3</v>
      </c>
      <c r="L45" s="69"/>
      <c r="M45" s="66">
        <f t="shared" si="1"/>
        <v>41515</v>
      </c>
      <c r="N45" s="81">
        <f t="shared" si="5"/>
        <v>117.17171717171716</v>
      </c>
      <c r="O45" s="81">
        <f t="shared" si="5"/>
        <v>109.00473933649292</v>
      </c>
      <c r="P45" s="81">
        <f t="shared" si="5"/>
        <v>88.515901060070689</v>
      </c>
      <c r="Q45" s="81">
        <f t="shared" si="5"/>
        <v>105.7004305986987</v>
      </c>
    </row>
    <row r="46" spans="1:17">
      <c r="A46" s="66">
        <v>41516</v>
      </c>
      <c r="B46" s="66">
        <v>41516</v>
      </c>
      <c r="C46" s="67">
        <v>0.47299999999999998</v>
      </c>
      <c r="D46" s="67">
        <v>0.45100000000000001</v>
      </c>
      <c r="E46" s="67">
        <v>0.501</v>
      </c>
      <c r="F46" s="68">
        <v>50011.75</v>
      </c>
      <c r="G46" s="66">
        <f t="shared" si="0"/>
        <v>41516</v>
      </c>
      <c r="H46" s="70">
        <f t="shared" si="2"/>
        <v>1.9210836265677673E-2</v>
      </c>
      <c r="I46" s="70">
        <f t="shared" si="2"/>
        <v>-1.9759149980462333E-2</v>
      </c>
      <c r="J46" s="70">
        <f t="shared" si="2"/>
        <v>0</v>
      </c>
      <c r="K46" s="70">
        <f t="shared" si="2"/>
        <v>1.798594211518388E-3</v>
      </c>
      <c r="L46" s="69"/>
      <c r="M46" s="66">
        <f t="shared" si="1"/>
        <v>41516</v>
      </c>
      <c r="N46" s="81">
        <f t="shared" si="5"/>
        <v>119.44444444444443</v>
      </c>
      <c r="O46" s="81">
        <f t="shared" si="5"/>
        <v>106.87203791469197</v>
      </c>
      <c r="P46" s="81">
        <f t="shared" si="5"/>
        <v>88.515901060070689</v>
      </c>
      <c r="Q46" s="81">
        <f t="shared" si="5"/>
        <v>105.89071385121052</v>
      </c>
    </row>
    <row r="47" spans="1:17">
      <c r="A47" s="66">
        <v>41519</v>
      </c>
      <c r="B47" s="66">
        <v>41519</v>
      </c>
      <c r="C47" s="67">
        <v>0.47299999999999998</v>
      </c>
      <c r="D47" s="67">
        <v>0.46</v>
      </c>
      <c r="E47" s="67">
        <v>0.501</v>
      </c>
      <c r="F47" s="68">
        <v>51835.15</v>
      </c>
      <c r="G47" s="66">
        <f t="shared" si="0"/>
        <v>41519</v>
      </c>
      <c r="H47" s="70">
        <f t="shared" si="2"/>
        <v>0</v>
      </c>
      <c r="I47" s="70">
        <f t="shared" si="2"/>
        <v>1.9759149980462392E-2</v>
      </c>
      <c r="J47" s="70">
        <f t="shared" si="2"/>
        <v>0</v>
      </c>
      <c r="K47" s="70">
        <f t="shared" si="2"/>
        <v>3.5810512748544208E-2</v>
      </c>
      <c r="L47" s="69"/>
      <c r="M47" s="66">
        <f t="shared" si="1"/>
        <v>41519</v>
      </c>
      <c r="N47" s="81">
        <f t="shared" si="5"/>
        <v>119.44444444444443</v>
      </c>
      <c r="O47" s="81">
        <f t="shared" si="5"/>
        <v>109.00473933649293</v>
      </c>
      <c r="P47" s="81">
        <f t="shared" si="5"/>
        <v>88.515901060070689</v>
      </c>
      <c r="Q47" s="81">
        <f t="shared" si="5"/>
        <v>109.75142913584457</v>
      </c>
    </row>
    <row r="48" spans="1:17">
      <c r="A48" s="66">
        <v>41520</v>
      </c>
      <c r="B48" s="66">
        <v>41520</v>
      </c>
      <c r="C48" s="67">
        <v>0.47299999999999998</v>
      </c>
      <c r="D48" s="67">
        <v>0.45100000000000001</v>
      </c>
      <c r="E48" s="67">
        <v>0.501</v>
      </c>
      <c r="F48" s="68">
        <v>51625.5</v>
      </c>
      <c r="G48" s="66">
        <f t="shared" si="0"/>
        <v>41520</v>
      </c>
      <c r="H48" s="70">
        <f t="shared" si="2"/>
        <v>0</v>
      </c>
      <c r="I48" s="70">
        <f t="shared" si="2"/>
        <v>-1.9759149980462333E-2</v>
      </c>
      <c r="J48" s="70">
        <f t="shared" si="2"/>
        <v>0</v>
      </c>
      <c r="K48" s="70">
        <f t="shared" si="2"/>
        <v>-4.0527541041959856E-3</v>
      </c>
      <c r="L48" s="69"/>
      <c r="M48" s="66">
        <f t="shared" si="1"/>
        <v>41520</v>
      </c>
      <c r="N48" s="81">
        <f t="shared" si="5"/>
        <v>119.44444444444443</v>
      </c>
      <c r="O48" s="81">
        <f t="shared" si="5"/>
        <v>106.87203791469199</v>
      </c>
      <c r="P48" s="81">
        <f t="shared" si="5"/>
        <v>88.515901060070689</v>
      </c>
      <c r="Q48" s="81">
        <f t="shared" si="5"/>
        <v>109.30753368809667</v>
      </c>
    </row>
    <row r="49" spans="1:17">
      <c r="A49" s="66">
        <v>41521</v>
      </c>
      <c r="B49" s="66">
        <v>41521</v>
      </c>
      <c r="C49" s="67">
        <v>0.47299999999999998</v>
      </c>
      <c r="D49" s="67">
        <v>0.45100000000000001</v>
      </c>
      <c r="E49" s="67">
        <v>0.49199999999999999</v>
      </c>
      <c r="F49" s="68">
        <v>51716.160000000003</v>
      </c>
      <c r="G49" s="66">
        <f t="shared" si="0"/>
        <v>41521</v>
      </c>
      <c r="H49" s="70">
        <f t="shared" si="2"/>
        <v>0</v>
      </c>
      <c r="I49" s="70">
        <f t="shared" si="2"/>
        <v>0</v>
      </c>
      <c r="J49" s="70">
        <f t="shared" si="2"/>
        <v>-1.8127384592556715E-2</v>
      </c>
      <c r="K49" s="70">
        <f t="shared" si="2"/>
        <v>1.7545687432959816E-3</v>
      </c>
      <c r="L49" s="69"/>
      <c r="M49" s="66">
        <f t="shared" si="1"/>
        <v>41521</v>
      </c>
      <c r="N49" s="81">
        <f t="shared" si="5"/>
        <v>119.44444444444443</v>
      </c>
      <c r="O49" s="81">
        <f t="shared" si="5"/>
        <v>106.87203791469199</v>
      </c>
      <c r="P49" s="81">
        <f t="shared" si="5"/>
        <v>86.925795053003554</v>
      </c>
      <c r="Q49" s="81">
        <f t="shared" si="5"/>
        <v>109.49948962080751</v>
      </c>
    </row>
    <row r="50" spans="1:17">
      <c r="A50" s="66">
        <v>41522</v>
      </c>
      <c r="B50" s="66">
        <v>41522</v>
      </c>
      <c r="C50" s="67">
        <v>0.49299999999999999</v>
      </c>
      <c r="D50" s="67">
        <v>0.46</v>
      </c>
      <c r="E50" s="67">
        <v>0.49199999999999999</v>
      </c>
      <c r="F50" s="68">
        <v>52351.86</v>
      </c>
      <c r="G50" s="66">
        <f t="shared" si="0"/>
        <v>41522</v>
      </c>
      <c r="H50" s="70">
        <f t="shared" si="2"/>
        <v>4.1413785550757171E-2</v>
      </c>
      <c r="I50" s="70">
        <f t="shared" si="2"/>
        <v>1.9759149980462392E-2</v>
      </c>
      <c r="J50" s="70">
        <f t="shared" si="2"/>
        <v>0</v>
      </c>
      <c r="K50" s="70">
        <f t="shared" si="2"/>
        <v>1.2217161563711885E-2</v>
      </c>
      <c r="L50" s="69"/>
      <c r="M50" s="66">
        <f t="shared" si="1"/>
        <v>41522</v>
      </c>
      <c r="N50" s="81">
        <f t="shared" si="5"/>
        <v>124.49494949494948</v>
      </c>
      <c r="O50" s="81">
        <f t="shared" si="5"/>
        <v>109.00473933649295</v>
      </c>
      <c r="P50" s="81">
        <f t="shared" si="5"/>
        <v>86.925795053003554</v>
      </c>
      <c r="Q50" s="81">
        <f t="shared" si="5"/>
        <v>110.84546785182751</v>
      </c>
    </row>
    <row r="51" spans="1:17">
      <c r="A51" s="66">
        <v>41523</v>
      </c>
      <c r="B51" s="66">
        <v>41523</v>
      </c>
      <c r="C51" s="67">
        <v>0.49299999999999999</v>
      </c>
      <c r="D51" s="67">
        <v>0.46</v>
      </c>
      <c r="E51" s="67">
        <v>0.49199999999999999</v>
      </c>
      <c r="F51" s="68">
        <v>53749.42</v>
      </c>
      <c r="G51" s="66">
        <f t="shared" si="0"/>
        <v>41523</v>
      </c>
      <c r="H51" s="70">
        <f t="shared" si="2"/>
        <v>0</v>
      </c>
      <c r="I51" s="70">
        <f t="shared" si="2"/>
        <v>0</v>
      </c>
      <c r="J51" s="70">
        <f t="shared" si="2"/>
        <v>0</v>
      </c>
      <c r="K51" s="70">
        <f t="shared" si="2"/>
        <v>2.6345409480550433E-2</v>
      </c>
      <c r="L51" s="69"/>
      <c r="M51" s="66">
        <f t="shared" si="1"/>
        <v>41523</v>
      </c>
      <c r="N51" s="81">
        <f t="shared" si="5"/>
        <v>124.49494949494948</v>
      </c>
      <c r="O51" s="81">
        <f t="shared" si="5"/>
        <v>109.00473933649295</v>
      </c>
      <c r="P51" s="81">
        <f t="shared" si="5"/>
        <v>86.925795053003554</v>
      </c>
      <c r="Q51" s="81">
        <f t="shared" si="5"/>
        <v>113.80454498969804</v>
      </c>
    </row>
    <row r="52" spans="1:17">
      <c r="A52" s="66">
        <v>41526</v>
      </c>
      <c r="B52" s="66">
        <v>41526</v>
      </c>
      <c r="C52" s="67">
        <v>0.49299999999999999</v>
      </c>
      <c r="D52" s="67">
        <v>0.47</v>
      </c>
      <c r="E52" s="67">
        <v>0.49199999999999999</v>
      </c>
      <c r="F52" s="68">
        <v>54251.85</v>
      </c>
      <c r="G52" s="66">
        <f t="shared" si="0"/>
        <v>41526</v>
      </c>
      <c r="H52" s="70">
        <f t="shared" si="2"/>
        <v>0</v>
      </c>
      <c r="I52" s="70">
        <f t="shared" si="2"/>
        <v>2.1506205220963463E-2</v>
      </c>
      <c r="J52" s="70">
        <f t="shared" si="2"/>
        <v>0</v>
      </c>
      <c r="K52" s="70">
        <f t="shared" si="2"/>
        <v>9.3042169697407501E-3</v>
      </c>
      <c r="L52" s="69"/>
      <c r="M52" s="66">
        <f t="shared" si="1"/>
        <v>41526</v>
      </c>
      <c r="N52" s="81">
        <f t="shared" si="5"/>
        <v>124.49494949494948</v>
      </c>
      <c r="O52" s="81">
        <f t="shared" si="5"/>
        <v>111.37440758293843</v>
      </c>
      <c r="P52" s="81">
        <f t="shared" si="5"/>
        <v>86.925795053003554</v>
      </c>
      <c r="Q52" s="81">
        <f t="shared" si="5"/>
        <v>114.86834842309648</v>
      </c>
    </row>
    <row r="53" spans="1:17">
      <c r="A53" s="66">
        <v>41527</v>
      </c>
      <c r="B53" s="66">
        <v>41527</v>
      </c>
      <c r="C53" s="67">
        <v>0.49299999999999999</v>
      </c>
      <c r="D53" s="67">
        <v>0.46</v>
      </c>
      <c r="E53" s="67">
        <v>0.49199999999999999</v>
      </c>
      <c r="F53" s="68">
        <v>53979.03</v>
      </c>
      <c r="G53" s="66">
        <f t="shared" si="0"/>
        <v>41527</v>
      </c>
      <c r="H53" s="70">
        <f t="shared" si="2"/>
        <v>0</v>
      </c>
      <c r="I53" s="70">
        <f t="shared" si="2"/>
        <v>-2.1506205220963505E-2</v>
      </c>
      <c r="J53" s="70">
        <f t="shared" si="2"/>
        <v>0</v>
      </c>
      <c r="K53" s="70">
        <f t="shared" si="2"/>
        <v>-5.0414554115926274E-3</v>
      </c>
      <c r="L53" s="69"/>
      <c r="M53" s="66">
        <f t="shared" si="1"/>
        <v>41527</v>
      </c>
      <c r="N53" s="81">
        <f t="shared" ref="N53:Q68" si="6">C53/C52*N52</f>
        <v>124.49494949494948</v>
      </c>
      <c r="O53" s="81">
        <f t="shared" si="6"/>
        <v>109.00473933649295</v>
      </c>
      <c r="P53" s="81">
        <f t="shared" si="6"/>
        <v>86.925795053003554</v>
      </c>
      <c r="Q53" s="81">
        <f t="shared" si="6"/>
        <v>114.29070207892961</v>
      </c>
    </row>
    <row r="54" spans="1:17">
      <c r="A54" s="66">
        <v>41528</v>
      </c>
      <c r="B54" s="66">
        <v>41528</v>
      </c>
      <c r="C54" s="67">
        <v>0.49299999999999999</v>
      </c>
      <c r="D54" s="67">
        <v>0.46</v>
      </c>
      <c r="E54" s="67">
        <v>0.49199999999999999</v>
      </c>
      <c r="F54" s="68">
        <v>53570.46</v>
      </c>
      <c r="G54" s="66">
        <f t="shared" si="0"/>
        <v>41528</v>
      </c>
      <c r="H54" s="70">
        <f t="shared" si="2"/>
        <v>0</v>
      </c>
      <c r="I54" s="70">
        <f t="shared" si="2"/>
        <v>0</v>
      </c>
      <c r="J54" s="70">
        <f t="shared" si="2"/>
        <v>0</v>
      </c>
      <c r="K54" s="70">
        <f t="shared" si="2"/>
        <v>-7.5978410583735778E-3</v>
      </c>
      <c r="L54" s="69"/>
      <c r="M54" s="66">
        <f t="shared" si="1"/>
        <v>41528</v>
      </c>
      <c r="N54" s="81">
        <f t="shared" si="6"/>
        <v>124.49494949494948</v>
      </c>
      <c r="O54" s="81">
        <f t="shared" si="6"/>
        <v>109.00473933649295</v>
      </c>
      <c r="P54" s="81">
        <f t="shared" si="6"/>
        <v>86.925795053003554</v>
      </c>
      <c r="Q54" s="81">
        <f t="shared" si="6"/>
        <v>113.42562999170633</v>
      </c>
    </row>
    <row r="55" spans="1:17">
      <c r="A55" s="66">
        <v>41529</v>
      </c>
      <c r="B55" s="66">
        <v>41529</v>
      </c>
      <c r="C55" s="67">
        <v>0.49299999999999999</v>
      </c>
      <c r="D55" s="67">
        <v>0.46</v>
      </c>
      <c r="E55" s="67">
        <v>0.48299999999999998</v>
      </c>
      <c r="F55" s="68">
        <v>53307.09</v>
      </c>
      <c r="G55" s="66">
        <f t="shared" si="0"/>
        <v>41529</v>
      </c>
      <c r="H55" s="70">
        <f t="shared" si="2"/>
        <v>0</v>
      </c>
      <c r="I55" s="70">
        <f t="shared" si="2"/>
        <v>0</v>
      </c>
      <c r="J55" s="70">
        <f t="shared" si="2"/>
        <v>-1.8462062839735442E-2</v>
      </c>
      <c r="K55" s="70">
        <f t="shared" si="2"/>
        <v>-4.9284537884154442E-3</v>
      </c>
      <c r="L55" s="69"/>
      <c r="M55" s="66">
        <f t="shared" si="1"/>
        <v>41529</v>
      </c>
      <c r="N55" s="81">
        <f t="shared" si="6"/>
        <v>124.49494949494948</v>
      </c>
      <c r="O55" s="81">
        <f t="shared" si="6"/>
        <v>109.00473933649295</v>
      </c>
      <c r="P55" s="81">
        <f t="shared" si="6"/>
        <v>85.335689045936419</v>
      </c>
      <c r="Q55" s="81">
        <f t="shared" si="6"/>
        <v>112.86799229042626</v>
      </c>
    </row>
    <row r="56" spans="1:17">
      <c r="A56" s="66">
        <v>41530</v>
      </c>
      <c r="B56" s="66">
        <v>41530</v>
      </c>
      <c r="C56" s="67">
        <v>0.49299999999999999</v>
      </c>
      <c r="D56" s="67">
        <v>0.47</v>
      </c>
      <c r="E56" s="67">
        <v>0.49199999999999999</v>
      </c>
      <c r="F56" s="68">
        <v>53797.51</v>
      </c>
      <c r="G56" s="66">
        <f t="shared" si="0"/>
        <v>41530</v>
      </c>
      <c r="H56" s="70">
        <f t="shared" si="2"/>
        <v>0</v>
      </c>
      <c r="I56" s="70">
        <f t="shared" si="2"/>
        <v>2.1506205220963463E-2</v>
      </c>
      <c r="J56" s="70">
        <f t="shared" si="2"/>
        <v>1.8462062839735352E-2</v>
      </c>
      <c r="K56" s="70">
        <f t="shared" si="2"/>
        <v>9.1578406055515486E-3</v>
      </c>
      <c r="L56" s="69"/>
      <c r="M56" s="66">
        <f t="shared" si="1"/>
        <v>41530</v>
      </c>
      <c r="N56" s="81">
        <f t="shared" si="6"/>
        <v>124.49494949494948</v>
      </c>
      <c r="O56" s="81">
        <f t="shared" si="6"/>
        <v>111.37440758293843</v>
      </c>
      <c r="P56" s="81">
        <f t="shared" si="6"/>
        <v>86.925795053003554</v>
      </c>
      <c r="Q56" s="81">
        <f t="shared" si="6"/>
        <v>113.90636675016644</v>
      </c>
    </row>
    <row r="57" spans="1:17">
      <c r="A57" s="66">
        <v>41533</v>
      </c>
      <c r="B57" s="66">
        <v>41533</v>
      </c>
      <c r="C57" s="67">
        <v>0.49299999999999999</v>
      </c>
      <c r="D57" s="67">
        <v>0.47</v>
      </c>
      <c r="E57" s="67">
        <v>0.52900000000000003</v>
      </c>
      <c r="F57" s="68">
        <v>53821.63</v>
      </c>
      <c r="G57" s="66">
        <f t="shared" si="0"/>
        <v>41533</v>
      </c>
      <c r="H57" s="70">
        <f t="shared" si="2"/>
        <v>0</v>
      </c>
      <c r="I57" s="70">
        <f t="shared" si="2"/>
        <v>0</v>
      </c>
      <c r="J57" s="70">
        <f t="shared" si="2"/>
        <v>7.2509715365991267E-2</v>
      </c>
      <c r="K57" s="70">
        <f t="shared" si="2"/>
        <v>4.482474103371534E-4</v>
      </c>
      <c r="L57" s="69"/>
      <c r="M57" s="66">
        <f t="shared" si="1"/>
        <v>41533</v>
      </c>
      <c r="N57" s="81">
        <f t="shared" si="6"/>
        <v>124.49494949494948</v>
      </c>
      <c r="O57" s="81">
        <f t="shared" si="6"/>
        <v>111.37440758293843</v>
      </c>
      <c r="P57" s="81">
        <f t="shared" si="6"/>
        <v>93.462897526501791</v>
      </c>
      <c r="Q57" s="81">
        <f t="shared" si="6"/>
        <v>113.95743642915369</v>
      </c>
    </row>
    <row r="58" spans="1:17">
      <c r="A58" s="66">
        <v>41534</v>
      </c>
      <c r="B58" s="66">
        <v>41534</v>
      </c>
      <c r="C58" s="67">
        <v>0.49299999999999999</v>
      </c>
      <c r="D58" s="67">
        <v>0.47</v>
      </c>
      <c r="E58" s="67">
        <v>0.52900000000000003</v>
      </c>
      <c r="F58" s="68">
        <v>54271.25</v>
      </c>
      <c r="G58" s="66">
        <f t="shared" si="0"/>
        <v>41534</v>
      </c>
      <c r="H58" s="70">
        <f t="shared" si="2"/>
        <v>0</v>
      </c>
      <c r="I58" s="70">
        <f t="shared" si="2"/>
        <v>0</v>
      </c>
      <c r="J58" s="70">
        <f t="shared" si="2"/>
        <v>0</v>
      </c>
      <c r="K58" s="70">
        <f t="shared" si="2"/>
        <v>8.3191898141646708E-3</v>
      </c>
      <c r="L58" s="69"/>
      <c r="M58" s="66">
        <f t="shared" si="1"/>
        <v>41534</v>
      </c>
      <c r="N58" s="81">
        <f t="shared" si="6"/>
        <v>124.49494949494948</v>
      </c>
      <c r="O58" s="81">
        <f t="shared" si="6"/>
        <v>111.37440758293843</v>
      </c>
      <c r="P58" s="81">
        <f t="shared" si="6"/>
        <v>93.462897526501791</v>
      </c>
      <c r="Q58" s="81">
        <f t="shared" si="6"/>
        <v>114.90942436722386</v>
      </c>
    </row>
    <row r="59" spans="1:17">
      <c r="A59" s="66">
        <v>41535</v>
      </c>
      <c r="B59" s="66">
        <v>41535</v>
      </c>
      <c r="C59" s="71">
        <v>0.51200000000000001</v>
      </c>
      <c r="D59" s="67">
        <v>0.46</v>
      </c>
      <c r="E59" s="67">
        <v>0.51</v>
      </c>
      <c r="F59" s="68">
        <v>55702.9</v>
      </c>
      <c r="G59" s="66">
        <f t="shared" si="0"/>
        <v>41535</v>
      </c>
      <c r="H59" s="70">
        <f t="shared" si="2"/>
        <v>3.7815450996817664E-2</v>
      </c>
      <c r="I59" s="70">
        <f t="shared" si="2"/>
        <v>-2.1506205220963505E-2</v>
      </c>
      <c r="J59" s="70">
        <f t="shared" si="2"/>
        <v>-3.6577706139927939E-2</v>
      </c>
      <c r="K59" s="70">
        <f t="shared" si="2"/>
        <v>2.6037589416589096E-2</v>
      </c>
      <c r="L59" s="69"/>
      <c r="M59" s="66">
        <f t="shared" si="1"/>
        <v>41535</v>
      </c>
      <c r="N59" s="81">
        <f t="shared" si="6"/>
        <v>129.29292929292927</v>
      </c>
      <c r="O59" s="81">
        <f t="shared" si="6"/>
        <v>109.00473933649295</v>
      </c>
      <c r="P59" s="81">
        <f t="shared" si="6"/>
        <v>90.106007067137838</v>
      </c>
      <c r="Q59" s="81">
        <f t="shared" si="6"/>
        <v>117.94068083165645</v>
      </c>
    </row>
    <row r="60" spans="1:17">
      <c r="A60" s="66">
        <v>41536</v>
      </c>
      <c r="B60" s="66">
        <v>41536</v>
      </c>
      <c r="C60" s="67">
        <v>0.51200000000000001</v>
      </c>
      <c r="D60" s="67">
        <v>0.47</v>
      </c>
      <c r="E60" s="71">
        <v>0.52</v>
      </c>
      <c r="F60" s="68">
        <v>55095.69</v>
      </c>
      <c r="G60" s="66">
        <f t="shared" si="0"/>
        <v>41536</v>
      </c>
      <c r="H60" s="70">
        <f t="shared" si="2"/>
        <v>0</v>
      </c>
      <c r="I60" s="70">
        <f t="shared" si="2"/>
        <v>2.1506205220963463E-2</v>
      </c>
      <c r="J60" s="70">
        <f t="shared" si="2"/>
        <v>1.9418085857101516E-2</v>
      </c>
      <c r="K60" s="70">
        <f t="shared" si="2"/>
        <v>-1.0960718526072935E-2</v>
      </c>
      <c r="L60" s="69"/>
      <c r="M60" s="66">
        <f t="shared" si="1"/>
        <v>41536</v>
      </c>
      <c r="N60" s="81">
        <f t="shared" si="6"/>
        <v>129.29292929292927</v>
      </c>
      <c r="O60" s="81">
        <f t="shared" si="6"/>
        <v>111.37440758293843</v>
      </c>
      <c r="P60" s="81">
        <f t="shared" si="6"/>
        <v>91.872791519434656</v>
      </c>
      <c r="Q60" s="81">
        <f t="shared" si="6"/>
        <v>116.65502495363592</v>
      </c>
    </row>
    <row r="61" spans="1:17">
      <c r="A61" s="66">
        <v>41537</v>
      </c>
      <c r="B61" s="66">
        <v>41537</v>
      </c>
      <c r="C61" s="71">
        <v>0.502</v>
      </c>
      <c r="D61" s="67">
        <v>0.46</v>
      </c>
      <c r="E61" s="67">
        <v>0.49199999999999999</v>
      </c>
      <c r="F61" s="68">
        <v>54110.03</v>
      </c>
      <c r="G61" s="66">
        <f t="shared" si="0"/>
        <v>41537</v>
      </c>
      <c r="H61" s="70">
        <f t="shared" si="2"/>
        <v>-1.972450534777859E-2</v>
      </c>
      <c r="I61" s="70">
        <f t="shared" si="2"/>
        <v>-2.1506205220963505E-2</v>
      </c>
      <c r="J61" s="70">
        <f t="shared" si="2"/>
        <v>-5.5350095083164956E-2</v>
      </c>
      <c r="K61" s="70">
        <f t="shared" si="2"/>
        <v>-1.8051925603147296E-2</v>
      </c>
      <c r="L61" s="69"/>
      <c r="M61" s="66">
        <f t="shared" si="1"/>
        <v>41537</v>
      </c>
      <c r="N61" s="81">
        <f t="shared" si="6"/>
        <v>126.76767676767675</v>
      </c>
      <c r="O61" s="81">
        <f t="shared" si="6"/>
        <v>109.00473933649295</v>
      </c>
      <c r="P61" s="81">
        <f t="shared" si="6"/>
        <v>86.925795053003554</v>
      </c>
      <c r="Q61" s="81">
        <f t="shared" si="6"/>
        <v>114.56807056762494</v>
      </c>
    </row>
    <row r="62" spans="1:17">
      <c r="A62" s="66">
        <v>41540</v>
      </c>
      <c r="B62" s="66">
        <v>41540</v>
      </c>
      <c r="C62" s="71">
        <v>0.49299999999999999</v>
      </c>
      <c r="D62" s="67">
        <v>0.46</v>
      </c>
      <c r="E62" s="67">
        <v>0.49199999999999999</v>
      </c>
      <c r="F62" s="68">
        <v>54602.38</v>
      </c>
      <c r="G62" s="66">
        <f t="shared" si="0"/>
        <v>41540</v>
      </c>
      <c r="H62" s="70">
        <f t="shared" si="2"/>
        <v>-1.8090945649039073E-2</v>
      </c>
      <c r="I62" s="70">
        <f t="shared" si="2"/>
        <v>0</v>
      </c>
      <c r="J62" s="70">
        <f t="shared" si="2"/>
        <v>0</v>
      </c>
      <c r="K62" s="70">
        <f t="shared" si="2"/>
        <v>9.0579054637847968E-3</v>
      </c>
      <c r="L62" s="69"/>
      <c r="M62" s="66">
        <f t="shared" si="1"/>
        <v>41540</v>
      </c>
      <c r="N62" s="81">
        <f t="shared" si="6"/>
        <v>124.49494949494948</v>
      </c>
      <c r="O62" s="81">
        <f t="shared" si="6"/>
        <v>109.00473933649295</v>
      </c>
      <c r="P62" s="81">
        <f t="shared" si="6"/>
        <v>86.925795053003554</v>
      </c>
      <c r="Q62" s="81">
        <f t="shared" si="6"/>
        <v>115.61053144861079</v>
      </c>
    </row>
    <row r="63" spans="1:17">
      <c r="A63" s="66">
        <v>41541</v>
      </c>
      <c r="B63" s="66">
        <v>41541</v>
      </c>
      <c r="C63" s="71">
        <v>0.48299999999999998</v>
      </c>
      <c r="D63" s="67">
        <v>0.45100000000000001</v>
      </c>
      <c r="E63" s="67">
        <v>0.49199999999999999</v>
      </c>
      <c r="F63" s="68">
        <v>54431.05</v>
      </c>
      <c r="G63" s="66">
        <f t="shared" si="0"/>
        <v>41541</v>
      </c>
      <c r="H63" s="70">
        <f t="shared" si="2"/>
        <v>-2.0492520390117449E-2</v>
      </c>
      <c r="I63" s="70">
        <f t="shared" si="2"/>
        <v>-1.9759149980462333E-2</v>
      </c>
      <c r="J63" s="70">
        <f t="shared" si="2"/>
        <v>0</v>
      </c>
      <c r="K63" s="70">
        <f t="shared" si="2"/>
        <v>-3.1427084521391943E-3</v>
      </c>
      <c r="L63" s="69"/>
      <c r="M63" s="66">
        <f t="shared" si="1"/>
        <v>41541</v>
      </c>
      <c r="N63" s="81">
        <f t="shared" si="6"/>
        <v>121.96969696969695</v>
      </c>
      <c r="O63" s="81">
        <f t="shared" si="6"/>
        <v>106.872037914692</v>
      </c>
      <c r="P63" s="81">
        <f t="shared" si="6"/>
        <v>86.925795053003554</v>
      </c>
      <c r="Q63" s="81">
        <f t="shared" si="6"/>
        <v>115.24777157709804</v>
      </c>
    </row>
    <row r="64" spans="1:17">
      <c r="A64" s="66">
        <v>41542</v>
      </c>
      <c r="B64" s="66">
        <v>41542</v>
      </c>
      <c r="C64" s="67">
        <v>0.502</v>
      </c>
      <c r="D64" s="67">
        <v>0.46</v>
      </c>
      <c r="E64" s="67">
        <v>0.52</v>
      </c>
      <c r="F64" s="68">
        <v>54261.11</v>
      </c>
      <c r="G64" s="66">
        <f t="shared" si="0"/>
        <v>41542</v>
      </c>
      <c r="H64" s="70">
        <f t="shared" si="2"/>
        <v>3.8583466039156612E-2</v>
      </c>
      <c r="I64" s="70">
        <f t="shared" si="2"/>
        <v>1.9759149980462392E-2</v>
      </c>
      <c r="J64" s="70">
        <f t="shared" si="2"/>
        <v>5.5350095083164901E-2</v>
      </c>
      <c r="K64" s="70">
        <f t="shared" si="2"/>
        <v>-3.1269990121549664E-3</v>
      </c>
      <c r="L64" s="69"/>
      <c r="M64" s="66">
        <f t="shared" si="1"/>
        <v>41542</v>
      </c>
      <c r="N64" s="81">
        <f t="shared" si="6"/>
        <v>126.76767676767676</v>
      </c>
      <c r="O64" s="81">
        <f t="shared" si="6"/>
        <v>109.00473933649296</v>
      </c>
      <c r="P64" s="81">
        <f t="shared" si="6"/>
        <v>91.872791519434642</v>
      </c>
      <c r="Q64" s="81">
        <f t="shared" si="6"/>
        <v>114.88795477580884</v>
      </c>
    </row>
    <row r="65" spans="1:17">
      <c r="A65" s="66">
        <v>41543</v>
      </c>
      <c r="B65" s="66">
        <v>41543</v>
      </c>
      <c r="C65" s="67">
        <v>0.49299999999999999</v>
      </c>
      <c r="D65" s="67">
        <v>0.46</v>
      </c>
      <c r="E65" s="67">
        <v>0.51</v>
      </c>
      <c r="F65" s="68">
        <v>53782.97</v>
      </c>
      <c r="G65" s="66">
        <f t="shared" si="0"/>
        <v>41543</v>
      </c>
      <c r="H65" s="70">
        <f t="shared" si="2"/>
        <v>-1.8090945649039073E-2</v>
      </c>
      <c r="I65" s="70">
        <f t="shared" si="2"/>
        <v>0</v>
      </c>
      <c r="J65" s="70">
        <f t="shared" si="2"/>
        <v>-1.9418085857101627E-2</v>
      </c>
      <c r="K65" s="70">
        <f t="shared" si="2"/>
        <v>-8.8508897735717924E-3</v>
      </c>
      <c r="L65" s="69"/>
      <c r="M65" s="66">
        <f t="shared" si="1"/>
        <v>41543</v>
      </c>
      <c r="N65" s="81">
        <f t="shared" si="6"/>
        <v>124.49494949494949</v>
      </c>
      <c r="O65" s="81">
        <f t="shared" si="6"/>
        <v>109.00473933649296</v>
      </c>
      <c r="P65" s="81">
        <f t="shared" si="6"/>
        <v>90.106007067137824</v>
      </c>
      <c r="Q65" s="81">
        <f t="shared" si="6"/>
        <v>113.87558096523797</v>
      </c>
    </row>
    <row r="66" spans="1:17">
      <c r="A66" s="66">
        <v>41544</v>
      </c>
      <c r="B66" s="66">
        <v>41544</v>
      </c>
      <c r="C66" s="67">
        <v>0.49299999999999999</v>
      </c>
      <c r="D66" s="67">
        <v>0.46</v>
      </c>
      <c r="E66" s="67">
        <v>0.52</v>
      </c>
      <c r="F66" s="68">
        <v>53738.92</v>
      </c>
      <c r="G66" s="66">
        <f t="shared" si="0"/>
        <v>41544</v>
      </c>
      <c r="H66" s="70">
        <f t="shared" si="2"/>
        <v>0</v>
      </c>
      <c r="I66" s="70">
        <f t="shared" si="2"/>
        <v>0</v>
      </c>
      <c r="J66" s="70">
        <f t="shared" si="2"/>
        <v>1.9418085857101516E-2</v>
      </c>
      <c r="K66" s="70">
        <f t="shared" si="2"/>
        <v>-8.1936808336360921E-4</v>
      </c>
      <c r="L66" s="69"/>
      <c r="M66" s="66">
        <f t="shared" si="1"/>
        <v>41544</v>
      </c>
      <c r="N66" s="81">
        <f t="shared" si="6"/>
        <v>124.49494949494949</v>
      </c>
      <c r="O66" s="81">
        <f t="shared" si="6"/>
        <v>109.00473933649296</v>
      </c>
      <c r="P66" s="81">
        <f t="shared" si="6"/>
        <v>91.872791519434642</v>
      </c>
      <c r="Q66" s="81">
        <f t="shared" si="6"/>
        <v>113.78231316426829</v>
      </c>
    </row>
    <row r="67" spans="1:17">
      <c r="A67" s="66">
        <v>41547</v>
      </c>
      <c r="B67" s="66">
        <v>41547</v>
      </c>
      <c r="C67" s="67">
        <v>0.49299999999999999</v>
      </c>
      <c r="D67" s="67">
        <v>0.46</v>
      </c>
      <c r="E67" s="67">
        <v>0.52</v>
      </c>
      <c r="F67" s="68">
        <v>52338.19</v>
      </c>
      <c r="G67" s="66">
        <f t="shared" si="0"/>
        <v>41547</v>
      </c>
      <c r="H67" s="70">
        <f t="shared" si="2"/>
        <v>0</v>
      </c>
      <c r="I67" s="70">
        <f t="shared" si="2"/>
        <v>0</v>
      </c>
      <c r="J67" s="70">
        <f t="shared" si="2"/>
        <v>0</v>
      </c>
      <c r="K67" s="70">
        <f t="shared" si="2"/>
        <v>-2.6411191301135107E-2</v>
      </c>
      <c r="L67" s="69"/>
      <c r="M67" s="66">
        <f t="shared" si="1"/>
        <v>41547</v>
      </c>
      <c r="N67" s="81">
        <f t="shared" si="6"/>
        <v>124.49494949494949</v>
      </c>
      <c r="O67" s="81">
        <f t="shared" si="6"/>
        <v>109.00473933649296</v>
      </c>
      <c r="P67" s="81">
        <f t="shared" si="6"/>
        <v>91.872791519434642</v>
      </c>
      <c r="Q67" s="81">
        <f t="shared" si="6"/>
        <v>110.81652413243465</v>
      </c>
    </row>
    <row r="68" spans="1:17">
      <c r="A68" s="66">
        <v>41548</v>
      </c>
      <c r="B68" s="66">
        <v>41548</v>
      </c>
      <c r="C68" s="67">
        <v>0.502</v>
      </c>
      <c r="D68" s="67">
        <v>0.46</v>
      </c>
      <c r="E68" s="67">
        <v>0.52</v>
      </c>
      <c r="F68" s="68">
        <v>53179.46</v>
      </c>
      <c r="G68" s="66">
        <f t="shared" ref="G68:G131" si="7">A68</f>
        <v>41548</v>
      </c>
      <c r="H68" s="70">
        <f t="shared" si="2"/>
        <v>1.8090945649039045E-2</v>
      </c>
      <c r="I68" s="70">
        <f t="shared" si="2"/>
        <v>0</v>
      </c>
      <c r="J68" s="70">
        <f t="shared" si="2"/>
        <v>0</v>
      </c>
      <c r="K68" s="70">
        <f t="shared" ref="K68:K131" si="8">LN(F68/F67)</f>
        <v>1.5945916647934665E-2</v>
      </c>
      <c r="L68" s="69"/>
      <c r="M68" s="66">
        <f t="shared" ref="M68:M131" si="9">A68</f>
        <v>41548</v>
      </c>
      <c r="N68" s="81">
        <f t="shared" si="6"/>
        <v>126.76767676767676</v>
      </c>
      <c r="O68" s="81">
        <f t="shared" si="6"/>
        <v>109.00473933649296</v>
      </c>
      <c r="P68" s="81">
        <f t="shared" si="6"/>
        <v>91.872791519434642</v>
      </c>
      <c r="Q68" s="81">
        <f t="shared" si="6"/>
        <v>112.59775915903555</v>
      </c>
    </row>
    <row r="69" spans="1:17">
      <c r="A69" s="66">
        <v>41549</v>
      </c>
      <c r="B69" s="66">
        <v>41549</v>
      </c>
      <c r="C69" s="67">
        <v>0.502</v>
      </c>
      <c r="D69" s="67">
        <v>0.46</v>
      </c>
      <c r="E69" s="67">
        <v>0.51</v>
      </c>
      <c r="F69" s="68">
        <v>53100.18</v>
      </c>
      <c r="G69" s="66">
        <f t="shared" si="7"/>
        <v>41549</v>
      </c>
      <c r="H69" s="70">
        <f t="shared" ref="H69:K132" si="10">LN(C69/C68)</f>
        <v>0</v>
      </c>
      <c r="I69" s="70">
        <f t="shared" si="10"/>
        <v>0</v>
      </c>
      <c r="J69" s="70">
        <f t="shared" si="10"/>
        <v>-1.9418085857101627E-2</v>
      </c>
      <c r="K69" s="70">
        <f t="shared" si="8"/>
        <v>-1.4919134973576144E-3</v>
      </c>
      <c r="L69" s="69"/>
      <c r="M69" s="66">
        <f t="shared" si="9"/>
        <v>41549</v>
      </c>
      <c r="N69" s="81">
        <f t="shared" ref="N69:Q84" si="11">C69/C68*N68</f>
        <v>126.76767676767676</v>
      </c>
      <c r="O69" s="81">
        <f t="shared" si="11"/>
        <v>109.00473933649296</v>
      </c>
      <c r="P69" s="81">
        <f t="shared" si="11"/>
        <v>90.106007067137824</v>
      </c>
      <c r="Q69" s="81">
        <f t="shared" si="11"/>
        <v>112.42989829045719</v>
      </c>
    </row>
    <row r="70" spans="1:17">
      <c r="A70" s="66">
        <v>41550</v>
      </c>
      <c r="B70" s="66">
        <v>41550</v>
      </c>
      <c r="C70" s="67">
        <v>0.49299999999999999</v>
      </c>
      <c r="D70" s="67">
        <v>0.45100000000000001</v>
      </c>
      <c r="E70" s="67">
        <v>0.51</v>
      </c>
      <c r="F70" s="68">
        <v>52489.86</v>
      </c>
      <c r="G70" s="66">
        <f t="shared" si="7"/>
        <v>41550</v>
      </c>
      <c r="H70" s="70">
        <f t="shared" si="10"/>
        <v>-1.8090945649039073E-2</v>
      </c>
      <c r="I70" s="70">
        <f t="shared" si="10"/>
        <v>-1.9759149980462333E-2</v>
      </c>
      <c r="J70" s="70">
        <f t="shared" si="10"/>
        <v>0</v>
      </c>
      <c r="K70" s="70">
        <f t="shared" si="8"/>
        <v>-1.1560309986704632E-2</v>
      </c>
      <c r="L70" s="69"/>
      <c r="M70" s="66">
        <f t="shared" si="9"/>
        <v>41550</v>
      </c>
      <c r="N70" s="81">
        <f t="shared" si="11"/>
        <v>124.49494949494949</v>
      </c>
      <c r="O70" s="81">
        <f t="shared" si="11"/>
        <v>106.87203791469202</v>
      </c>
      <c r="P70" s="81">
        <f t="shared" si="11"/>
        <v>90.106007067137824</v>
      </c>
      <c r="Q70" s="81">
        <f t="shared" si="11"/>
        <v>111.13765755747602</v>
      </c>
    </row>
    <row r="71" spans="1:17">
      <c r="A71" s="66">
        <v>41551</v>
      </c>
      <c r="B71" s="66">
        <v>41551</v>
      </c>
      <c r="C71" s="67">
        <v>0.502</v>
      </c>
      <c r="D71" s="67">
        <v>0.45100000000000001</v>
      </c>
      <c r="E71" s="67">
        <v>0.51</v>
      </c>
      <c r="F71" s="68">
        <v>52848.97</v>
      </c>
      <c r="G71" s="66">
        <f t="shared" si="7"/>
        <v>41551</v>
      </c>
      <c r="H71" s="70">
        <f t="shared" si="10"/>
        <v>1.8090945649039045E-2</v>
      </c>
      <c r="I71" s="70">
        <f t="shared" si="10"/>
        <v>0</v>
      </c>
      <c r="J71" s="70">
        <f t="shared" si="10"/>
        <v>0</v>
      </c>
      <c r="K71" s="70">
        <f t="shared" si="8"/>
        <v>6.8182149202283505E-3</v>
      </c>
      <c r="L71" s="69"/>
      <c r="M71" s="66">
        <f t="shared" si="9"/>
        <v>41551</v>
      </c>
      <c r="N71" s="81">
        <f t="shared" si="11"/>
        <v>126.76767676767676</v>
      </c>
      <c r="O71" s="81">
        <f t="shared" si="11"/>
        <v>106.87203791469202</v>
      </c>
      <c r="P71" s="81">
        <f t="shared" si="11"/>
        <v>90.106007067137824</v>
      </c>
      <c r="Q71" s="81">
        <f t="shared" si="11"/>
        <v>111.89800716034151</v>
      </c>
    </row>
    <row r="72" spans="1:17">
      <c r="A72" s="66">
        <v>41554</v>
      </c>
      <c r="B72" s="66">
        <v>41554</v>
      </c>
      <c r="C72" s="67">
        <v>0.51200000000000001</v>
      </c>
      <c r="D72" s="67">
        <v>0.45100000000000001</v>
      </c>
      <c r="E72" s="67">
        <v>0.501</v>
      </c>
      <c r="F72" s="68">
        <v>52417.1</v>
      </c>
      <c r="G72" s="66">
        <f t="shared" si="7"/>
        <v>41554</v>
      </c>
      <c r="H72" s="70">
        <f t="shared" si="10"/>
        <v>1.9724505347778573E-2</v>
      </c>
      <c r="I72" s="70">
        <f t="shared" si="10"/>
        <v>0</v>
      </c>
      <c r="J72" s="70">
        <f t="shared" si="10"/>
        <v>-1.7804624633506707E-2</v>
      </c>
      <c r="K72" s="70">
        <f t="shared" si="8"/>
        <v>-8.2053490372918786E-3</v>
      </c>
      <c r="L72" s="69"/>
      <c r="M72" s="66">
        <f t="shared" si="9"/>
        <v>41554</v>
      </c>
      <c r="N72" s="81">
        <f t="shared" si="11"/>
        <v>129.29292929292927</v>
      </c>
      <c r="O72" s="81">
        <f t="shared" si="11"/>
        <v>106.87203791469202</v>
      </c>
      <c r="P72" s="81">
        <f t="shared" si="11"/>
        <v>88.515901060070675</v>
      </c>
      <c r="Q72" s="81">
        <f t="shared" si="11"/>
        <v>110.9836015938312</v>
      </c>
    </row>
    <row r="73" spans="1:17">
      <c r="A73" s="66">
        <v>41555</v>
      </c>
      <c r="B73" s="66">
        <v>41555</v>
      </c>
      <c r="C73" s="67">
        <v>0.502</v>
      </c>
      <c r="D73" s="67">
        <v>0.45100000000000001</v>
      </c>
      <c r="E73" s="67">
        <v>0.501</v>
      </c>
      <c r="F73" s="68">
        <v>52312.44</v>
      </c>
      <c r="G73" s="66">
        <f t="shared" si="7"/>
        <v>41555</v>
      </c>
      <c r="H73" s="70">
        <f t="shared" si="10"/>
        <v>-1.972450534777859E-2</v>
      </c>
      <c r="I73" s="70">
        <f t="shared" si="10"/>
        <v>0</v>
      </c>
      <c r="J73" s="70">
        <f t="shared" si="10"/>
        <v>0</v>
      </c>
      <c r="K73" s="70">
        <f t="shared" si="8"/>
        <v>-1.998672673256663E-3</v>
      </c>
      <c r="L73" s="69"/>
      <c r="M73" s="66">
        <f t="shared" si="9"/>
        <v>41555</v>
      </c>
      <c r="N73" s="81">
        <f t="shared" si="11"/>
        <v>126.76767676767675</v>
      </c>
      <c r="O73" s="81">
        <f t="shared" si="11"/>
        <v>106.87203791469202</v>
      </c>
      <c r="P73" s="81">
        <f t="shared" si="11"/>
        <v>88.515901060070675</v>
      </c>
      <c r="Q73" s="81">
        <f t="shared" si="11"/>
        <v>110.76200322721401</v>
      </c>
    </row>
    <row r="74" spans="1:17">
      <c r="A74" s="66">
        <v>41556</v>
      </c>
      <c r="B74" s="66">
        <v>41556</v>
      </c>
      <c r="C74" s="67">
        <v>0.502</v>
      </c>
      <c r="D74" s="67">
        <v>0.46</v>
      </c>
      <c r="E74" s="67">
        <v>0.49199999999999999</v>
      </c>
      <c r="F74" s="68">
        <v>52547.71</v>
      </c>
      <c r="G74" s="66">
        <f t="shared" si="7"/>
        <v>41556</v>
      </c>
      <c r="H74" s="70">
        <f t="shared" si="10"/>
        <v>0</v>
      </c>
      <c r="I74" s="70">
        <f t="shared" si="10"/>
        <v>1.9759149980462392E-2</v>
      </c>
      <c r="J74" s="70">
        <f t="shared" si="10"/>
        <v>-1.8127384592556715E-2</v>
      </c>
      <c r="K74" s="70">
        <f t="shared" si="8"/>
        <v>4.4873175326048649E-3</v>
      </c>
      <c r="L74" s="69"/>
      <c r="M74" s="66">
        <f t="shared" si="9"/>
        <v>41556</v>
      </c>
      <c r="N74" s="81">
        <f t="shared" si="11"/>
        <v>126.76767676767675</v>
      </c>
      <c r="O74" s="81">
        <f t="shared" si="11"/>
        <v>109.00473933649297</v>
      </c>
      <c r="P74" s="81">
        <f t="shared" si="11"/>
        <v>86.92579505300354</v>
      </c>
      <c r="Q74" s="81">
        <f t="shared" si="11"/>
        <v>111.26014432901056</v>
      </c>
    </row>
    <row r="75" spans="1:17">
      <c r="A75" s="66">
        <v>41557</v>
      </c>
      <c r="B75" s="66">
        <v>41557</v>
      </c>
      <c r="C75" s="67">
        <v>0.49299999999999999</v>
      </c>
      <c r="D75" s="67">
        <v>0.45100000000000001</v>
      </c>
      <c r="E75" s="67">
        <v>0.49199999999999999</v>
      </c>
      <c r="F75" s="68">
        <v>52996.639999999999</v>
      </c>
      <c r="G75" s="66">
        <f t="shared" si="7"/>
        <v>41557</v>
      </c>
      <c r="H75" s="70">
        <f t="shared" si="10"/>
        <v>-1.8090945649039073E-2</v>
      </c>
      <c r="I75" s="70">
        <f t="shared" si="10"/>
        <v>-1.9759149980462333E-2</v>
      </c>
      <c r="J75" s="70">
        <f t="shared" si="10"/>
        <v>0</v>
      </c>
      <c r="K75" s="70">
        <f t="shared" si="8"/>
        <v>8.5069964878447413E-3</v>
      </c>
      <c r="L75" s="69"/>
      <c r="M75" s="66">
        <f t="shared" si="9"/>
        <v>41557</v>
      </c>
      <c r="N75" s="81">
        <f t="shared" si="11"/>
        <v>124.49494949494948</v>
      </c>
      <c r="O75" s="81">
        <f t="shared" si="11"/>
        <v>106.87203791469203</v>
      </c>
      <c r="P75" s="81">
        <f t="shared" si="11"/>
        <v>86.92579505300354</v>
      </c>
      <c r="Q75" s="81">
        <f t="shared" si="11"/>
        <v>112.21067131855249</v>
      </c>
    </row>
    <row r="76" spans="1:17">
      <c r="A76" s="66">
        <v>41558</v>
      </c>
      <c r="B76" s="66">
        <v>41558</v>
      </c>
      <c r="C76" s="71">
        <v>0.49299999999999999</v>
      </c>
      <c r="D76" s="67">
        <v>0.46</v>
      </c>
      <c r="E76" s="67">
        <v>0.49199999999999999</v>
      </c>
      <c r="F76" s="68">
        <v>53149.62</v>
      </c>
      <c r="G76" s="66">
        <f t="shared" si="7"/>
        <v>41558</v>
      </c>
      <c r="H76" s="70">
        <f t="shared" si="10"/>
        <v>0</v>
      </c>
      <c r="I76" s="70">
        <f t="shared" si="10"/>
        <v>1.9759149980462392E-2</v>
      </c>
      <c r="J76" s="70">
        <f t="shared" si="10"/>
        <v>0</v>
      </c>
      <c r="K76" s="70">
        <f t="shared" si="8"/>
        <v>2.8824398696478135E-3</v>
      </c>
      <c r="L76" s="69"/>
      <c r="M76" s="66">
        <f t="shared" si="9"/>
        <v>41558</v>
      </c>
      <c r="N76" s="81">
        <f t="shared" si="11"/>
        <v>124.49494949494948</v>
      </c>
      <c r="O76" s="81">
        <f t="shared" si="11"/>
        <v>109.00473933649299</v>
      </c>
      <c r="P76" s="81">
        <f t="shared" si="11"/>
        <v>86.92579505300354</v>
      </c>
      <c r="Q76" s="81">
        <f t="shared" si="11"/>
        <v>112.53457842848083</v>
      </c>
    </row>
    <row r="77" spans="1:17">
      <c r="A77" s="66">
        <v>41561</v>
      </c>
      <c r="B77" s="66">
        <v>41561</v>
      </c>
      <c r="C77" s="67">
        <v>0.53100000000000003</v>
      </c>
      <c r="D77" s="67">
        <v>0.45100000000000001</v>
      </c>
      <c r="E77" s="67">
        <v>0.501</v>
      </c>
      <c r="F77" s="68">
        <v>54170.6</v>
      </c>
      <c r="G77" s="66">
        <f t="shared" si="7"/>
        <v>41561</v>
      </c>
      <c r="H77" s="70">
        <f t="shared" si="10"/>
        <v>7.4252847199248698E-2</v>
      </c>
      <c r="I77" s="70">
        <f t="shared" si="10"/>
        <v>-1.9759149980462333E-2</v>
      </c>
      <c r="J77" s="70">
        <f t="shared" si="10"/>
        <v>1.8127384592556701E-2</v>
      </c>
      <c r="K77" s="70">
        <f t="shared" si="8"/>
        <v>1.9027370664199534E-2</v>
      </c>
      <c r="L77" s="69"/>
      <c r="M77" s="66">
        <f t="shared" si="9"/>
        <v>41561</v>
      </c>
      <c r="N77" s="81">
        <f t="shared" si="11"/>
        <v>134.09090909090907</v>
      </c>
      <c r="O77" s="81">
        <f t="shared" si="11"/>
        <v>106.87203791469204</v>
      </c>
      <c r="P77" s="81">
        <f t="shared" si="11"/>
        <v>88.515901060070675</v>
      </c>
      <c r="Q77" s="81">
        <f t="shared" si="11"/>
        <v>114.69631644060414</v>
      </c>
    </row>
    <row r="78" spans="1:17">
      <c r="A78" s="66">
        <v>41562</v>
      </c>
      <c r="B78" s="66">
        <v>41562</v>
      </c>
      <c r="C78" s="67">
        <v>0.51200000000000001</v>
      </c>
      <c r="D78" s="67">
        <v>0.45100000000000001</v>
      </c>
      <c r="E78" s="67">
        <v>0.501</v>
      </c>
      <c r="F78" s="68">
        <v>54980.639999999999</v>
      </c>
      <c r="G78" s="66">
        <f t="shared" si="7"/>
        <v>41562</v>
      </c>
      <c r="H78" s="70">
        <f t="shared" si="10"/>
        <v>-3.643739620243109E-2</v>
      </c>
      <c r="I78" s="70">
        <f t="shared" si="10"/>
        <v>0</v>
      </c>
      <c r="J78" s="70">
        <f t="shared" si="10"/>
        <v>0</v>
      </c>
      <c r="K78" s="70">
        <f t="shared" si="8"/>
        <v>1.4842797416000524E-2</v>
      </c>
      <c r="L78" s="69"/>
      <c r="M78" s="66">
        <f t="shared" si="9"/>
        <v>41562</v>
      </c>
      <c r="N78" s="81">
        <f t="shared" si="11"/>
        <v>129.29292929292927</v>
      </c>
      <c r="O78" s="81">
        <f t="shared" si="11"/>
        <v>106.87203791469204</v>
      </c>
      <c r="P78" s="81">
        <f t="shared" si="11"/>
        <v>88.515901060070675</v>
      </c>
      <c r="Q78" s="81">
        <f t="shared" si="11"/>
        <v>116.41142766642676</v>
      </c>
    </row>
    <row r="79" spans="1:17">
      <c r="A79" s="66">
        <v>41563</v>
      </c>
      <c r="B79" s="66">
        <v>41563</v>
      </c>
      <c r="C79" s="67">
        <v>0.502</v>
      </c>
      <c r="D79" s="67">
        <v>0.45100000000000001</v>
      </c>
      <c r="E79" s="67">
        <v>0.51</v>
      </c>
      <c r="F79" s="68">
        <v>55973.03</v>
      </c>
      <c r="G79" s="66">
        <f t="shared" si="7"/>
        <v>41563</v>
      </c>
      <c r="H79" s="70">
        <f t="shared" si="10"/>
        <v>-1.972450534777859E-2</v>
      </c>
      <c r="I79" s="70">
        <f t="shared" si="10"/>
        <v>0</v>
      </c>
      <c r="J79" s="70">
        <f t="shared" si="10"/>
        <v>1.7804624633506686E-2</v>
      </c>
      <c r="K79" s="70">
        <f t="shared" si="8"/>
        <v>1.788884431639402E-2</v>
      </c>
      <c r="L79" s="69"/>
      <c r="M79" s="66">
        <f t="shared" si="9"/>
        <v>41563</v>
      </c>
      <c r="N79" s="81">
        <f t="shared" si="11"/>
        <v>126.76767676767675</v>
      </c>
      <c r="O79" s="81">
        <f t="shared" si="11"/>
        <v>106.87203791469204</v>
      </c>
      <c r="P79" s="81">
        <f t="shared" si="11"/>
        <v>90.10600706713781</v>
      </c>
      <c r="Q79" s="81">
        <f t="shared" si="11"/>
        <v>118.51263159387986</v>
      </c>
    </row>
    <row r="80" spans="1:17">
      <c r="A80" s="66">
        <v>41564</v>
      </c>
      <c r="B80" s="66">
        <v>41564</v>
      </c>
      <c r="C80" s="67">
        <v>0.53100000000000003</v>
      </c>
      <c r="D80" s="67">
        <v>0.441</v>
      </c>
      <c r="E80" s="67">
        <v>0.52900000000000003</v>
      </c>
      <c r="F80" s="68">
        <v>55358.13</v>
      </c>
      <c r="G80" s="66">
        <f t="shared" si="7"/>
        <v>41564</v>
      </c>
      <c r="H80" s="70">
        <f t="shared" si="10"/>
        <v>5.6161901550209586E-2</v>
      </c>
      <c r="I80" s="70">
        <f t="shared" si="10"/>
        <v>-2.2422464055832397E-2</v>
      </c>
      <c r="J80" s="70">
        <f t="shared" si="10"/>
        <v>3.6577706139928015E-2</v>
      </c>
      <c r="K80" s="70">
        <f t="shared" si="8"/>
        <v>-1.1046435745162992E-2</v>
      </c>
      <c r="L80" s="69"/>
      <c r="M80" s="66">
        <f t="shared" si="9"/>
        <v>41564</v>
      </c>
      <c r="N80" s="81">
        <f t="shared" si="11"/>
        <v>134.09090909090907</v>
      </c>
      <c r="O80" s="81">
        <f t="shared" si="11"/>
        <v>104.50236966824654</v>
      </c>
      <c r="P80" s="81">
        <f t="shared" si="11"/>
        <v>93.462897526501777</v>
      </c>
      <c r="Q80" s="81">
        <f t="shared" si="11"/>
        <v>117.2106935503779</v>
      </c>
    </row>
    <row r="81" spans="1:17">
      <c r="A81" s="66">
        <v>41565</v>
      </c>
      <c r="B81" s="66">
        <v>41565</v>
      </c>
      <c r="C81" s="67">
        <v>0.502</v>
      </c>
      <c r="D81" s="67">
        <v>0.441</v>
      </c>
      <c r="E81" s="67">
        <v>0.53800000000000003</v>
      </c>
      <c r="F81" s="68">
        <v>55378.46</v>
      </c>
      <c r="G81" s="66">
        <f t="shared" si="7"/>
        <v>41565</v>
      </c>
      <c r="H81" s="70">
        <f t="shared" si="10"/>
        <v>-5.6161901550209656E-2</v>
      </c>
      <c r="I81" s="70">
        <f t="shared" si="10"/>
        <v>0</v>
      </c>
      <c r="J81" s="70">
        <f t="shared" si="10"/>
        <v>1.6870128303484975E-2</v>
      </c>
      <c r="K81" s="70">
        <f t="shared" si="8"/>
        <v>3.6717764613146587E-4</v>
      </c>
      <c r="L81" s="69"/>
      <c r="M81" s="66">
        <f t="shared" si="9"/>
        <v>41565</v>
      </c>
      <c r="N81" s="81">
        <f t="shared" si="11"/>
        <v>126.76767676767675</v>
      </c>
      <c r="O81" s="81">
        <f t="shared" si="11"/>
        <v>104.50236966824654</v>
      </c>
      <c r="P81" s="81">
        <f t="shared" si="11"/>
        <v>95.053003533568912</v>
      </c>
      <c r="Q81" s="81">
        <f t="shared" si="11"/>
        <v>117.25373859904337</v>
      </c>
    </row>
    <row r="82" spans="1:17">
      <c r="A82" s="66">
        <v>41568</v>
      </c>
      <c r="B82" s="66">
        <v>41568</v>
      </c>
      <c r="C82" s="67">
        <v>0.502</v>
      </c>
      <c r="D82" s="67">
        <v>0.441</v>
      </c>
      <c r="E82" s="67">
        <v>0.52</v>
      </c>
      <c r="F82" s="68">
        <v>56077.43</v>
      </c>
      <c r="G82" s="66">
        <f t="shared" si="7"/>
        <v>41568</v>
      </c>
      <c r="H82" s="70">
        <f t="shared" si="10"/>
        <v>0</v>
      </c>
      <c r="I82" s="70">
        <f t="shared" si="10"/>
        <v>0</v>
      </c>
      <c r="J82" s="70">
        <f t="shared" si="10"/>
        <v>-3.4029748586311373E-2</v>
      </c>
      <c r="K82" s="70">
        <f t="shared" si="8"/>
        <v>1.2542704803492699E-2</v>
      </c>
      <c r="L82" s="69"/>
      <c r="M82" s="66">
        <f t="shared" si="9"/>
        <v>41568</v>
      </c>
      <c r="N82" s="81">
        <f t="shared" si="11"/>
        <v>126.76767676767675</v>
      </c>
      <c r="O82" s="81">
        <f t="shared" si="11"/>
        <v>104.50236966824654</v>
      </c>
      <c r="P82" s="81">
        <f t="shared" si="11"/>
        <v>91.872791519434642</v>
      </c>
      <c r="Q82" s="81">
        <f t="shared" si="11"/>
        <v>118.73367945815309</v>
      </c>
    </row>
    <row r="83" spans="1:17">
      <c r="A83" s="66">
        <v>41569</v>
      </c>
      <c r="B83" s="66">
        <v>41569</v>
      </c>
      <c r="C83" s="67">
        <v>0.502</v>
      </c>
      <c r="D83" s="67">
        <v>0.441</v>
      </c>
      <c r="E83" s="67">
        <v>0.52900000000000003</v>
      </c>
      <c r="F83" s="68">
        <v>56460.38</v>
      </c>
      <c r="G83" s="66">
        <f t="shared" si="7"/>
        <v>41569</v>
      </c>
      <c r="H83" s="70">
        <f t="shared" si="10"/>
        <v>0</v>
      </c>
      <c r="I83" s="70">
        <f t="shared" si="10"/>
        <v>0</v>
      </c>
      <c r="J83" s="70">
        <f t="shared" si="10"/>
        <v>1.7159620282826284E-2</v>
      </c>
      <c r="K83" s="70">
        <f t="shared" si="8"/>
        <v>6.8057389445319114E-3</v>
      </c>
      <c r="L83" s="69"/>
      <c r="M83" s="66">
        <f t="shared" si="9"/>
        <v>41569</v>
      </c>
      <c r="N83" s="81">
        <f t="shared" si="11"/>
        <v>126.76767676767675</v>
      </c>
      <c r="O83" s="81">
        <f t="shared" si="11"/>
        <v>104.50236966824654</v>
      </c>
      <c r="P83" s="81">
        <f t="shared" si="11"/>
        <v>93.462897526501777</v>
      </c>
      <c r="Q83" s="81">
        <f t="shared" si="11"/>
        <v>119.54450589132772</v>
      </c>
    </row>
    <row r="84" spans="1:17">
      <c r="A84" s="66">
        <v>41570</v>
      </c>
      <c r="B84" s="66">
        <v>41570</v>
      </c>
      <c r="C84" s="67">
        <v>0.48299999999999998</v>
      </c>
      <c r="D84" s="67">
        <v>0.441</v>
      </c>
      <c r="E84" s="67">
        <v>0.49199999999999999</v>
      </c>
      <c r="F84" s="68">
        <v>55440.03</v>
      </c>
      <c r="G84" s="66">
        <f t="shared" si="7"/>
        <v>41570</v>
      </c>
      <c r="H84" s="70">
        <f t="shared" si="10"/>
        <v>-3.8583466039156591E-2</v>
      </c>
      <c r="I84" s="70">
        <f t="shared" si="10"/>
        <v>0</v>
      </c>
      <c r="J84" s="70">
        <f t="shared" si="10"/>
        <v>-7.2509715365991392E-2</v>
      </c>
      <c r="K84" s="70">
        <f t="shared" si="8"/>
        <v>-1.823725722427352E-2</v>
      </c>
      <c r="L84" s="69"/>
      <c r="M84" s="66">
        <f t="shared" si="9"/>
        <v>41570</v>
      </c>
      <c r="N84" s="81">
        <f t="shared" si="11"/>
        <v>121.96969696969694</v>
      </c>
      <c r="O84" s="81">
        <f t="shared" si="11"/>
        <v>104.50236966824654</v>
      </c>
      <c r="P84" s="81">
        <f t="shared" si="11"/>
        <v>86.925795053003526</v>
      </c>
      <c r="Q84" s="81">
        <f t="shared" si="11"/>
        <v>117.38410178873018</v>
      </c>
    </row>
    <row r="85" spans="1:17">
      <c r="A85" s="66">
        <v>41571</v>
      </c>
      <c r="B85" s="66">
        <v>41571</v>
      </c>
      <c r="C85" s="67">
        <v>0.502</v>
      </c>
      <c r="D85" s="67">
        <v>0.441</v>
      </c>
      <c r="E85" s="67">
        <v>0.51</v>
      </c>
      <c r="F85" s="68">
        <v>54877.15</v>
      </c>
      <c r="G85" s="66">
        <f t="shared" si="7"/>
        <v>41571</v>
      </c>
      <c r="H85" s="70">
        <f t="shared" si="10"/>
        <v>3.8583466039156612E-2</v>
      </c>
      <c r="I85" s="70">
        <f t="shared" si="10"/>
        <v>0</v>
      </c>
      <c r="J85" s="70">
        <f t="shared" si="10"/>
        <v>3.593200922606337E-2</v>
      </c>
      <c r="K85" s="70">
        <f t="shared" si="8"/>
        <v>-1.0204845424779511E-2</v>
      </c>
      <c r="L85" s="69"/>
      <c r="M85" s="66">
        <f t="shared" si="9"/>
        <v>41571</v>
      </c>
      <c r="N85" s="81">
        <f t="shared" ref="N85:Q100" si="12">C85/C84*N84</f>
        <v>126.76767676767675</v>
      </c>
      <c r="O85" s="81">
        <f t="shared" si="12"/>
        <v>104.50236966824654</v>
      </c>
      <c r="P85" s="81">
        <f t="shared" si="12"/>
        <v>90.10600706713781</v>
      </c>
      <c r="Q85" s="81">
        <f t="shared" si="12"/>
        <v>116.19230656035747</v>
      </c>
    </row>
    <row r="86" spans="1:17">
      <c r="A86" s="66">
        <v>41572</v>
      </c>
      <c r="B86" s="66">
        <v>41572</v>
      </c>
      <c r="C86" s="67">
        <v>0.502</v>
      </c>
      <c r="D86" s="67">
        <v>0.46</v>
      </c>
      <c r="E86" s="67">
        <v>0.501</v>
      </c>
      <c r="F86" s="68">
        <v>54154.15</v>
      </c>
      <c r="G86" s="66">
        <f t="shared" si="7"/>
        <v>41572</v>
      </c>
      <c r="H86" s="70">
        <f t="shared" si="10"/>
        <v>0</v>
      </c>
      <c r="I86" s="70">
        <f t="shared" si="10"/>
        <v>4.2181614036294668E-2</v>
      </c>
      <c r="J86" s="70">
        <f t="shared" si="10"/>
        <v>-1.7804624633506707E-2</v>
      </c>
      <c r="K86" s="70">
        <f t="shared" si="8"/>
        <v>-1.3262441106043181E-2</v>
      </c>
      <c r="L86" s="69"/>
      <c r="M86" s="66">
        <f t="shared" si="9"/>
        <v>41572</v>
      </c>
      <c r="N86" s="81">
        <f t="shared" si="12"/>
        <v>126.76767676767675</v>
      </c>
      <c r="O86" s="81">
        <f t="shared" si="12"/>
        <v>109.00473933649299</v>
      </c>
      <c r="P86" s="81">
        <f t="shared" si="12"/>
        <v>88.515901060070661</v>
      </c>
      <c r="Q86" s="81">
        <f t="shared" si="12"/>
        <v>114.66148658076418</v>
      </c>
    </row>
    <row r="87" spans="1:17">
      <c r="A87" s="66">
        <v>41575</v>
      </c>
      <c r="B87" s="66">
        <v>41575</v>
      </c>
      <c r="C87" s="71">
        <v>0.502</v>
      </c>
      <c r="D87" s="67">
        <v>0.47</v>
      </c>
      <c r="E87" s="67">
        <v>0.49199999999999999</v>
      </c>
      <c r="F87" s="68">
        <v>55073.37</v>
      </c>
      <c r="G87" s="66">
        <f t="shared" si="7"/>
        <v>41575</v>
      </c>
      <c r="H87" s="70">
        <f t="shared" si="10"/>
        <v>0</v>
      </c>
      <c r="I87" s="70">
        <f t="shared" si="10"/>
        <v>2.1506205220963463E-2</v>
      </c>
      <c r="J87" s="70">
        <f t="shared" si="10"/>
        <v>-1.8127384592556715E-2</v>
      </c>
      <c r="K87" s="70">
        <f t="shared" si="8"/>
        <v>1.6831686768769588E-2</v>
      </c>
      <c r="L87" s="69"/>
      <c r="M87" s="66">
        <f t="shared" si="9"/>
        <v>41575</v>
      </c>
      <c r="N87" s="81">
        <f t="shared" si="12"/>
        <v>126.76767676767675</v>
      </c>
      <c r="O87" s="81">
        <f t="shared" si="12"/>
        <v>111.37440758293847</v>
      </c>
      <c r="P87" s="81">
        <f t="shared" si="12"/>
        <v>86.925795053003526</v>
      </c>
      <c r="Q87" s="81">
        <f t="shared" si="12"/>
        <v>116.60776644472234</v>
      </c>
    </row>
    <row r="88" spans="1:17">
      <c r="A88" s="66">
        <v>41576</v>
      </c>
      <c r="B88" s="66">
        <v>41576</v>
      </c>
      <c r="C88" s="67">
        <v>0.502</v>
      </c>
      <c r="D88" s="67">
        <v>0.47</v>
      </c>
      <c r="E88" s="67">
        <v>0.52900000000000003</v>
      </c>
      <c r="F88" s="68">
        <v>54538.8</v>
      </c>
      <c r="G88" s="66">
        <f t="shared" si="7"/>
        <v>41576</v>
      </c>
      <c r="H88" s="70">
        <f t="shared" si="10"/>
        <v>0</v>
      </c>
      <c r="I88" s="70">
        <f t="shared" si="10"/>
        <v>0</v>
      </c>
      <c r="J88" s="70">
        <f t="shared" si="10"/>
        <v>7.2509715365991267E-2</v>
      </c>
      <c r="K88" s="70">
        <f t="shared" si="8"/>
        <v>-9.7539212698188171E-3</v>
      </c>
      <c r="L88" s="69"/>
      <c r="M88" s="66">
        <f t="shared" si="9"/>
        <v>41576</v>
      </c>
      <c r="N88" s="81">
        <f t="shared" si="12"/>
        <v>126.76767676767675</v>
      </c>
      <c r="O88" s="81">
        <f t="shared" si="12"/>
        <v>111.37440758293847</v>
      </c>
      <c r="P88" s="81">
        <f t="shared" si="12"/>
        <v>93.462897526501763</v>
      </c>
      <c r="Q88" s="81">
        <f t="shared" si="12"/>
        <v>115.47591245234172</v>
      </c>
    </row>
    <row r="89" spans="1:17">
      <c r="A89" s="66">
        <v>41577</v>
      </c>
      <c r="B89" s="66">
        <v>41577</v>
      </c>
      <c r="C89" s="71">
        <v>0.52200000000000002</v>
      </c>
      <c r="D89" s="67">
        <v>0.46</v>
      </c>
      <c r="E89" s="71">
        <v>0.52</v>
      </c>
      <c r="F89" s="68">
        <v>54172.82</v>
      </c>
      <c r="G89" s="66">
        <f t="shared" si="7"/>
        <v>41577</v>
      </c>
      <c r="H89" s="70">
        <f t="shared" si="10"/>
        <v>3.9067468190909491E-2</v>
      </c>
      <c r="I89" s="70">
        <f t="shared" si="10"/>
        <v>-2.1506205220963505E-2</v>
      </c>
      <c r="J89" s="70">
        <f t="shared" si="10"/>
        <v>-1.7159620282826395E-2</v>
      </c>
      <c r="K89" s="70">
        <f t="shared" si="8"/>
        <v>-6.7330683254794264E-3</v>
      </c>
      <c r="L89" s="69"/>
      <c r="M89" s="66">
        <f t="shared" si="9"/>
        <v>41577</v>
      </c>
      <c r="N89" s="81">
        <f t="shared" si="12"/>
        <v>131.81818181818178</v>
      </c>
      <c r="O89" s="81">
        <f t="shared" si="12"/>
        <v>109.00473933649299</v>
      </c>
      <c r="P89" s="81">
        <f t="shared" si="12"/>
        <v>91.872791519434614</v>
      </c>
      <c r="Q89" s="81">
        <f t="shared" si="12"/>
        <v>114.70101688369502</v>
      </c>
    </row>
    <row r="90" spans="1:17">
      <c r="A90" s="66">
        <v>41578</v>
      </c>
      <c r="B90" s="66">
        <v>41578</v>
      </c>
      <c r="C90" s="67">
        <v>0.53100000000000003</v>
      </c>
      <c r="D90" s="67">
        <v>0.46</v>
      </c>
      <c r="E90" s="67">
        <v>0.501</v>
      </c>
      <c r="F90" s="68">
        <v>54256.2</v>
      </c>
      <c r="G90" s="66">
        <f t="shared" si="7"/>
        <v>41578</v>
      </c>
      <c r="H90" s="70">
        <f t="shared" si="10"/>
        <v>1.709443335930004E-2</v>
      </c>
      <c r="I90" s="70">
        <f t="shared" si="10"/>
        <v>0</v>
      </c>
      <c r="J90" s="70">
        <f t="shared" si="10"/>
        <v>-3.722271049060822E-2</v>
      </c>
      <c r="K90" s="70">
        <f t="shared" si="8"/>
        <v>1.537964955048674E-3</v>
      </c>
      <c r="L90" s="69"/>
      <c r="M90" s="66">
        <f t="shared" si="9"/>
        <v>41578</v>
      </c>
      <c r="N90" s="81">
        <f t="shared" si="12"/>
        <v>134.09090909090904</v>
      </c>
      <c r="O90" s="81">
        <f t="shared" si="12"/>
        <v>109.00473933649299</v>
      </c>
      <c r="P90" s="81">
        <f t="shared" si="12"/>
        <v>88.515901060070661</v>
      </c>
      <c r="Q90" s="81">
        <f t="shared" si="12"/>
        <v>114.87755875077451</v>
      </c>
    </row>
    <row r="91" spans="1:17">
      <c r="A91" s="66">
        <v>41579</v>
      </c>
      <c r="B91" s="66">
        <v>41579</v>
      </c>
      <c r="C91" s="67">
        <v>0.56000000000000005</v>
      </c>
      <c r="D91" s="67">
        <v>0.46</v>
      </c>
      <c r="E91" s="67">
        <v>0.51</v>
      </c>
      <c r="F91" s="68">
        <v>54013.24</v>
      </c>
      <c r="G91" s="66">
        <f t="shared" si="7"/>
        <v>41579</v>
      </c>
      <c r="H91" s="70">
        <f t="shared" si="10"/>
        <v>5.3174762487256201E-2</v>
      </c>
      <c r="I91" s="70">
        <f t="shared" si="10"/>
        <v>0</v>
      </c>
      <c r="J91" s="70">
        <f t="shared" si="10"/>
        <v>1.7804624633506686E-2</v>
      </c>
      <c r="K91" s="70">
        <f t="shared" si="8"/>
        <v>-4.4880699082555514E-3</v>
      </c>
      <c r="L91" s="69"/>
      <c r="M91" s="66">
        <f t="shared" si="9"/>
        <v>41579</v>
      </c>
      <c r="N91" s="81">
        <f t="shared" si="12"/>
        <v>141.41414141414137</v>
      </c>
      <c r="O91" s="81">
        <f t="shared" si="12"/>
        <v>109.00473933649299</v>
      </c>
      <c r="P91" s="81">
        <f t="shared" si="12"/>
        <v>90.106007067137796</v>
      </c>
      <c r="Q91" s="81">
        <f t="shared" si="12"/>
        <v>114.36313548349652</v>
      </c>
    </row>
    <row r="92" spans="1:17">
      <c r="A92" s="66">
        <v>41582</v>
      </c>
      <c r="B92" s="66">
        <v>41582</v>
      </c>
      <c r="C92" s="67">
        <v>0.628</v>
      </c>
      <c r="D92" s="67">
        <v>0.46</v>
      </c>
      <c r="E92" s="67">
        <v>0.51</v>
      </c>
      <c r="F92" s="68">
        <v>54436.92</v>
      </c>
      <c r="G92" s="66">
        <f t="shared" si="7"/>
        <v>41582</v>
      </c>
      <c r="H92" s="70">
        <f t="shared" si="10"/>
        <v>0.11460338273900357</v>
      </c>
      <c r="I92" s="70">
        <f t="shared" si="10"/>
        <v>0</v>
      </c>
      <c r="J92" s="70">
        <f t="shared" si="10"/>
        <v>0</v>
      </c>
      <c r="K92" s="70">
        <f t="shared" si="8"/>
        <v>7.813398439271875E-3</v>
      </c>
      <c r="L92" s="69"/>
      <c r="M92" s="66">
        <f t="shared" si="9"/>
        <v>41582</v>
      </c>
      <c r="N92" s="81">
        <f t="shared" si="12"/>
        <v>158.58585858585852</v>
      </c>
      <c r="O92" s="81">
        <f t="shared" si="12"/>
        <v>109.00473933649299</v>
      </c>
      <c r="P92" s="81">
        <f t="shared" si="12"/>
        <v>90.106007067137796</v>
      </c>
      <c r="Q92" s="81">
        <f t="shared" si="12"/>
        <v>115.26020022617162</v>
      </c>
    </row>
    <row r="93" spans="1:17">
      <c r="A93" s="66">
        <v>41583</v>
      </c>
      <c r="B93" s="66">
        <v>41583</v>
      </c>
      <c r="C93" s="67">
        <v>0.59899999999999998</v>
      </c>
      <c r="D93" s="67">
        <v>0.46</v>
      </c>
      <c r="E93" s="67">
        <v>0.51</v>
      </c>
      <c r="F93" s="68">
        <v>53831.85</v>
      </c>
      <c r="G93" s="66">
        <f t="shared" si="7"/>
        <v>41583</v>
      </c>
      <c r="H93" s="70">
        <f t="shared" si="10"/>
        <v>-4.7278568352749378E-2</v>
      </c>
      <c r="I93" s="70">
        <f t="shared" si="10"/>
        <v>0</v>
      </c>
      <c r="J93" s="70">
        <f t="shared" si="10"/>
        <v>0</v>
      </c>
      <c r="K93" s="70">
        <f t="shared" si="8"/>
        <v>-1.1177300700344592E-2</v>
      </c>
      <c r="L93" s="69"/>
      <c r="M93" s="66">
        <f t="shared" si="9"/>
        <v>41583</v>
      </c>
      <c r="N93" s="81">
        <f t="shared" si="12"/>
        <v>151.26262626262618</v>
      </c>
      <c r="O93" s="81">
        <f t="shared" si="12"/>
        <v>109.00473933649299</v>
      </c>
      <c r="P93" s="81">
        <f t="shared" si="12"/>
        <v>90.106007067137796</v>
      </c>
      <c r="Q93" s="81">
        <f t="shared" si="12"/>
        <v>113.97907540590533</v>
      </c>
    </row>
    <row r="94" spans="1:17">
      <c r="A94" s="66">
        <v>41584</v>
      </c>
      <c r="B94" s="66">
        <v>41584</v>
      </c>
      <c r="C94" s="67">
        <v>0.61799999999999999</v>
      </c>
      <c r="D94" s="67">
        <v>0.45100000000000001</v>
      </c>
      <c r="E94" s="67">
        <v>0.52</v>
      </c>
      <c r="F94" s="68">
        <v>53384.6</v>
      </c>
      <c r="G94" s="66">
        <f t="shared" si="7"/>
        <v>41584</v>
      </c>
      <c r="H94" s="70">
        <f t="shared" si="10"/>
        <v>3.1226859342241516E-2</v>
      </c>
      <c r="I94" s="70">
        <f t="shared" si="10"/>
        <v>-1.9759149980462333E-2</v>
      </c>
      <c r="J94" s="70">
        <f t="shared" si="10"/>
        <v>1.9418085857101516E-2</v>
      </c>
      <c r="K94" s="70">
        <f t="shared" si="8"/>
        <v>-8.3429845746234438E-3</v>
      </c>
      <c r="L94" s="69"/>
      <c r="M94" s="66">
        <f t="shared" si="9"/>
        <v>41584</v>
      </c>
      <c r="N94" s="81">
        <f t="shared" si="12"/>
        <v>156.06060606060601</v>
      </c>
      <c r="O94" s="81">
        <f t="shared" si="12"/>
        <v>106.87203791469204</v>
      </c>
      <c r="P94" s="81">
        <f t="shared" si="12"/>
        <v>91.872791519434614</v>
      </c>
      <c r="Q94" s="81">
        <f t="shared" si="12"/>
        <v>113.03210550843215</v>
      </c>
    </row>
    <row r="95" spans="1:17">
      <c r="A95" s="66">
        <v>41585</v>
      </c>
      <c r="B95" s="66">
        <v>41585</v>
      </c>
      <c r="C95" s="67">
        <v>0.58899999999999997</v>
      </c>
      <c r="D95" s="67">
        <v>0.45100000000000001</v>
      </c>
      <c r="E95" s="67">
        <v>0.52</v>
      </c>
      <c r="F95" s="68">
        <v>52740.79</v>
      </c>
      <c r="G95" s="66">
        <f t="shared" si="7"/>
        <v>41585</v>
      </c>
      <c r="H95" s="70">
        <f t="shared" si="10"/>
        <v>-4.8062273806104124E-2</v>
      </c>
      <c r="I95" s="70">
        <f t="shared" si="10"/>
        <v>0</v>
      </c>
      <c r="J95" s="70">
        <f t="shared" si="10"/>
        <v>0</v>
      </c>
      <c r="K95" s="70">
        <f t="shared" si="8"/>
        <v>-1.2133154904868281E-2</v>
      </c>
      <c r="L95" s="69"/>
      <c r="M95" s="66">
        <f t="shared" si="9"/>
        <v>41585</v>
      </c>
      <c r="N95" s="81">
        <f t="shared" si="12"/>
        <v>148.73737373737367</v>
      </c>
      <c r="O95" s="81">
        <f t="shared" si="12"/>
        <v>106.87203791469204</v>
      </c>
      <c r="P95" s="81">
        <f t="shared" si="12"/>
        <v>91.872791519434614</v>
      </c>
      <c r="Q95" s="81">
        <f t="shared" si="12"/>
        <v>111.66895583891353</v>
      </c>
    </row>
    <row r="96" spans="1:17">
      <c r="A96" s="66">
        <v>41586</v>
      </c>
      <c r="B96" s="66">
        <v>41586</v>
      </c>
      <c r="C96" s="67">
        <v>0.57999999999999996</v>
      </c>
      <c r="D96" s="67">
        <v>0.45100000000000001</v>
      </c>
      <c r="E96" s="67">
        <v>0.52</v>
      </c>
      <c r="F96" s="68">
        <v>52248.86</v>
      </c>
      <c r="G96" s="66">
        <f t="shared" si="7"/>
        <v>41586</v>
      </c>
      <c r="H96" s="70">
        <f t="shared" si="10"/>
        <v>-1.5398080111121719E-2</v>
      </c>
      <c r="I96" s="70">
        <f t="shared" si="10"/>
        <v>0</v>
      </c>
      <c r="J96" s="70">
        <f t="shared" si="10"/>
        <v>0</v>
      </c>
      <c r="K96" s="70">
        <f t="shared" si="8"/>
        <v>-9.371087530837683E-3</v>
      </c>
      <c r="L96" s="69"/>
      <c r="M96" s="66">
        <f t="shared" si="9"/>
        <v>41586</v>
      </c>
      <c r="N96" s="81">
        <f t="shared" si="12"/>
        <v>146.46464646464639</v>
      </c>
      <c r="O96" s="81">
        <f t="shared" si="12"/>
        <v>106.87203791469204</v>
      </c>
      <c r="P96" s="81">
        <f t="shared" si="12"/>
        <v>91.872791519434614</v>
      </c>
      <c r="Q96" s="81">
        <f t="shared" si="12"/>
        <v>110.62738423094488</v>
      </c>
    </row>
    <row r="97" spans="1:17">
      <c r="A97" s="66">
        <v>41589</v>
      </c>
      <c r="B97" s="66">
        <v>41589</v>
      </c>
      <c r="C97" s="67">
        <v>0.57999999999999996</v>
      </c>
      <c r="D97" s="67">
        <v>0.46</v>
      </c>
      <c r="E97" s="67">
        <v>0.52900000000000003</v>
      </c>
      <c r="F97" s="68">
        <v>52623.87</v>
      </c>
      <c r="G97" s="66">
        <f t="shared" si="7"/>
        <v>41589</v>
      </c>
      <c r="H97" s="70">
        <f t="shared" si="10"/>
        <v>0</v>
      </c>
      <c r="I97" s="70">
        <f t="shared" si="10"/>
        <v>1.9759149980462392E-2</v>
      </c>
      <c r="J97" s="70">
        <f t="shared" si="10"/>
        <v>1.7159620282826284E-2</v>
      </c>
      <c r="K97" s="70">
        <f t="shared" si="8"/>
        <v>7.1517466628364442E-3</v>
      </c>
      <c r="L97" s="69"/>
      <c r="M97" s="66">
        <f t="shared" si="9"/>
        <v>41589</v>
      </c>
      <c r="N97" s="81">
        <f t="shared" si="12"/>
        <v>146.46464646464639</v>
      </c>
      <c r="O97" s="81">
        <f t="shared" si="12"/>
        <v>109.004739336493</v>
      </c>
      <c r="P97" s="81">
        <f t="shared" si="12"/>
        <v>93.462897526501749</v>
      </c>
      <c r="Q97" s="81">
        <f t="shared" si="12"/>
        <v>111.42139916946118</v>
      </c>
    </row>
    <row r="98" spans="1:17">
      <c r="A98" s="66">
        <v>41590</v>
      </c>
      <c r="B98" s="66">
        <v>41590</v>
      </c>
      <c r="C98" s="67">
        <v>0.56999999999999995</v>
      </c>
      <c r="D98" s="67">
        <v>0.45100000000000001</v>
      </c>
      <c r="E98" s="67">
        <v>0.52900000000000003</v>
      </c>
      <c r="F98" s="68">
        <v>51804.33</v>
      </c>
      <c r="G98" s="66">
        <f t="shared" si="7"/>
        <v>41590</v>
      </c>
      <c r="H98" s="70">
        <f t="shared" si="10"/>
        <v>-1.7391742711869222E-2</v>
      </c>
      <c r="I98" s="70">
        <f t="shared" si="10"/>
        <v>-1.9759149980462333E-2</v>
      </c>
      <c r="J98" s="70">
        <f t="shared" si="10"/>
        <v>0</v>
      </c>
      <c r="K98" s="70">
        <f t="shared" si="8"/>
        <v>-1.5696082582401238E-2</v>
      </c>
      <c r="L98" s="69"/>
      <c r="M98" s="66">
        <f t="shared" si="9"/>
        <v>41590</v>
      </c>
      <c r="N98" s="81">
        <f t="shared" si="12"/>
        <v>143.93939393939385</v>
      </c>
      <c r="O98" s="81">
        <f t="shared" si="12"/>
        <v>106.87203791469206</v>
      </c>
      <c r="P98" s="81">
        <f t="shared" si="12"/>
        <v>93.462897526501749</v>
      </c>
      <c r="Q98" s="81">
        <f t="shared" si="12"/>
        <v>109.68617343491637</v>
      </c>
    </row>
    <row r="99" spans="1:17">
      <c r="A99" s="66">
        <v>41591</v>
      </c>
      <c r="B99" s="66">
        <v>41591</v>
      </c>
      <c r="C99" s="67">
        <v>0.58899999999999997</v>
      </c>
      <c r="D99" s="67">
        <v>0.46</v>
      </c>
      <c r="E99" s="67">
        <v>0.52900000000000003</v>
      </c>
      <c r="F99" s="68">
        <v>52230.29</v>
      </c>
      <c r="G99" s="66">
        <f t="shared" si="7"/>
        <v>41591</v>
      </c>
      <c r="H99" s="70">
        <f t="shared" si="10"/>
        <v>3.278982282299097E-2</v>
      </c>
      <c r="I99" s="70">
        <f t="shared" si="10"/>
        <v>1.9759149980462392E-2</v>
      </c>
      <c r="J99" s="70">
        <f t="shared" si="10"/>
        <v>0</v>
      </c>
      <c r="K99" s="70">
        <f t="shared" si="8"/>
        <v>8.1888582918170135E-3</v>
      </c>
      <c r="L99" s="69"/>
      <c r="M99" s="66">
        <f t="shared" si="9"/>
        <v>41591</v>
      </c>
      <c r="N99" s="81">
        <f t="shared" si="12"/>
        <v>148.73737373737367</v>
      </c>
      <c r="O99" s="81">
        <f t="shared" si="12"/>
        <v>109.00473933649302</v>
      </c>
      <c r="P99" s="81">
        <f t="shared" si="12"/>
        <v>93.462897526501749</v>
      </c>
      <c r="Q99" s="81">
        <f t="shared" si="12"/>
        <v>110.58806565968477</v>
      </c>
    </row>
    <row r="100" spans="1:17">
      <c r="A100" s="66">
        <v>41592</v>
      </c>
      <c r="B100" s="66">
        <v>41592</v>
      </c>
      <c r="C100" s="67">
        <v>0.58899999999999997</v>
      </c>
      <c r="D100" s="67">
        <v>0.47899999999999998</v>
      </c>
      <c r="E100" s="67">
        <v>0.52</v>
      </c>
      <c r="F100" s="68">
        <v>53451.6</v>
      </c>
      <c r="G100" s="66">
        <f t="shared" si="7"/>
        <v>41592</v>
      </c>
      <c r="H100" s="70">
        <f t="shared" si="10"/>
        <v>0</v>
      </c>
      <c r="I100" s="70">
        <f t="shared" si="10"/>
        <v>4.0474107927774429E-2</v>
      </c>
      <c r="J100" s="70">
        <f t="shared" si="10"/>
        <v>-1.7159620282826395E-2</v>
      </c>
      <c r="K100" s="70">
        <f t="shared" si="8"/>
        <v>2.3113976743932365E-2</v>
      </c>
      <c r="L100" s="69"/>
      <c r="M100" s="66">
        <f t="shared" si="9"/>
        <v>41592</v>
      </c>
      <c r="N100" s="81">
        <f t="shared" si="12"/>
        <v>148.73737373737367</v>
      </c>
      <c r="O100" s="81">
        <f t="shared" si="12"/>
        <v>113.50710900473945</v>
      </c>
      <c r="P100" s="81">
        <f t="shared" si="12"/>
        <v>91.8727915194346</v>
      </c>
      <c r="Q100" s="81">
        <f t="shared" si="12"/>
        <v>113.17396572784119</v>
      </c>
    </row>
    <row r="101" spans="1:17">
      <c r="A101" s="66">
        <v>41596</v>
      </c>
      <c r="B101" s="66">
        <v>41596</v>
      </c>
      <c r="C101" s="67">
        <v>0.56999999999999995</v>
      </c>
      <c r="D101" s="67">
        <v>0.50800000000000001</v>
      </c>
      <c r="E101" s="67">
        <v>0.57499999999999996</v>
      </c>
      <c r="F101" s="68">
        <v>54307.040000000001</v>
      </c>
      <c r="G101" s="66">
        <f t="shared" si="7"/>
        <v>41596</v>
      </c>
      <c r="H101" s="70">
        <f t="shared" si="10"/>
        <v>-3.2789822822990956E-2</v>
      </c>
      <c r="I101" s="70">
        <f t="shared" si="10"/>
        <v>5.8780850167566616E-2</v>
      </c>
      <c r="J101" s="70">
        <f t="shared" si="10"/>
        <v>0.10054122922187726</v>
      </c>
      <c r="K101" s="70">
        <f t="shared" si="8"/>
        <v>1.5877297086857159E-2</v>
      </c>
      <c r="L101" s="69"/>
      <c r="M101" s="66">
        <f t="shared" si="9"/>
        <v>41596</v>
      </c>
      <c r="N101" s="81">
        <f t="shared" ref="N101:Q116" si="13">C101/C100*N100</f>
        <v>143.93939393939385</v>
      </c>
      <c r="O101" s="81">
        <f t="shared" si="13"/>
        <v>120.37914691943139</v>
      </c>
      <c r="P101" s="81">
        <f t="shared" si="13"/>
        <v>101.59010600706709</v>
      </c>
      <c r="Q101" s="81">
        <f t="shared" si="13"/>
        <v>114.98520313218876</v>
      </c>
    </row>
    <row r="102" spans="1:17">
      <c r="A102" s="66">
        <v>41597</v>
      </c>
      <c r="B102" s="66">
        <v>41597</v>
      </c>
      <c r="C102" s="67">
        <v>0.57999999999999996</v>
      </c>
      <c r="D102" s="67">
        <v>0.51800000000000002</v>
      </c>
      <c r="E102" s="67">
        <v>0.60299999999999998</v>
      </c>
      <c r="F102" s="68">
        <v>53032.91</v>
      </c>
      <c r="G102" s="66">
        <f t="shared" si="7"/>
        <v>41597</v>
      </c>
      <c r="H102" s="70">
        <f t="shared" si="10"/>
        <v>1.7391742711869239E-2</v>
      </c>
      <c r="I102" s="70">
        <f t="shared" si="10"/>
        <v>1.9493794681001132E-2</v>
      </c>
      <c r="J102" s="70">
        <f t="shared" si="10"/>
        <v>4.7547155929834987E-2</v>
      </c>
      <c r="K102" s="70">
        <f t="shared" si="8"/>
        <v>-2.3741204385357616E-2</v>
      </c>
      <c r="L102" s="69"/>
      <c r="M102" s="66">
        <f t="shared" si="9"/>
        <v>41597</v>
      </c>
      <c r="N102" s="81">
        <f t="shared" si="13"/>
        <v>146.46464646464639</v>
      </c>
      <c r="O102" s="81">
        <f t="shared" si="13"/>
        <v>122.74881516587689</v>
      </c>
      <c r="P102" s="81">
        <f t="shared" si="13"/>
        <v>106.53710247349818</v>
      </c>
      <c r="Q102" s="81">
        <f t="shared" si="13"/>
        <v>112.28746639553702</v>
      </c>
    </row>
    <row r="103" spans="1:17">
      <c r="A103" s="66">
        <v>41599</v>
      </c>
      <c r="B103" s="66">
        <v>41599</v>
      </c>
      <c r="C103" s="67">
        <v>0.56000000000000005</v>
      </c>
      <c r="D103" s="67">
        <v>0.52700000000000002</v>
      </c>
      <c r="E103" s="67">
        <v>0.59399999999999997</v>
      </c>
      <c r="F103" s="68">
        <v>52688.02</v>
      </c>
      <c r="G103" s="66">
        <f t="shared" si="7"/>
        <v>41599</v>
      </c>
      <c r="H103" s="70">
        <f t="shared" si="10"/>
        <v>-3.5091319811269943E-2</v>
      </c>
      <c r="I103" s="70">
        <f t="shared" si="10"/>
        <v>1.7225306281879342E-2</v>
      </c>
      <c r="J103" s="70">
        <f t="shared" si="10"/>
        <v>-1.5037877364540559E-2</v>
      </c>
      <c r="K103" s="70">
        <f t="shared" si="8"/>
        <v>-6.5245590157538107E-3</v>
      </c>
      <c r="L103" s="69"/>
      <c r="M103" s="66">
        <f t="shared" si="9"/>
        <v>41599</v>
      </c>
      <c r="N103" s="81">
        <f t="shared" si="13"/>
        <v>141.41414141414137</v>
      </c>
      <c r="O103" s="81">
        <f t="shared" si="13"/>
        <v>124.88151658767785</v>
      </c>
      <c r="P103" s="81">
        <f t="shared" si="13"/>
        <v>104.94699646643105</v>
      </c>
      <c r="Q103" s="81">
        <f t="shared" si="13"/>
        <v>111.55722503625356</v>
      </c>
    </row>
    <row r="104" spans="1:17">
      <c r="A104" s="66">
        <v>41600</v>
      </c>
      <c r="B104" s="66">
        <v>41600</v>
      </c>
      <c r="C104" s="67">
        <v>0.57999999999999996</v>
      </c>
      <c r="D104" s="67">
        <v>0.53700000000000003</v>
      </c>
      <c r="E104" s="67">
        <v>0.622</v>
      </c>
      <c r="F104" s="68">
        <v>52800.74</v>
      </c>
      <c r="G104" s="66">
        <f t="shared" si="7"/>
        <v>41600</v>
      </c>
      <c r="H104" s="70">
        <f t="shared" si="10"/>
        <v>3.5091319811269978E-2</v>
      </c>
      <c r="I104" s="70">
        <f t="shared" si="10"/>
        <v>1.8797545967502421E-2</v>
      </c>
      <c r="J104" s="70">
        <f t="shared" si="10"/>
        <v>4.6060773376534525E-2</v>
      </c>
      <c r="K104" s="70">
        <f t="shared" si="8"/>
        <v>2.1371005385069503E-3</v>
      </c>
      <c r="L104" s="69"/>
      <c r="M104" s="66">
        <f t="shared" si="9"/>
        <v>41600</v>
      </c>
      <c r="N104" s="81">
        <f t="shared" si="13"/>
        <v>146.46464646464639</v>
      </c>
      <c r="O104" s="81">
        <f t="shared" si="13"/>
        <v>127.25118483412336</v>
      </c>
      <c r="P104" s="81">
        <f t="shared" si="13"/>
        <v>109.89399293286213</v>
      </c>
      <c r="Q104" s="81">
        <f t="shared" si="13"/>
        <v>111.79588897553398</v>
      </c>
    </row>
    <row r="105" spans="1:17">
      <c r="A105" s="66">
        <v>41603</v>
      </c>
      <c r="B105" s="66">
        <v>41603</v>
      </c>
      <c r="C105" s="67">
        <v>0.56999999999999995</v>
      </c>
      <c r="D105" s="67">
        <v>0.53700000000000003</v>
      </c>
      <c r="E105" s="67">
        <v>0.58499999999999996</v>
      </c>
      <c r="F105" s="68">
        <v>52263.51</v>
      </c>
      <c r="G105" s="66">
        <f t="shared" si="7"/>
        <v>41603</v>
      </c>
      <c r="H105" s="70">
        <f t="shared" si="10"/>
        <v>-1.7391742711869222E-2</v>
      </c>
      <c r="I105" s="70">
        <f t="shared" si="10"/>
        <v>0</v>
      </c>
      <c r="J105" s="70">
        <f t="shared" si="10"/>
        <v>-6.1328245507323027E-2</v>
      </c>
      <c r="K105" s="70">
        <f t="shared" si="8"/>
        <v>-1.0226783749361087E-2</v>
      </c>
      <c r="L105" s="69"/>
      <c r="M105" s="66">
        <f t="shared" si="9"/>
        <v>41603</v>
      </c>
      <c r="N105" s="81">
        <f t="shared" si="13"/>
        <v>143.93939393939385</v>
      </c>
      <c r="O105" s="81">
        <f t="shared" si="13"/>
        <v>127.25118483412336</v>
      </c>
      <c r="P105" s="81">
        <f t="shared" si="13"/>
        <v>103.3568904593639</v>
      </c>
      <c r="Q105" s="81">
        <f t="shared" si="13"/>
        <v>110.65840292071117</v>
      </c>
    </row>
    <row r="106" spans="1:17">
      <c r="A106" s="66">
        <v>41604</v>
      </c>
      <c r="B106" s="66">
        <v>41604</v>
      </c>
      <c r="C106" s="67">
        <v>0.56999999999999995</v>
      </c>
      <c r="D106" s="67">
        <v>0.51800000000000002</v>
      </c>
      <c r="E106" s="67">
        <v>0.58499999999999996</v>
      </c>
      <c r="F106" s="68">
        <v>51446.91</v>
      </c>
      <c r="G106" s="66">
        <f t="shared" si="7"/>
        <v>41604</v>
      </c>
      <c r="H106" s="70">
        <f t="shared" si="10"/>
        <v>0</v>
      </c>
      <c r="I106" s="70">
        <f t="shared" si="10"/>
        <v>-3.6022852249381648E-2</v>
      </c>
      <c r="J106" s="70">
        <f t="shared" si="10"/>
        <v>0</v>
      </c>
      <c r="K106" s="70">
        <f t="shared" si="8"/>
        <v>-1.5748019848710142E-2</v>
      </c>
      <c r="L106" s="69"/>
      <c r="M106" s="66">
        <f t="shared" si="9"/>
        <v>41604</v>
      </c>
      <c r="N106" s="81">
        <f t="shared" si="13"/>
        <v>143.93939393939385</v>
      </c>
      <c r="O106" s="81">
        <f t="shared" si="13"/>
        <v>122.74881516587691</v>
      </c>
      <c r="P106" s="81">
        <f t="shared" si="13"/>
        <v>103.3568904593639</v>
      </c>
      <c r="Q106" s="81">
        <f t="shared" si="13"/>
        <v>108.92940209728671</v>
      </c>
    </row>
    <row r="107" spans="1:17">
      <c r="A107" s="66">
        <v>41605</v>
      </c>
      <c r="B107" s="66">
        <v>41605</v>
      </c>
      <c r="C107" s="67">
        <v>0.56999999999999995</v>
      </c>
      <c r="D107" s="67">
        <v>0.51800000000000002</v>
      </c>
      <c r="E107" s="67">
        <v>0.58499999999999996</v>
      </c>
      <c r="F107" s="68">
        <v>51861.21</v>
      </c>
      <c r="G107" s="66">
        <f t="shared" si="7"/>
        <v>41605</v>
      </c>
      <c r="H107" s="70">
        <f t="shared" si="10"/>
        <v>0</v>
      </c>
      <c r="I107" s="70">
        <f t="shared" si="10"/>
        <v>0</v>
      </c>
      <c r="J107" s="70">
        <f t="shared" si="10"/>
        <v>0</v>
      </c>
      <c r="K107" s="70">
        <f t="shared" si="8"/>
        <v>8.0207097187030528E-3</v>
      </c>
      <c r="L107" s="69"/>
      <c r="M107" s="66">
        <f t="shared" si="9"/>
        <v>41605</v>
      </c>
      <c r="N107" s="81">
        <f t="shared" si="13"/>
        <v>143.93939393939385</v>
      </c>
      <c r="O107" s="81">
        <f t="shared" si="13"/>
        <v>122.74881516587691</v>
      </c>
      <c r="P107" s="81">
        <f t="shared" si="13"/>
        <v>103.3568904593639</v>
      </c>
      <c r="Q107" s="81">
        <f t="shared" si="13"/>
        <v>109.80660640924452</v>
      </c>
    </row>
    <row r="108" spans="1:17">
      <c r="A108" s="66">
        <v>41606</v>
      </c>
      <c r="B108" s="66">
        <v>41606</v>
      </c>
      <c r="C108" s="67">
        <v>0.55100000000000005</v>
      </c>
      <c r="D108" s="67">
        <v>0.50800000000000001</v>
      </c>
      <c r="E108" s="67">
        <v>0.59399999999999997</v>
      </c>
      <c r="F108" s="68">
        <v>51846.83</v>
      </c>
      <c r="G108" s="66">
        <f t="shared" si="7"/>
        <v>41606</v>
      </c>
      <c r="H108" s="70">
        <f t="shared" si="10"/>
        <v>-3.3901551675681228E-2</v>
      </c>
      <c r="I108" s="70">
        <f t="shared" si="10"/>
        <v>-1.9493794681001129E-2</v>
      </c>
      <c r="J108" s="70">
        <f t="shared" si="10"/>
        <v>1.5267472130788381E-2</v>
      </c>
      <c r="K108" s="70">
        <f t="shared" si="8"/>
        <v>-2.7731697739455098E-4</v>
      </c>
      <c r="L108" s="69"/>
      <c r="M108" s="66">
        <f t="shared" si="9"/>
        <v>41606</v>
      </c>
      <c r="N108" s="81">
        <f t="shared" si="13"/>
        <v>139.14141414141406</v>
      </c>
      <c r="O108" s="81">
        <f t="shared" si="13"/>
        <v>120.37914691943141</v>
      </c>
      <c r="P108" s="81">
        <f t="shared" si="13"/>
        <v>104.94699646643103</v>
      </c>
      <c r="Q108" s="81">
        <f t="shared" si="13"/>
        <v>109.77615939498926</v>
      </c>
    </row>
    <row r="109" spans="1:17">
      <c r="A109" s="66">
        <v>41607</v>
      </c>
      <c r="B109" s="66">
        <v>41607</v>
      </c>
      <c r="C109" s="67">
        <v>0.56999999999999995</v>
      </c>
      <c r="D109" s="67">
        <v>0.51800000000000002</v>
      </c>
      <c r="E109" s="67">
        <v>0.61299999999999999</v>
      </c>
      <c r="F109" s="68">
        <v>52482.49</v>
      </c>
      <c r="G109" s="66">
        <f t="shared" si="7"/>
        <v>41607</v>
      </c>
      <c r="H109" s="70">
        <f t="shared" si="10"/>
        <v>3.39015516756812E-2</v>
      </c>
      <c r="I109" s="70">
        <f t="shared" si="10"/>
        <v>1.9493794681001132E-2</v>
      </c>
      <c r="J109" s="70">
        <f t="shared" si="10"/>
        <v>3.1485616573566494E-2</v>
      </c>
      <c r="K109" s="70">
        <f t="shared" si="8"/>
        <v>1.2185795247861567E-2</v>
      </c>
      <c r="L109" s="69"/>
      <c r="M109" s="66">
        <f t="shared" si="9"/>
        <v>41607</v>
      </c>
      <c r="N109" s="81">
        <f t="shared" si="13"/>
        <v>143.93939393939382</v>
      </c>
      <c r="O109" s="81">
        <f t="shared" si="13"/>
        <v>122.74881516587691</v>
      </c>
      <c r="P109" s="81">
        <f t="shared" si="13"/>
        <v>108.30388692579498</v>
      </c>
      <c r="Q109" s="81">
        <f t="shared" si="13"/>
        <v>111.12205293334094</v>
      </c>
    </row>
    <row r="110" spans="1:17">
      <c r="A110" s="66">
        <v>41610</v>
      </c>
      <c r="B110" s="66">
        <v>41610</v>
      </c>
      <c r="C110" s="67">
        <v>0.56999999999999995</v>
      </c>
      <c r="D110" s="67">
        <v>0.50800000000000001</v>
      </c>
      <c r="E110" s="67">
        <v>0.57499999999999996</v>
      </c>
      <c r="F110" s="68">
        <v>51244.87</v>
      </c>
      <c r="G110" s="66">
        <f t="shared" si="7"/>
        <v>41610</v>
      </c>
      <c r="H110" s="70">
        <f t="shared" si="10"/>
        <v>0</v>
      </c>
      <c r="I110" s="70">
        <f t="shared" si="10"/>
        <v>-1.9493794681001129E-2</v>
      </c>
      <c r="J110" s="70">
        <f t="shared" si="10"/>
        <v>-6.3994895138861072E-2</v>
      </c>
      <c r="K110" s="70">
        <f t="shared" si="8"/>
        <v>-2.3864074709171644E-2</v>
      </c>
      <c r="L110" s="69"/>
      <c r="M110" s="66">
        <f t="shared" si="9"/>
        <v>41610</v>
      </c>
      <c r="N110" s="81">
        <f t="shared" si="13"/>
        <v>143.93939393939382</v>
      </c>
      <c r="O110" s="81">
        <f t="shared" si="13"/>
        <v>120.37914691943141</v>
      </c>
      <c r="P110" s="81">
        <f t="shared" si="13"/>
        <v>101.59010600706706</v>
      </c>
      <c r="Q110" s="81">
        <f t="shared" si="13"/>
        <v>108.50161942968361</v>
      </c>
    </row>
    <row r="111" spans="1:17">
      <c r="A111" s="66">
        <v>41611</v>
      </c>
      <c r="B111" s="66">
        <v>41611</v>
      </c>
      <c r="C111" s="71">
        <v>0.57999999999999996</v>
      </c>
      <c r="D111" s="67">
        <v>0.499</v>
      </c>
      <c r="E111" s="67">
        <v>0.59399999999999997</v>
      </c>
      <c r="F111" s="68">
        <v>50348.89</v>
      </c>
      <c r="G111" s="66">
        <f t="shared" si="7"/>
        <v>41611</v>
      </c>
      <c r="H111" s="70">
        <f t="shared" si="10"/>
        <v>1.7391742711869239E-2</v>
      </c>
      <c r="I111" s="70">
        <f t="shared" si="10"/>
        <v>-1.7875351826963193E-2</v>
      </c>
      <c r="J111" s="70">
        <f t="shared" si="10"/>
        <v>3.2509278565294432E-2</v>
      </c>
      <c r="K111" s="70">
        <f t="shared" si="8"/>
        <v>-1.7638942206123404E-2</v>
      </c>
      <c r="L111" s="69"/>
      <c r="M111" s="66">
        <f t="shared" si="9"/>
        <v>41611</v>
      </c>
      <c r="N111" s="81">
        <f t="shared" si="13"/>
        <v>146.46464646464636</v>
      </c>
      <c r="O111" s="81">
        <f t="shared" si="13"/>
        <v>118.24644549763046</v>
      </c>
      <c r="P111" s="81">
        <f t="shared" si="13"/>
        <v>104.94699646643102</v>
      </c>
      <c r="Q111" s="81">
        <f t="shared" si="13"/>
        <v>106.60454600601003</v>
      </c>
    </row>
    <row r="112" spans="1:17">
      <c r="A112" s="66">
        <v>41612</v>
      </c>
      <c r="B112" s="66">
        <v>41612</v>
      </c>
      <c r="C112" s="67">
        <v>0.56999999999999995</v>
      </c>
      <c r="D112" s="67">
        <v>0.50800000000000001</v>
      </c>
      <c r="E112" s="67">
        <v>0.59399999999999997</v>
      </c>
      <c r="F112" s="68">
        <v>50215.79</v>
      </c>
      <c r="G112" s="66">
        <f t="shared" si="7"/>
        <v>41612</v>
      </c>
      <c r="H112" s="70">
        <f t="shared" si="10"/>
        <v>-1.7391742711869222E-2</v>
      </c>
      <c r="I112" s="70">
        <f t="shared" si="10"/>
        <v>1.7875351826963135E-2</v>
      </c>
      <c r="J112" s="70">
        <f t="shared" si="10"/>
        <v>0</v>
      </c>
      <c r="K112" s="70">
        <f t="shared" si="8"/>
        <v>-2.6470541688819603E-3</v>
      </c>
      <c r="L112" s="69"/>
      <c r="M112" s="66">
        <f t="shared" si="9"/>
        <v>41612</v>
      </c>
      <c r="N112" s="81">
        <f t="shared" si="13"/>
        <v>143.93939393939382</v>
      </c>
      <c r="O112" s="81">
        <f t="shared" si="13"/>
        <v>120.37914691943141</v>
      </c>
      <c r="P112" s="81">
        <f t="shared" si="13"/>
        <v>104.94699646643102</v>
      </c>
      <c r="Q112" s="81">
        <f t="shared" si="13"/>
        <v>106.32273115222876</v>
      </c>
    </row>
    <row r="113" spans="1:17">
      <c r="A113" s="66">
        <v>41613</v>
      </c>
      <c r="B113" s="66">
        <v>41613</v>
      </c>
      <c r="C113" s="71">
        <v>0.56000000000000005</v>
      </c>
      <c r="D113" s="67">
        <v>0.50800000000000001</v>
      </c>
      <c r="E113" s="67">
        <v>0.60299999999999998</v>
      </c>
      <c r="F113" s="68">
        <v>50787.63</v>
      </c>
      <c r="G113" s="66">
        <f t="shared" si="7"/>
        <v>41613</v>
      </c>
      <c r="H113" s="70">
        <f t="shared" si="10"/>
        <v>-1.7699577099400749E-2</v>
      </c>
      <c r="I113" s="70">
        <f t="shared" si="10"/>
        <v>0</v>
      </c>
      <c r="J113" s="70">
        <f t="shared" si="10"/>
        <v>1.5037877364540502E-2</v>
      </c>
      <c r="K113" s="70">
        <f t="shared" si="8"/>
        <v>1.1323301923089519E-2</v>
      </c>
      <c r="L113" s="69"/>
      <c r="M113" s="66">
        <f t="shared" si="9"/>
        <v>41613</v>
      </c>
      <c r="N113" s="81">
        <f t="shared" si="13"/>
        <v>141.41414141414131</v>
      </c>
      <c r="O113" s="81">
        <f t="shared" si="13"/>
        <v>120.37914691943141</v>
      </c>
      <c r="P113" s="81">
        <f t="shared" si="13"/>
        <v>106.53710247349815</v>
      </c>
      <c r="Q113" s="81">
        <f t="shared" si="13"/>
        <v>107.53349753830155</v>
      </c>
    </row>
    <row r="114" spans="1:17">
      <c r="A114" s="66">
        <v>41614</v>
      </c>
      <c r="B114" s="66">
        <v>41614</v>
      </c>
      <c r="C114" s="71">
        <v>0.56999999999999995</v>
      </c>
      <c r="D114" s="67">
        <v>0.50800000000000001</v>
      </c>
      <c r="E114" s="67">
        <v>0.61299999999999999</v>
      </c>
      <c r="F114" s="68">
        <v>50944.27</v>
      </c>
      <c r="G114" s="66">
        <f t="shared" si="7"/>
        <v>41614</v>
      </c>
      <c r="H114" s="70">
        <f t="shared" si="10"/>
        <v>1.7699577099400638E-2</v>
      </c>
      <c r="I114" s="70">
        <f t="shared" si="10"/>
        <v>0</v>
      </c>
      <c r="J114" s="70">
        <f t="shared" si="10"/>
        <v>1.6447739209025883E-2</v>
      </c>
      <c r="K114" s="70">
        <f t="shared" si="8"/>
        <v>3.0794691495281512E-3</v>
      </c>
      <c r="L114" s="69"/>
      <c r="M114" s="66">
        <f t="shared" si="9"/>
        <v>41614</v>
      </c>
      <c r="N114" s="81">
        <f t="shared" si="13"/>
        <v>143.9393939393938</v>
      </c>
      <c r="O114" s="81">
        <f t="shared" si="13"/>
        <v>120.37914691943141</v>
      </c>
      <c r="P114" s="81">
        <f t="shared" si="13"/>
        <v>108.30388692579496</v>
      </c>
      <c r="Q114" s="81">
        <f t="shared" si="13"/>
        <v>107.86515402737969</v>
      </c>
    </row>
    <row r="115" spans="1:17">
      <c r="A115" s="66">
        <v>41617</v>
      </c>
      <c r="B115" s="66">
        <v>41617</v>
      </c>
      <c r="C115" s="67">
        <v>0.55100000000000005</v>
      </c>
      <c r="D115" s="67">
        <v>0.50800000000000001</v>
      </c>
      <c r="E115" s="67">
        <v>0.61299999999999999</v>
      </c>
      <c r="F115" s="68">
        <v>51165.38</v>
      </c>
      <c r="G115" s="66">
        <f t="shared" si="7"/>
        <v>41617</v>
      </c>
      <c r="H115" s="70">
        <f t="shared" si="10"/>
        <v>-3.3901551675681228E-2</v>
      </c>
      <c r="I115" s="70">
        <f t="shared" si="10"/>
        <v>0</v>
      </c>
      <c r="J115" s="70">
        <f t="shared" si="10"/>
        <v>0</v>
      </c>
      <c r="K115" s="70">
        <f t="shared" si="8"/>
        <v>4.3308413180980134E-3</v>
      </c>
      <c r="L115" s="69"/>
      <c r="M115" s="66">
        <f t="shared" si="9"/>
        <v>41617</v>
      </c>
      <c r="N115" s="81">
        <f t="shared" si="13"/>
        <v>139.14141414141403</v>
      </c>
      <c r="O115" s="81">
        <f t="shared" si="13"/>
        <v>120.37914691943141</v>
      </c>
      <c r="P115" s="81">
        <f t="shared" si="13"/>
        <v>108.30388692579496</v>
      </c>
      <c r="Q115" s="81">
        <f t="shared" si="13"/>
        <v>108.33331392459668</v>
      </c>
    </row>
    <row r="116" spans="1:17">
      <c r="A116" s="66">
        <v>41618</v>
      </c>
      <c r="B116" s="66">
        <v>41618</v>
      </c>
      <c r="C116" s="67">
        <v>0.56999999999999995</v>
      </c>
      <c r="D116" s="67">
        <v>0.50800000000000001</v>
      </c>
      <c r="E116" s="67">
        <v>0.60299999999999998</v>
      </c>
      <c r="F116" s="68">
        <v>50993.02</v>
      </c>
      <c r="G116" s="66">
        <f t="shared" si="7"/>
        <v>41618</v>
      </c>
      <c r="H116" s="70">
        <f t="shared" si="10"/>
        <v>3.39015516756812E-2</v>
      </c>
      <c r="I116" s="70">
        <f t="shared" si="10"/>
        <v>0</v>
      </c>
      <c r="J116" s="70">
        <f t="shared" si="10"/>
        <v>-1.6447739209026018E-2</v>
      </c>
      <c r="K116" s="70">
        <f t="shared" si="8"/>
        <v>-3.3743708504894174E-3</v>
      </c>
      <c r="L116" s="69"/>
      <c r="M116" s="66">
        <f t="shared" si="9"/>
        <v>41618</v>
      </c>
      <c r="N116" s="81">
        <f t="shared" si="13"/>
        <v>143.9393939393938</v>
      </c>
      <c r="O116" s="81">
        <f t="shared" si="13"/>
        <v>120.37914691943141</v>
      </c>
      <c r="P116" s="81">
        <f t="shared" si="13"/>
        <v>106.53710247349814</v>
      </c>
      <c r="Q116" s="81">
        <f t="shared" si="13"/>
        <v>107.96837321687511</v>
      </c>
    </row>
    <row r="117" spans="1:17">
      <c r="A117" s="66">
        <v>41619</v>
      </c>
      <c r="B117" s="66">
        <v>41619</v>
      </c>
      <c r="C117" s="67">
        <v>0.56999999999999995</v>
      </c>
      <c r="D117" s="67">
        <v>0.499</v>
      </c>
      <c r="E117" s="67">
        <v>0.622</v>
      </c>
      <c r="F117" s="68">
        <v>50067.99</v>
      </c>
      <c r="G117" s="66">
        <f t="shared" si="7"/>
        <v>41619</v>
      </c>
      <c r="H117" s="70">
        <f t="shared" si="10"/>
        <v>0</v>
      </c>
      <c r="I117" s="70">
        <f t="shared" si="10"/>
        <v>-1.7875351826963193E-2</v>
      </c>
      <c r="J117" s="70">
        <f t="shared" si="10"/>
        <v>3.102289601199397E-2</v>
      </c>
      <c r="K117" s="70">
        <f t="shared" si="8"/>
        <v>-1.8306878875279899E-2</v>
      </c>
      <c r="L117" s="69"/>
      <c r="M117" s="66">
        <f t="shared" si="9"/>
        <v>41619</v>
      </c>
      <c r="N117" s="81">
        <f t="shared" ref="N117:Q132" si="14">C117/C116*N116</f>
        <v>143.9393939393938</v>
      </c>
      <c r="O117" s="81">
        <f t="shared" si="14"/>
        <v>118.24644549763046</v>
      </c>
      <c r="P117" s="81">
        <f t="shared" si="14"/>
        <v>109.89399293286209</v>
      </c>
      <c r="Q117" s="81">
        <f t="shared" si="14"/>
        <v>106.00979174284581</v>
      </c>
    </row>
    <row r="118" spans="1:17">
      <c r="A118" s="66">
        <v>41620</v>
      </c>
      <c r="B118" s="66">
        <v>41620</v>
      </c>
      <c r="C118" s="67">
        <v>0.55100000000000005</v>
      </c>
      <c r="D118" s="67">
        <v>0.499</v>
      </c>
      <c r="E118" s="67">
        <v>0.64</v>
      </c>
      <c r="F118" s="68">
        <v>50121.61</v>
      </c>
      <c r="G118" s="66">
        <f t="shared" si="7"/>
        <v>41620</v>
      </c>
      <c r="H118" s="70">
        <f t="shared" si="10"/>
        <v>-3.3901551675681228E-2</v>
      </c>
      <c r="I118" s="70">
        <f t="shared" si="10"/>
        <v>0</v>
      </c>
      <c r="J118" s="70">
        <f t="shared" si="10"/>
        <v>2.8528083614538031E-2</v>
      </c>
      <c r="K118" s="70">
        <f t="shared" si="8"/>
        <v>1.0703706795783781E-3</v>
      </c>
      <c r="L118" s="69"/>
      <c r="M118" s="66">
        <f t="shared" si="9"/>
        <v>41620</v>
      </c>
      <c r="N118" s="81">
        <f t="shared" si="14"/>
        <v>139.14141414141403</v>
      </c>
      <c r="O118" s="81">
        <f t="shared" si="14"/>
        <v>118.24644549763046</v>
      </c>
      <c r="P118" s="81">
        <f t="shared" si="14"/>
        <v>113.07420494699636</v>
      </c>
      <c r="Q118" s="81">
        <f t="shared" si="14"/>
        <v>106.12332226470721</v>
      </c>
    </row>
    <row r="119" spans="1:17">
      <c r="A119" s="66">
        <v>41621</v>
      </c>
      <c r="B119" s="66">
        <v>41621</v>
      </c>
      <c r="C119" s="71">
        <v>0.56999999999999995</v>
      </c>
      <c r="D119" s="67">
        <v>0.499</v>
      </c>
      <c r="E119" s="67">
        <v>0.622</v>
      </c>
      <c r="F119" s="68">
        <v>50051.18</v>
      </c>
      <c r="G119" s="66">
        <f t="shared" si="7"/>
        <v>41621</v>
      </c>
      <c r="H119" s="70">
        <f t="shared" si="10"/>
        <v>3.39015516756812E-2</v>
      </c>
      <c r="I119" s="70">
        <f t="shared" si="10"/>
        <v>0</v>
      </c>
      <c r="J119" s="70">
        <f t="shared" si="10"/>
        <v>-2.8528083614538166E-2</v>
      </c>
      <c r="K119" s="70">
        <f t="shared" si="8"/>
        <v>-1.4061705100795185E-3</v>
      </c>
      <c r="L119" s="69"/>
      <c r="M119" s="66">
        <f t="shared" si="9"/>
        <v>41621</v>
      </c>
      <c r="N119" s="81">
        <f t="shared" si="14"/>
        <v>143.9393939393938</v>
      </c>
      <c r="O119" s="81">
        <f t="shared" si="14"/>
        <v>118.24644549763046</v>
      </c>
      <c r="P119" s="81">
        <f t="shared" si="14"/>
        <v>109.89399293286208</v>
      </c>
      <c r="Q119" s="81">
        <f t="shared" si="14"/>
        <v>105.97419964899109</v>
      </c>
    </row>
    <row r="120" spans="1:17">
      <c r="A120" s="66">
        <v>41624</v>
      </c>
      <c r="B120" s="66">
        <v>41624</v>
      </c>
      <c r="C120" s="71">
        <v>0.55100000000000005</v>
      </c>
      <c r="D120" s="67">
        <v>0.499</v>
      </c>
      <c r="E120" s="67">
        <v>0.622</v>
      </c>
      <c r="F120" s="68">
        <v>50279.61</v>
      </c>
      <c r="G120" s="66">
        <f t="shared" si="7"/>
        <v>41624</v>
      </c>
      <c r="H120" s="70">
        <f t="shared" si="10"/>
        <v>-3.3901551675681228E-2</v>
      </c>
      <c r="I120" s="70">
        <f t="shared" si="10"/>
        <v>0</v>
      </c>
      <c r="J120" s="70">
        <f t="shared" si="10"/>
        <v>0</v>
      </c>
      <c r="K120" s="70">
        <f t="shared" si="8"/>
        <v>4.5535452218320796E-3</v>
      </c>
      <c r="L120" s="69"/>
      <c r="M120" s="66">
        <f t="shared" si="9"/>
        <v>41624</v>
      </c>
      <c r="N120" s="81">
        <f t="shared" si="14"/>
        <v>139.14141414141403</v>
      </c>
      <c r="O120" s="81">
        <f t="shared" si="14"/>
        <v>118.24644549763046</v>
      </c>
      <c r="P120" s="81">
        <f t="shared" si="14"/>
        <v>109.89399293286208</v>
      </c>
      <c r="Q120" s="81">
        <f t="shared" si="14"/>
        <v>106.45785830450768</v>
      </c>
    </row>
    <row r="121" spans="1:17">
      <c r="A121" s="66">
        <v>41625</v>
      </c>
      <c r="B121" s="66">
        <v>41625</v>
      </c>
      <c r="C121" s="67">
        <v>0.56000000000000005</v>
      </c>
      <c r="D121" s="67">
        <v>0.50800000000000001</v>
      </c>
      <c r="E121" s="67">
        <v>0.61299999999999999</v>
      </c>
      <c r="F121" s="68">
        <v>50090.35</v>
      </c>
      <c r="G121" s="66">
        <f t="shared" si="7"/>
        <v>41625</v>
      </c>
      <c r="H121" s="70">
        <f t="shared" si="10"/>
        <v>1.6201974576280406E-2</v>
      </c>
      <c r="I121" s="70">
        <f t="shared" si="10"/>
        <v>1.7875351826963135E-2</v>
      </c>
      <c r="J121" s="70">
        <f t="shared" si="10"/>
        <v>-1.457515680296801E-2</v>
      </c>
      <c r="K121" s="70">
        <f t="shared" si="8"/>
        <v>-3.7712523609658498E-3</v>
      </c>
      <c r="L121" s="69"/>
      <c r="M121" s="66">
        <f t="shared" si="9"/>
        <v>41625</v>
      </c>
      <c r="N121" s="81">
        <f t="shared" si="14"/>
        <v>141.41414141414131</v>
      </c>
      <c r="O121" s="81">
        <f t="shared" si="14"/>
        <v>120.37914691943141</v>
      </c>
      <c r="P121" s="81">
        <f t="shared" si="14"/>
        <v>108.30388692579494</v>
      </c>
      <c r="Q121" s="81">
        <f t="shared" si="14"/>
        <v>106.05713494442769</v>
      </c>
    </row>
    <row r="122" spans="1:17">
      <c r="A122" s="66">
        <v>41626</v>
      </c>
      <c r="B122" s="66">
        <v>41626</v>
      </c>
      <c r="C122" s="67">
        <v>0.56999999999999995</v>
      </c>
      <c r="D122" s="67">
        <v>0.50800000000000001</v>
      </c>
      <c r="E122" s="67">
        <v>0.622</v>
      </c>
      <c r="F122" s="68">
        <v>50563.43</v>
      </c>
      <c r="G122" s="66">
        <f t="shared" si="7"/>
        <v>41626</v>
      </c>
      <c r="H122" s="70">
        <f t="shared" si="10"/>
        <v>1.7699577099400638E-2</v>
      </c>
      <c r="I122" s="70">
        <f t="shared" si="10"/>
        <v>0</v>
      </c>
      <c r="J122" s="70">
        <f t="shared" si="10"/>
        <v>1.4575156802968087E-2</v>
      </c>
      <c r="K122" s="70">
        <f t="shared" si="8"/>
        <v>9.4002129596811035E-3</v>
      </c>
      <c r="L122" s="69"/>
      <c r="M122" s="66">
        <f t="shared" si="9"/>
        <v>41626</v>
      </c>
      <c r="N122" s="81">
        <f t="shared" si="14"/>
        <v>143.9393939393938</v>
      </c>
      <c r="O122" s="81">
        <f t="shared" si="14"/>
        <v>120.37914691943141</v>
      </c>
      <c r="P122" s="81">
        <f t="shared" si="14"/>
        <v>109.89399293286208</v>
      </c>
      <c r="Q122" s="81">
        <f t="shared" si="14"/>
        <v>107.05879513245812</v>
      </c>
    </row>
    <row r="123" spans="1:17">
      <c r="A123" s="66">
        <v>41627</v>
      </c>
      <c r="B123" s="66">
        <v>41627</v>
      </c>
      <c r="C123" s="67">
        <v>0.56000000000000005</v>
      </c>
      <c r="D123" s="67">
        <v>0.51800000000000002</v>
      </c>
      <c r="E123" s="67">
        <v>0.59399999999999997</v>
      </c>
      <c r="F123" s="68">
        <v>51633.43</v>
      </c>
      <c r="G123" s="66">
        <f t="shared" si="7"/>
        <v>41627</v>
      </c>
      <c r="H123" s="70">
        <f t="shared" si="10"/>
        <v>-1.7699577099400749E-2</v>
      </c>
      <c r="I123" s="70">
        <f t="shared" si="10"/>
        <v>1.9493794681001132E-2</v>
      </c>
      <c r="J123" s="70">
        <f t="shared" si="10"/>
        <v>-4.6060773376534511E-2</v>
      </c>
      <c r="K123" s="70">
        <f t="shared" si="8"/>
        <v>2.0940743201124216E-2</v>
      </c>
      <c r="L123" s="69"/>
      <c r="M123" s="66">
        <f t="shared" si="9"/>
        <v>41627</v>
      </c>
      <c r="N123" s="81">
        <f t="shared" si="14"/>
        <v>141.41414141414128</v>
      </c>
      <c r="O123" s="81">
        <f t="shared" si="14"/>
        <v>122.74881516587691</v>
      </c>
      <c r="P123" s="81">
        <f t="shared" si="14"/>
        <v>104.94699646643099</v>
      </c>
      <c r="Q123" s="81">
        <f t="shared" si="14"/>
        <v>109.32432400958791</v>
      </c>
    </row>
    <row r="124" spans="1:17">
      <c r="A124" s="66">
        <v>41628</v>
      </c>
      <c r="B124" s="66">
        <v>41628</v>
      </c>
      <c r="C124" s="71">
        <v>0.54100000000000004</v>
      </c>
      <c r="D124" s="67">
        <v>0.50800000000000001</v>
      </c>
      <c r="E124" s="67">
        <v>0.61299999999999999</v>
      </c>
      <c r="F124" s="68">
        <v>51185.74</v>
      </c>
      <c r="G124" s="66">
        <f t="shared" si="7"/>
        <v>41628</v>
      </c>
      <c r="H124" s="70">
        <f t="shared" si="10"/>
        <v>-3.4517504882713386E-2</v>
      </c>
      <c r="I124" s="70">
        <f t="shared" si="10"/>
        <v>-1.9493794681001129E-2</v>
      </c>
      <c r="J124" s="70">
        <f t="shared" si="10"/>
        <v>3.1485616573566494E-2</v>
      </c>
      <c r="K124" s="70">
        <f t="shared" si="8"/>
        <v>-8.7083533007756096E-3</v>
      </c>
      <c r="L124" s="69"/>
      <c r="M124" s="66">
        <f t="shared" si="9"/>
        <v>41628</v>
      </c>
      <c r="N124" s="81">
        <f t="shared" si="14"/>
        <v>136.61616161616149</v>
      </c>
      <c r="O124" s="81">
        <f t="shared" si="14"/>
        <v>120.37914691943141</v>
      </c>
      <c r="P124" s="81">
        <f t="shared" si="14"/>
        <v>108.30388692579494</v>
      </c>
      <c r="Q124" s="81">
        <f t="shared" si="14"/>
        <v>108.3764224927634</v>
      </c>
    </row>
    <row r="125" spans="1:17">
      <c r="A125" s="66">
        <v>41631</v>
      </c>
      <c r="B125" s="66">
        <v>41631</v>
      </c>
      <c r="C125" s="67">
        <v>0.51200000000000001</v>
      </c>
      <c r="D125" s="67">
        <v>0.50800000000000001</v>
      </c>
      <c r="E125" s="67">
        <v>0.63100000000000001</v>
      </c>
      <c r="F125" s="68">
        <v>51356.1</v>
      </c>
      <c r="G125" s="66">
        <f t="shared" si="7"/>
        <v>41631</v>
      </c>
      <c r="H125" s="70">
        <f t="shared" si="10"/>
        <v>-5.5094653806973752E-2</v>
      </c>
      <c r="I125" s="70">
        <f t="shared" si="10"/>
        <v>0</v>
      </c>
      <c r="J125" s="70">
        <f t="shared" si="10"/>
        <v>2.8940926605001843E-2</v>
      </c>
      <c r="K125" s="70">
        <f t="shared" si="8"/>
        <v>3.3227442913079629E-3</v>
      </c>
      <c r="L125" s="69"/>
      <c r="M125" s="66">
        <f t="shared" si="9"/>
        <v>41631</v>
      </c>
      <c r="N125" s="81">
        <f t="shared" si="14"/>
        <v>129.29292929292916</v>
      </c>
      <c r="O125" s="81">
        <f t="shared" si="14"/>
        <v>120.37914691943141</v>
      </c>
      <c r="P125" s="81">
        <f t="shared" si="14"/>
        <v>111.48409893992923</v>
      </c>
      <c r="Q125" s="81">
        <f t="shared" si="14"/>
        <v>108.73712856706977</v>
      </c>
    </row>
    <row r="126" spans="1:17">
      <c r="A126" s="66">
        <v>41634</v>
      </c>
      <c r="B126" s="66">
        <v>41634</v>
      </c>
      <c r="C126" s="67">
        <v>0.55100000000000005</v>
      </c>
      <c r="D126" s="67">
        <v>0.499</v>
      </c>
      <c r="E126" s="67">
        <v>0.622</v>
      </c>
      <c r="F126" s="68">
        <v>51221.01</v>
      </c>
      <c r="G126" s="66">
        <f t="shared" si="7"/>
        <v>41634</v>
      </c>
      <c r="H126" s="70">
        <f t="shared" si="10"/>
        <v>7.3410184113406704E-2</v>
      </c>
      <c r="I126" s="70">
        <f t="shared" si="10"/>
        <v>-1.7875351826963193E-2</v>
      </c>
      <c r="J126" s="70">
        <f t="shared" si="10"/>
        <v>-1.4365769802033752E-2</v>
      </c>
      <c r="K126" s="70">
        <f t="shared" si="8"/>
        <v>-2.6339224823048852E-3</v>
      </c>
      <c r="L126" s="69"/>
      <c r="M126" s="66">
        <f t="shared" si="9"/>
        <v>41634</v>
      </c>
      <c r="N126" s="81">
        <f t="shared" si="14"/>
        <v>139.141414141414</v>
      </c>
      <c r="O126" s="81">
        <f t="shared" si="14"/>
        <v>118.24644549763046</v>
      </c>
      <c r="P126" s="81">
        <f t="shared" si="14"/>
        <v>109.89399293286209</v>
      </c>
      <c r="Q126" s="81">
        <f t="shared" si="14"/>
        <v>108.45110025304038</v>
      </c>
    </row>
    <row r="127" spans="1:17">
      <c r="A127" s="66">
        <v>41635</v>
      </c>
      <c r="B127" s="66">
        <v>41635</v>
      </c>
      <c r="C127" s="67">
        <v>0.48299999999999998</v>
      </c>
      <c r="D127" s="67">
        <v>0.50800000000000001</v>
      </c>
      <c r="E127" s="67">
        <v>0.63100000000000001</v>
      </c>
      <c r="F127" s="68">
        <v>51266.559999999998</v>
      </c>
      <c r="G127" s="66">
        <f t="shared" si="7"/>
        <v>41635</v>
      </c>
      <c r="H127" s="70">
        <f t="shared" si="10"/>
        <v>-0.13171815550034191</v>
      </c>
      <c r="I127" s="70">
        <f t="shared" si="10"/>
        <v>1.7875351826963135E-2</v>
      </c>
      <c r="J127" s="70">
        <f t="shared" si="10"/>
        <v>1.4365769802033681E-2</v>
      </c>
      <c r="K127" s="70">
        <f t="shared" si="8"/>
        <v>8.8888834029661533E-4</v>
      </c>
      <c r="L127" s="69"/>
      <c r="M127" s="66">
        <f t="shared" si="9"/>
        <v>41635</v>
      </c>
      <c r="N127" s="81">
        <f t="shared" si="14"/>
        <v>121.96969696969684</v>
      </c>
      <c r="O127" s="81">
        <f t="shared" si="14"/>
        <v>120.37914691943141</v>
      </c>
      <c r="P127" s="81">
        <f t="shared" si="14"/>
        <v>111.48409893992923</v>
      </c>
      <c r="Q127" s="81">
        <f t="shared" si="14"/>
        <v>108.54754402907145</v>
      </c>
    </row>
    <row r="128" spans="1:17">
      <c r="A128" s="66">
        <v>41638</v>
      </c>
      <c r="B128" s="66">
        <v>41638</v>
      </c>
      <c r="C128" s="67">
        <v>0.55100000000000005</v>
      </c>
      <c r="D128" s="67">
        <v>0.50800000000000001</v>
      </c>
      <c r="E128" s="67">
        <v>0.622</v>
      </c>
      <c r="F128" s="68">
        <v>51507.16</v>
      </c>
      <c r="G128" s="66">
        <f t="shared" si="7"/>
        <v>41638</v>
      </c>
      <c r="H128" s="70">
        <f t="shared" si="10"/>
        <v>0.13171815550034191</v>
      </c>
      <c r="I128" s="70">
        <f t="shared" si="10"/>
        <v>0</v>
      </c>
      <c r="J128" s="70">
        <f t="shared" si="10"/>
        <v>-1.4365769802033752E-2</v>
      </c>
      <c r="K128" s="70">
        <f t="shared" si="8"/>
        <v>4.6821393551686897E-3</v>
      </c>
      <c r="L128" s="69"/>
      <c r="M128" s="66">
        <f t="shared" si="9"/>
        <v>41638</v>
      </c>
      <c r="N128" s="81">
        <f t="shared" si="14"/>
        <v>139.141414141414</v>
      </c>
      <c r="O128" s="81">
        <f t="shared" si="14"/>
        <v>120.37914691943141</v>
      </c>
      <c r="P128" s="81">
        <f t="shared" si="14"/>
        <v>109.89399293286209</v>
      </c>
      <c r="Q128" s="81">
        <f t="shared" si="14"/>
        <v>109.05697042891951</v>
      </c>
    </row>
    <row r="129" spans="1:17">
      <c r="A129" s="66">
        <v>41641</v>
      </c>
      <c r="B129" s="66">
        <v>41641</v>
      </c>
      <c r="C129" s="67">
        <v>0.54100000000000004</v>
      </c>
      <c r="D129" s="67">
        <v>0.50800000000000001</v>
      </c>
      <c r="E129" s="67">
        <v>0.61299999999999999</v>
      </c>
      <c r="F129" s="68">
        <v>50341.25</v>
      </c>
      <c r="G129" s="66">
        <f t="shared" si="7"/>
        <v>41641</v>
      </c>
      <c r="H129" s="70">
        <f t="shared" si="10"/>
        <v>-1.8315530306432948E-2</v>
      </c>
      <c r="I129" s="70">
        <f t="shared" si="10"/>
        <v>0</v>
      </c>
      <c r="J129" s="70">
        <f t="shared" si="10"/>
        <v>-1.457515680296801E-2</v>
      </c>
      <c r="K129" s="70">
        <f t="shared" si="8"/>
        <v>-2.2896006585176598E-2</v>
      </c>
      <c r="L129" s="69"/>
      <c r="M129" s="66">
        <f t="shared" si="9"/>
        <v>41641</v>
      </c>
      <c r="N129" s="81">
        <f t="shared" si="14"/>
        <v>136.61616161616149</v>
      </c>
      <c r="O129" s="81">
        <f t="shared" si="14"/>
        <v>120.37914691943141</v>
      </c>
      <c r="P129" s="81">
        <f t="shared" si="14"/>
        <v>108.30388692579496</v>
      </c>
      <c r="Q129" s="81">
        <f t="shared" si="14"/>
        <v>106.58836970636401</v>
      </c>
    </row>
    <row r="130" spans="1:17">
      <c r="A130" s="66">
        <v>41642</v>
      </c>
      <c r="B130" s="66">
        <v>41642</v>
      </c>
      <c r="C130" s="67">
        <v>0.56000000000000005</v>
      </c>
      <c r="D130" s="67">
        <v>0.50800000000000001</v>
      </c>
      <c r="E130" s="67">
        <v>0.60299999999999998</v>
      </c>
      <c r="F130" s="68">
        <v>50981.09</v>
      </c>
      <c r="G130" s="66">
        <f t="shared" si="7"/>
        <v>41642</v>
      </c>
      <c r="H130" s="70">
        <f t="shared" si="10"/>
        <v>3.4517504882713393E-2</v>
      </c>
      <c r="I130" s="70">
        <f t="shared" si="10"/>
        <v>0</v>
      </c>
      <c r="J130" s="70">
        <f t="shared" si="10"/>
        <v>-1.6447739209026018E-2</v>
      </c>
      <c r="K130" s="70">
        <f t="shared" si="8"/>
        <v>1.2629959106025651E-2</v>
      </c>
      <c r="L130" s="69"/>
      <c r="M130" s="66">
        <f t="shared" si="9"/>
        <v>41642</v>
      </c>
      <c r="N130" s="81">
        <f t="shared" si="14"/>
        <v>141.41414141414128</v>
      </c>
      <c r="O130" s="81">
        <f t="shared" si="14"/>
        <v>120.37914691943141</v>
      </c>
      <c r="P130" s="81">
        <f t="shared" si="14"/>
        <v>106.53710247349814</v>
      </c>
      <c r="Q130" s="81">
        <f t="shared" si="14"/>
        <v>107.94311362855345</v>
      </c>
    </row>
    <row r="131" spans="1:17">
      <c r="A131" s="66">
        <v>41645</v>
      </c>
      <c r="B131" s="66">
        <v>41645</v>
      </c>
      <c r="C131" s="67">
        <v>0.60899999999999999</v>
      </c>
      <c r="D131" s="67">
        <v>0.50800000000000001</v>
      </c>
      <c r="E131" s="67">
        <v>0.57499999999999996</v>
      </c>
      <c r="F131" s="68">
        <v>50973.62</v>
      </c>
      <c r="G131" s="66">
        <f t="shared" si="7"/>
        <v>41645</v>
      </c>
      <c r="H131" s="70">
        <f t="shared" si="10"/>
        <v>8.3881483980702026E-2</v>
      </c>
      <c r="I131" s="70">
        <f t="shared" si="10"/>
        <v>0</v>
      </c>
      <c r="J131" s="70">
        <f t="shared" si="10"/>
        <v>-4.7547155929835015E-2</v>
      </c>
      <c r="K131" s="70">
        <f t="shared" si="8"/>
        <v>-1.4653565320053012E-4</v>
      </c>
      <c r="L131" s="69"/>
      <c r="M131" s="66">
        <f t="shared" si="9"/>
        <v>41645</v>
      </c>
      <c r="N131" s="81">
        <f t="shared" si="14"/>
        <v>153.78787878787864</v>
      </c>
      <c r="O131" s="81">
        <f t="shared" si="14"/>
        <v>120.37914691943141</v>
      </c>
      <c r="P131" s="81">
        <f t="shared" si="14"/>
        <v>101.59010600706705</v>
      </c>
      <c r="Q131" s="81">
        <f t="shared" si="14"/>
        <v>107.92729727274771</v>
      </c>
    </row>
    <row r="132" spans="1:17">
      <c r="A132" s="66">
        <v>41646</v>
      </c>
      <c r="B132" s="66">
        <v>41646</v>
      </c>
      <c r="C132" s="67">
        <v>0.54100000000000004</v>
      </c>
      <c r="D132" s="67">
        <v>0.499</v>
      </c>
      <c r="E132" s="67">
        <v>0.58499999999999996</v>
      </c>
      <c r="F132" s="68">
        <v>50430.02</v>
      </c>
      <c r="G132" s="66">
        <f t="shared" ref="G132:G195" si="15">A132</f>
        <v>41646</v>
      </c>
      <c r="H132" s="70">
        <f t="shared" si="10"/>
        <v>-0.11839898886341547</v>
      </c>
      <c r="I132" s="70">
        <f t="shared" si="10"/>
        <v>-1.7875351826963193E-2</v>
      </c>
      <c r="J132" s="70">
        <f t="shared" si="10"/>
        <v>1.7241806434506173E-2</v>
      </c>
      <c r="K132" s="70">
        <f t="shared" si="10"/>
        <v>-1.0721611322012405E-2</v>
      </c>
      <c r="L132" s="69"/>
      <c r="M132" s="66">
        <f t="shared" ref="M132:M195" si="16">A132</f>
        <v>41646</v>
      </c>
      <c r="N132" s="81">
        <f t="shared" si="14"/>
        <v>136.61616161616149</v>
      </c>
      <c r="O132" s="81">
        <f t="shared" si="14"/>
        <v>118.24644549763046</v>
      </c>
      <c r="P132" s="81">
        <f t="shared" si="14"/>
        <v>103.35689045936388</v>
      </c>
      <c r="Q132" s="81">
        <f t="shared" si="14"/>
        <v>106.77632391049747</v>
      </c>
    </row>
    <row r="133" spans="1:17">
      <c r="A133" s="66">
        <v>41647</v>
      </c>
      <c r="B133" s="66">
        <v>41647</v>
      </c>
      <c r="C133" s="67">
        <v>0.61799999999999999</v>
      </c>
      <c r="D133" s="67">
        <v>0.499</v>
      </c>
      <c r="E133" s="67">
        <v>0.57499999999999996</v>
      </c>
      <c r="F133" s="68">
        <v>50576.639999999999</v>
      </c>
      <c r="G133" s="66">
        <f t="shared" si="15"/>
        <v>41647</v>
      </c>
      <c r="H133" s="70">
        <f t="shared" ref="H133:K196" si="17">LN(C133/C132)</f>
        <v>0.13306917861120907</v>
      </c>
      <c r="I133" s="70">
        <f t="shared" si="17"/>
        <v>0</v>
      </c>
      <c r="J133" s="70">
        <f t="shared" si="17"/>
        <v>-1.7241806434506103E-2</v>
      </c>
      <c r="K133" s="70">
        <f t="shared" si="17"/>
        <v>2.9031769386579772E-3</v>
      </c>
      <c r="L133" s="69"/>
      <c r="M133" s="66">
        <f t="shared" si="16"/>
        <v>41647</v>
      </c>
      <c r="N133" s="81">
        <f t="shared" ref="N133:Q148" si="18">C133/C132*N132</f>
        <v>156.06060606060589</v>
      </c>
      <c r="O133" s="81">
        <f t="shared" si="18"/>
        <v>118.24644549763046</v>
      </c>
      <c r="P133" s="81">
        <f t="shared" si="18"/>
        <v>101.59010600706706</v>
      </c>
      <c r="Q133" s="81">
        <f t="shared" si="18"/>
        <v>107.08676488616548</v>
      </c>
    </row>
    <row r="134" spans="1:17">
      <c r="A134" s="66">
        <v>41648</v>
      </c>
      <c r="B134" s="66">
        <v>41648</v>
      </c>
      <c r="C134" s="71">
        <v>0.61799999999999999</v>
      </c>
      <c r="D134" s="67">
        <v>0.48899999999999999</v>
      </c>
      <c r="E134" s="67">
        <v>0.59399999999999997</v>
      </c>
      <c r="F134" s="68">
        <v>49321.68</v>
      </c>
      <c r="G134" s="66">
        <f t="shared" si="15"/>
        <v>41648</v>
      </c>
      <c r="H134" s="70">
        <f t="shared" si="17"/>
        <v>0</v>
      </c>
      <c r="I134" s="70">
        <f t="shared" si="17"/>
        <v>-2.0243606276646661E-2</v>
      </c>
      <c r="J134" s="70">
        <f t="shared" si="17"/>
        <v>3.2509278565294432E-2</v>
      </c>
      <c r="K134" s="70">
        <f t="shared" si="17"/>
        <v>-2.5126068640200405E-2</v>
      </c>
      <c r="L134" s="69"/>
      <c r="M134" s="66">
        <f t="shared" si="16"/>
        <v>41648</v>
      </c>
      <c r="N134" s="81">
        <f t="shared" si="18"/>
        <v>156.06060606060589</v>
      </c>
      <c r="O134" s="81">
        <f t="shared" si="18"/>
        <v>115.87677725118496</v>
      </c>
      <c r="P134" s="81">
        <f t="shared" si="18"/>
        <v>104.94699646643102</v>
      </c>
      <c r="Q134" s="81">
        <f t="shared" si="18"/>
        <v>104.42961711079839</v>
      </c>
    </row>
    <row r="135" spans="1:17">
      <c r="A135" s="66">
        <v>41649</v>
      </c>
      <c r="B135" s="66">
        <v>41649</v>
      </c>
      <c r="C135" s="67">
        <v>0.58899999999999997</v>
      </c>
      <c r="D135" s="67">
        <v>0.47899999999999998</v>
      </c>
      <c r="E135" s="67">
        <v>0.57499999999999996</v>
      </c>
      <c r="F135" s="68">
        <v>49696.45</v>
      </c>
      <c r="G135" s="66">
        <f t="shared" si="15"/>
        <v>41649</v>
      </c>
      <c r="H135" s="70">
        <f t="shared" si="17"/>
        <v>-4.8062273806104124E-2</v>
      </c>
      <c r="I135" s="70">
        <f t="shared" si="17"/>
        <v>-2.0661892063956858E-2</v>
      </c>
      <c r="J135" s="70">
        <f t="shared" si="17"/>
        <v>-3.2509278565294508E-2</v>
      </c>
      <c r="K135" s="70">
        <f t="shared" si="17"/>
        <v>7.5697610036680229E-3</v>
      </c>
      <c r="L135" s="69"/>
      <c r="M135" s="66">
        <f t="shared" si="16"/>
        <v>41649</v>
      </c>
      <c r="N135" s="81">
        <f t="shared" si="18"/>
        <v>148.73737373737356</v>
      </c>
      <c r="O135" s="81">
        <f t="shared" si="18"/>
        <v>113.50710900473945</v>
      </c>
      <c r="P135" s="81">
        <f t="shared" si="18"/>
        <v>101.59010600706706</v>
      </c>
      <c r="Q135" s="81">
        <f t="shared" si="18"/>
        <v>105.22312389330486</v>
      </c>
    </row>
    <row r="136" spans="1:17">
      <c r="A136" s="66">
        <v>41652</v>
      </c>
      <c r="B136" s="66">
        <v>41652</v>
      </c>
      <c r="C136" s="67">
        <v>0.61799999999999999</v>
      </c>
      <c r="D136" s="67">
        <v>0.48899999999999999</v>
      </c>
      <c r="E136" s="67">
        <v>0.57499999999999996</v>
      </c>
      <c r="F136" s="68">
        <v>49426.9</v>
      </c>
      <c r="G136" s="66">
        <f t="shared" si="15"/>
        <v>41652</v>
      </c>
      <c r="H136" s="70">
        <f t="shared" si="17"/>
        <v>4.8062273806104193E-2</v>
      </c>
      <c r="I136" s="70">
        <f t="shared" si="17"/>
        <v>2.0661892063956844E-2</v>
      </c>
      <c r="J136" s="70">
        <f t="shared" si="17"/>
        <v>0</v>
      </c>
      <c r="K136" s="70">
        <f t="shared" si="17"/>
        <v>-5.4386915782442423E-3</v>
      </c>
      <c r="L136" s="69"/>
      <c r="M136" s="66">
        <f t="shared" si="16"/>
        <v>41652</v>
      </c>
      <c r="N136" s="81">
        <f t="shared" si="18"/>
        <v>156.06060606060589</v>
      </c>
      <c r="O136" s="81">
        <f t="shared" si="18"/>
        <v>115.87677725118495</v>
      </c>
      <c r="P136" s="81">
        <f t="shared" si="18"/>
        <v>101.59010600706706</v>
      </c>
      <c r="Q136" s="81">
        <f t="shared" si="18"/>
        <v>104.65240117477185</v>
      </c>
    </row>
    <row r="137" spans="1:17">
      <c r="A137" s="66">
        <v>41653</v>
      </c>
      <c r="B137" s="66">
        <v>41653</v>
      </c>
      <c r="C137" s="67">
        <v>0.59899999999999998</v>
      </c>
      <c r="D137" s="67">
        <v>0.47899999999999998</v>
      </c>
      <c r="E137" s="67">
        <v>0.56599999999999995</v>
      </c>
      <c r="F137" s="68">
        <v>49703.1</v>
      </c>
      <c r="G137" s="66">
        <f t="shared" si="15"/>
        <v>41653</v>
      </c>
      <c r="H137" s="70">
        <f t="shared" si="17"/>
        <v>-3.1226859342241446E-2</v>
      </c>
      <c r="I137" s="70">
        <f t="shared" si="17"/>
        <v>-2.0661892063956858E-2</v>
      </c>
      <c r="J137" s="70">
        <f t="shared" si="17"/>
        <v>-1.577596259416755E-2</v>
      </c>
      <c r="K137" s="70">
        <f t="shared" si="17"/>
        <v>5.5724950010951234E-3</v>
      </c>
      <c r="L137" s="69"/>
      <c r="M137" s="66">
        <f t="shared" si="16"/>
        <v>41653</v>
      </c>
      <c r="N137" s="81">
        <f t="shared" si="18"/>
        <v>151.2626262626261</v>
      </c>
      <c r="O137" s="81">
        <f t="shared" si="18"/>
        <v>113.50710900473943</v>
      </c>
      <c r="P137" s="81">
        <f t="shared" si="18"/>
        <v>99.999999999999929</v>
      </c>
      <c r="Q137" s="81">
        <f t="shared" si="18"/>
        <v>105.23720404941038</v>
      </c>
    </row>
    <row r="138" spans="1:17">
      <c r="A138" s="66">
        <v>41654</v>
      </c>
      <c r="B138" s="66">
        <v>41654</v>
      </c>
      <c r="C138" s="67">
        <v>0.57999999999999996</v>
      </c>
      <c r="D138" s="67">
        <v>0.48899999999999999</v>
      </c>
      <c r="E138" s="67">
        <v>0.56599999999999995</v>
      </c>
      <c r="F138" s="68">
        <v>50105.37</v>
      </c>
      <c r="G138" s="66">
        <f t="shared" si="15"/>
        <v>41654</v>
      </c>
      <c r="H138" s="70">
        <f t="shared" si="17"/>
        <v>-3.2233494574984312E-2</v>
      </c>
      <c r="I138" s="70">
        <f t="shared" si="17"/>
        <v>2.0661892063956844E-2</v>
      </c>
      <c r="J138" s="70">
        <f t="shared" si="17"/>
        <v>0</v>
      </c>
      <c r="K138" s="70">
        <f t="shared" si="17"/>
        <v>8.0608825727291958E-3</v>
      </c>
      <c r="L138" s="69"/>
      <c r="M138" s="66">
        <f t="shared" si="16"/>
        <v>41654</v>
      </c>
      <c r="N138" s="81">
        <f t="shared" si="18"/>
        <v>146.46464646464631</v>
      </c>
      <c r="O138" s="81">
        <f t="shared" si="18"/>
        <v>115.87677725118493</v>
      </c>
      <c r="P138" s="81">
        <f t="shared" si="18"/>
        <v>99.999999999999929</v>
      </c>
      <c r="Q138" s="81">
        <f t="shared" si="18"/>
        <v>106.08893704137581</v>
      </c>
    </row>
    <row r="139" spans="1:17">
      <c r="A139" s="66">
        <v>41655</v>
      </c>
      <c r="B139" s="66">
        <v>41655</v>
      </c>
      <c r="C139" s="67">
        <v>0.58899999999999997</v>
      </c>
      <c r="D139" s="67">
        <v>0.48899999999999999</v>
      </c>
      <c r="E139" s="67">
        <v>0.56599999999999995</v>
      </c>
      <c r="F139" s="68">
        <v>49696.28</v>
      </c>
      <c r="G139" s="66">
        <f t="shared" si="15"/>
        <v>41655</v>
      </c>
      <c r="H139" s="70">
        <f t="shared" si="17"/>
        <v>1.5398080111121662E-2</v>
      </c>
      <c r="I139" s="70">
        <f t="shared" si="17"/>
        <v>0</v>
      </c>
      <c r="J139" s="70">
        <f t="shared" si="17"/>
        <v>0</v>
      </c>
      <c r="K139" s="70">
        <f t="shared" si="17"/>
        <v>-8.1981067689102741E-3</v>
      </c>
      <c r="L139" s="69"/>
      <c r="M139" s="66">
        <f t="shared" si="16"/>
        <v>41655</v>
      </c>
      <c r="N139" s="81">
        <f t="shared" si="18"/>
        <v>148.73737373737359</v>
      </c>
      <c r="O139" s="81">
        <f t="shared" si="18"/>
        <v>115.87677725118493</v>
      </c>
      <c r="P139" s="81">
        <f t="shared" si="18"/>
        <v>99.999999999999929</v>
      </c>
      <c r="Q139" s="81">
        <f t="shared" si="18"/>
        <v>105.22276394946456</v>
      </c>
    </row>
    <row r="140" spans="1:17">
      <c r="A140" s="66">
        <v>41656</v>
      </c>
      <c r="B140" s="66">
        <v>41656</v>
      </c>
      <c r="C140" s="71">
        <v>0.58899999999999997</v>
      </c>
      <c r="D140" s="67">
        <v>0.47899999999999998</v>
      </c>
      <c r="E140" s="67">
        <v>0.56599999999999995</v>
      </c>
      <c r="F140" s="68">
        <v>49181.86</v>
      </c>
      <c r="G140" s="66">
        <f t="shared" si="15"/>
        <v>41656</v>
      </c>
      <c r="H140" s="70">
        <f t="shared" si="17"/>
        <v>0</v>
      </c>
      <c r="I140" s="70">
        <f t="shared" si="17"/>
        <v>-2.0661892063956858E-2</v>
      </c>
      <c r="J140" s="70">
        <f t="shared" si="17"/>
        <v>0</v>
      </c>
      <c r="K140" s="70">
        <f t="shared" si="17"/>
        <v>-1.040522488166854E-2</v>
      </c>
      <c r="L140" s="69"/>
      <c r="M140" s="66">
        <f t="shared" si="16"/>
        <v>41656</v>
      </c>
      <c r="N140" s="81">
        <f t="shared" si="18"/>
        <v>148.73737373737359</v>
      </c>
      <c r="O140" s="81">
        <f t="shared" si="18"/>
        <v>113.50710900473942</v>
      </c>
      <c r="P140" s="81">
        <f t="shared" si="18"/>
        <v>99.999999999999929</v>
      </c>
      <c r="Q140" s="81">
        <f t="shared" si="18"/>
        <v>104.13357388874205</v>
      </c>
    </row>
    <row r="141" spans="1:17">
      <c r="A141" s="66">
        <v>41659</v>
      </c>
      <c r="B141" s="66">
        <v>41659</v>
      </c>
      <c r="C141" s="67">
        <v>0.57999999999999996</v>
      </c>
      <c r="D141" s="67">
        <v>0.47899999999999998</v>
      </c>
      <c r="E141" s="67">
        <v>0.56599999999999995</v>
      </c>
      <c r="F141" s="68">
        <v>48708.41</v>
      </c>
      <c r="G141" s="66">
        <f t="shared" si="15"/>
        <v>41659</v>
      </c>
      <c r="H141" s="70">
        <f t="shared" si="17"/>
        <v>-1.5398080111121719E-2</v>
      </c>
      <c r="I141" s="70">
        <f t="shared" si="17"/>
        <v>0</v>
      </c>
      <c r="J141" s="70">
        <f t="shared" si="17"/>
        <v>0</v>
      </c>
      <c r="K141" s="70">
        <f t="shared" si="17"/>
        <v>-9.6731512072622469E-3</v>
      </c>
      <c r="L141" s="69"/>
      <c r="M141" s="66">
        <f t="shared" si="16"/>
        <v>41659</v>
      </c>
      <c r="N141" s="81">
        <f t="shared" si="18"/>
        <v>146.46464646464631</v>
      </c>
      <c r="O141" s="81">
        <f t="shared" si="18"/>
        <v>113.50710900473942</v>
      </c>
      <c r="P141" s="81">
        <f t="shared" si="18"/>
        <v>99.999999999999929</v>
      </c>
      <c r="Q141" s="81">
        <f t="shared" si="18"/>
        <v>103.13113029352982</v>
      </c>
    </row>
    <row r="142" spans="1:17">
      <c r="A142" s="66">
        <v>41660</v>
      </c>
      <c r="B142" s="66">
        <v>41660</v>
      </c>
      <c r="C142" s="67">
        <v>0.56999999999999995</v>
      </c>
      <c r="D142" s="67">
        <v>0.47899999999999998</v>
      </c>
      <c r="E142" s="67">
        <v>0.55700000000000005</v>
      </c>
      <c r="F142" s="68">
        <v>48542.07</v>
      </c>
      <c r="G142" s="66">
        <f t="shared" si="15"/>
        <v>41660</v>
      </c>
      <c r="H142" s="70">
        <f t="shared" si="17"/>
        <v>-1.7391742711869222E-2</v>
      </c>
      <c r="I142" s="70">
        <f t="shared" si="17"/>
        <v>0</v>
      </c>
      <c r="J142" s="70">
        <f t="shared" si="17"/>
        <v>-1.6028838275898689E-2</v>
      </c>
      <c r="K142" s="70">
        <f t="shared" si="17"/>
        <v>-3.4208604875403661E-3</v>
      </c>
      <c r="L142" s="69"/>
      <c r="M142" s="66">
        <f t="shared" si="16"/>
        <v>41660</v>
      </c>
      <c r="N142" s="81">
        <f t="shared" si="18"/>
        <v>143.93939393939377</v>
      </c>
      <c r="O142" s="81">
        <f t="shared" si="18"/>
        <v>113.50710900473942</v>
      </c>
      <c r="P142" s="81">
        <f t="shared" si="18"/>
        <v>98.409893992932808</v>
      </c>
      <c r="Q142" s="81">
        <f t="shared" si="18"/>
        <v>102.77893583238797</v>
      </c>
    </row>
    <row r="143" spans="1:17">
      <c r="A143" s="66">
        <v>41661</v>
      </c>
      <c r="B143" s="66">
        <v>41661</v>
      </c>
      <c r="C143" s="67">
        <v>0.56999999999999995</v>
      </c>
      <c r="D143" s="67">
        <v>0.47899999999999998</v>
      </c>
      <c r="E143" s="67">
        <v>0.56599999999999995</v>
      </c>
      <c r="F143" s="68">
        <v>49299.66</v>
      </c>
      <c r="G143" s="66">
        <f t="shared" si="15"/>
        <v>41661</v>
      </c>
      <c r="H143" s="70">
        <f t="shared" si="17"/>
        <v>0</v>
      </c>
      <c r="I143" s="70">
        <f t="shared" si="17"/>
        <v>0</v>
      </c>
      <c r="J143" s="70">
        <f t="shared" si="17"/>
        <v>1.6028838275898776E-2</v>
      </c>
      <c r="K143" s="70">
        <f t="shared" si="17"/>
        <v>1.5486339842927742E-2</v>
      </c>
      <c r="L143" s="69"/>
      <c r="M143" s="66">
        <f t="shared" si="16"/>
        <v>41661</v>
      </c>
      <c r="N143" s="81">
        <f t="shared" si="18"/>
        <v>143.93939393939377</v>
      </c>
      <c r="O143" s="81">
        <f t="shared" si="18"/>
        <v>113.50710900473942</v>
      </c>
      <c r="P143" s="81">
        <f t="shared" si="18"/>
        <v>99.999999999999929</v>
      </c>
      <c r="Q143" s="81">
        <f t="shared" si="18"/>
        <v>104.38299379689708</v>
      </c>
    </row>
    <row r="144" spans="1:17">
      <c r="A144" s="66">
        <v>41662</v>
      </c>
      <c r="B144" s="66">
        <v>41662</v>
      </c>
      <c r="C144" s="67">
        <v>0.57999999999999996</v>
      </c>
      <c r="D144" s="67">
        <v>0.47</v>
      </c>
      <c r="E144" s="67">
        <v>0.56599999999999995</v>
      </c>
      <c r="F144" s="68">
        <v>48320.639999999999</v>
      </c>
      <c r="G144" s="66">
        <f t="shared" si="15"/>
        <v>41662</v>
      </c>
      <c r="H144" s="70">
        <f t="shared" si="17"/>
        <v>1.7391742711869239E-2</v>
      </c>
      <c r="I144" s="70">
        <f t="shared" si="17"/>
        <v>-1.8967902706811039E-2</v>
      </c>
      <c r="J144" s="70">
        <f t="shared" si="17"/>
        <v>0</v>
      </c>
      <c r="K144" s="70">
        <f t="shared" si="17"/>
        <v>-2.0058385901181659E-2</v>
      </c>
      <c r="L144" s="69"/>
      <c r="M144" s="66">
        <f t="shared" si="16"/>
        <v>41662</v>
      </c>
      <c r="N144" s="81">
        <f t="shared" si="18"/>
        <v>146.46464646464631</v>
      </c>
      <c r="O144" s="81">
        <f t="shared" si="18"/>
        <v>111.37440758293846</v>
      </c>
      <c r="P144" s="81">
        <f t="shared" si="18"/>
        <v>99.999999999999929</v>
      </c>
      <c r="Q144" s="81">
        <f t="shared" si="18"/>
        <v>102.31009839382455</v>
      </c>
    </row>
    <row r="145" spans="1:17">
      <c r="A145" s="66">
        <v>41663</v>
      </c>
      <c r="B145" s="66">
        <v>41663</v>
      </c>
      <c r="C145" s="67">
        <v>0.59899999999999998</v>
      </c>
      <c r="D145" s="67">
        <v>0.47899999999999998</v>
      </c>
      <c r="E145" s="67">
        <v>0.56599999999999995</v>
      </c>
      <c r="F145" s="68">
        <v>47787.38</v>
      </c>
      <c r="G145" s="66">
        <f t="shared" si="15"/>
        <v>41663</v>
      </c>
      <c r="H145" s="70">
        <f t="shared" si="17"/>
        <v>3.2233494574984443E-2</v>
      </c>
      <c r="I145" s="70">
        <f t="shared" si="17"/>
        <v>1.8967902706811045E-2</v>
      </c>
      <c r="J145" s="70">
        <f t="shared" si="17"/>
        <v>0</v>
      </c>
      <c r="K145" s="70">
        <f t="shared" si="17"/>
        <v>-1.1097210669503052E-2</v>
      </c>
      <c r="L145" s="69"/>
      <c r="M145" s="66">
        <f t="shared" si="16"/>
        <v>41663</v>
      </c>
      <c r="N145" s="81">
        <f t="shared" si="18"/>
        <v>151.26262626262613</v>
      </c>
      <c r="O145" s="81">
        <f t="shared" si="18"/>
        <v>113.50710900473942</v>
      </c>
      <c r="P145" s="81">
        <f t="shared" si="18"/>
        <v>99.999999999999929</v>
      </c>
      <c r="Q145" s="81">
        <f t="shared" si="18"/>
        <v>101.18101808633087</v>
      </c>
    </row>
    <row r="146" spans="1:17">
      <c r="A146" s="66">
        <v>41666</v>
      </c>
      <c r="B146" s="66">
        <v>41666</v>
      </c>
      <c r="C146" s="67">
        <v>0.57999999999999996</v>
      </c>
      <c r="D146" s="67">
        <v>0.47</v>
      </c>
      <c r="E146" s="67">
        <v>0.58499999999999996</v>
      </c>
      <c r="F146" s="68">
        <v>47701.05</v>
      </c>
      <c r="G146" s="66">
        <f t="shared" si="15"/>
        <v>41666</v>
      </c>
      <c r="H146" s="70">
        <f t="shared" si="17"/>
        <v>-3.2233494574984312E-2</v>
      </c>
      <c r="I146" s="70">
        <f t="shared" si="17"/>
        <v>-1.8967902706811039E-2</v>
      </c>
      <c r="J146" s="70">
        <f t="shared" si="17"/>
        <v>3.3017769028673573E-2</v>
      </c>
      <c r="K146" s="70">
        <f t="shared" si="17"/>
        <v>-1.8081776718157183E-3</v>
      </c>
      <c r="L146" s="69"/>
      <c r="M146" s="66">
        <f t="shared" si="16"/>
        <v>41666</v>
      </c>
      <c r="N146" s="81">
        <f t="shared" si="18"/>
        <v>146.46464646464634</v>
      </c>
      <c r="O146" s="81">
        <f t="shared" si="18"/>
        <v>111.37440758293846</v>
      </c>
      <c r="P146" s="81">
        <f t="shared" si="18"/>
        <v>103.35689045936388</v>
      </c>
      <c r="Q146" s="81">
        <f t="shared" si="18"/>
        <v>100.99823013496395</v>
      </c>
    </row>
    <row r="147" spans="1:17">
      <c r="A147" s="66">
        <v>41667</v>
      </c>
      <c r="B147" s="66">
        <v>41667</v>
      </c>
      <c r="C147" s="71">
        <v>0.58899999999999997</v>
      </c>
      <c r="D147" s="67">
        <v>0.47899999999999998</v>
      </c>
      <c r="E147" s="67">
        <v>0.58499999999999996</v>
      </c>
      <c r="F147" s="68">
        <v>47840.93</v>
      </c>
      <c r="G147" s="66">
        <f t="shared" si="15"/>
        <v>41667</v>
      </c>
      <c r="H147" s="70">
        <f t="shared" si="17"/>
        <v>1.5398080111121662E-2</v>
      </c>
      <c r="I147" s="70">
        <f t="shared" si="17"/>
        <v>1.8967902706811045E-2</v>
      </c>
      <c r="J147" s="70">
        <f t="shared" si="17"/>
        <v>0</v>
      </c>
      <c r="K147" s="70">
        <f t="shared" si="17"/>
        <v>2.9281390221183455E-3</v>
      </c>
      <c r="L147" s="69"/>
      <c r="M147" s="66">
        <f t="shared" si="16"/>
        <v>41667</v>
      </c>
      <c r="N147" s="81">
        <f t="shared" si="18"/>
        <v>148.73737373737362</v>
      </c>
      <c r="O147" s="81">
        <f t="shared" si="18"/>
        <v>113.50710900473942</v>
      </c>
      <c r="P147" s="81">
        <f t="shared" si="18"/>
        <v>103.35689045936388</v>
      </c>
      <c r="Q147" s="81">
        <f t="shared" si="18"/>
        <v>101.29440039602275</v>
      </c>
    </row>
    <row r="148" spans="1:17">
      <c r="A148" s="66">
        <v>41668</v>
      </c>
      <c r="B148" s="66">
        <v>41668</v>
      </c>
      <c r="C148" s="67">
        <v>0.57999999999999996</v>
      </c>
      <c r="D148" s="67">
        <v>0.47899999999999998</v>
      </c>
      <c r="E148" s="67">
        <v>0.58499999999999996</v>
      </c>
      <c r="F148" s="68">
        <v>47556.78</v>
      </c>
      <c r="G148" s="66">
        <f t="shared" si="15"/>
        <v>41668</v>
      </c>
      <c r="H148" s="70">
        <f t="shared" si="17"/>
        <v>-1.5398080111121719E-2</v>
      </c>
      <c r="I148" s="70">
        <f t="shared" si="17"/>
        <v>0</v>
      </c>
      <c r="J148" s="70">
        <f t="shared" si="17"/>
        <v>0</v>
      </c>
      <c r="K148" s="70">
        <f t="shared" si="17"/>
        <v>-5.9571836750936073E-3</v>
      </c>
      <c r="L148" s="69"/>
      <c r="M148" s="66">
        <f t="shared" si="16"/>
        <v>41668</v>
      </c>
      <c r="N148" s="81">
        <f t="shared" si="18"/>
        <v>146.46464646464634</v>
      </c>
      <c r="O148" s="81">
        <f t="shared" si="18"/>
        <v>113.50710900473942</v>
      </c>
      <c r="P148" s="81">
        <f t="shared" si="18"/>
        <v>103.35689045936388</v>
      </c>
      <c r="Q148" s="81">
        <f t="shared" si="18"/>
        <v>100.6927648535588</v>
      </c>
    </row>
    <row r="149" spans="1:17">
      <c r="A149" s="66">
        <v>41669</v>
      </c>
      <c r="B149" s="66">
        <v>41669</v>
      </c>
      <c r="C149" s="71">
        <v>0.53100000000000003</v>
      </c>
      <c r="D149" s="67">
        <v>0.47</v>
      </c>
      <c r="E149" s="67">
        <v>0.55700000000000005</v>
      </c>
      <c r="F149" s="68">
        <v>47244.26</v>
      </c>
      <c r="G149" s="66">
        <f t="shared" si="15"/>
        <v>41669</v>
      </c>
      <c r="H149" s="70">
        <f t="shared" si="17"/>
        <v>-8.8266082298526075E-2</v>
      </c>
      <c r="I149" s="70">
        <f t="shared" si="17"/>
        <v>-1.8967902706811039E-2</v>
      </c>
      <c r="J149" s="70">
        <f t="shared" si="17"/>
        <v>-4.904660730457229E-2</v>
      </c>
      <c r="K149" s="70">
        <f t="shared" si="17"/>
        <v>-6.5932004988658753E-3</v>
      </c>
      <c r="L149" s="69"/>
      <c r="M149" s="66">
        <f t="shared" si="16"/>
        <v>41669</v>
      </c>
      <c r="N149" s="81">
        <f t="shared" ref="N149:Q164" si="19">C149/C148*N148</f>
        <v>134.09090909090898</v>
      </c>
      <c r="O149" s="81">
        <f t="shared" si="19"/>
        <v>111.37440758293846</v>
      </c>
      <c r="P149" s="81">
        <f t="shared" si="19"/>
        <v>98.409893992932808</v>
      </c>
      <c r="Q149" s="81">
        <f t="shared" si="19"/>
        <v>100.0310610361003</v>
      </c>
    </row>
    <row r="150" spans="1:17">
      <c r="A150" s="66">
        <v>41670</v>
      </c>
      <c r="B150" s="66">
        <v>41670</v>
      </c>
      <c r="C150" s="71">
        <v>0.56000000000000005</v>
      </c>
      <c r="D150" s="67">
        <v>0.46</v>
      </c>
      <c r="E150" s="67">
        <v>0.58499999999999996</v>
      </c>
      <c r="F150" s="68">
        <v>47638.99</v>
      </c>
      <c r="G150" s="66">
        <f t="shared" si="15"/>
        <v>41670</v>
      </c>
      <c r="H150" s="70">
        <f t="shared" si="17"/>
        <v>5.3174762487256201E-2</v>
      </c>
      <c r="I150" s="70">
        <f t="shared" si="17"/>
        <v>-2.1506205220963505E-2</v>
      </c>
      <c r="J150" s="70">
        <f t="shared" si="17"/>
        <v>4.9046607304572269E-2</v>
      </c>
      <c r="K150" s="70">
        <f t="shared" si="17"/>
        <v>8.320378511859846E-3</v>
      </c>
      <c r="L150" s="69"/>
      <c r="M150" s="66">
        <f t="shared" si="16"/>
        <v>41670</v>
      </c>
      <c r="N150" s="81">
        <f t="shared" si="19"/>
        <v>141.41414141414131</v>
      </c>
      <c r="O150" s="81">
        <f t="shared" si="19"/>
        <v>109.00473933649297</v>
      </c>
      <c r="P150" s="81">
        <f t="shared" si="19"/>
        <v>103.35689045936388</v>
      </c>
      <c r="Q150" s="81">
        <f t="shared" si="19"/>
        <v>100.8668294600904</v>
      </c>
    </row>
    <row r="151" spans="1:17">
      <c r="A151" s="66">
        <v>41673</v>
      </c>
      <c r="B151" s="66">
        <v>41673</v>
      </c>
      <c r="C151" s="67">
        <v>0.56000000000000005</v>
      </c>
      <c r="D151" s="67">
        <v>0.441</v>
      </c>
      <c r="E151" s="67">
        <v>0.58499999999999996</v>
      </c>
      <c r="F151" s="68">
        <v>46147.519999999997</v>
      </c>
      <c r="G151" s="66">
        <f t="shared" si="15"/>
        <v>41673</v>
      </c>
      <c r="H151" s="70">
        <f t="shared" si="17"/>
        <v>0</v>
      </c>
      <c r="I151" s="70">
        <f t="shared" si="17"/>
        <v>-4.2181614036294675E-2</v>
      </c>
      <c r="J151" s="70">
        <f t="shared" si="17"/>
        <v>0</v>
      </c>
      <c r="K151" s="70">
        <f t="shared" si="17"/>
        <v>-3.1808321897208586E-2</v>
      </c>
      <c r="L151" s="69"/>
      <c r="M151" s="66">
        <f t="shared" si="16"/>
        <v>41673</v>
      </c>
      <c r="N151" s="81">
        <f t="shared" si="19"/>
        <v>141.41414141414131</v>
      </c>
      <c r="O151" s="81">
        <f t="shared" si="19"/>
        <v>104.50236966824653</v>
      </c>
      <c r="P151" s="81">
        <f t="shared" si="19"/>
        <v>103.35689045936388</v>
      </c>
      <c r="Q151" s="81">
        <f t="shared" si="19"/>
        <v>97.708915110209318</v>
      </c>
    </row>
    <row r="152" spans="1:17">
      <c r="A152" s="66">
        <v>41674</v>
      </c>
      <c r="B152" s="66">
        <v>41674</v>
      </c>
      <c r="C152" s="67">
        <v>0.56000000000000005</v>
      </c>
      <c r="D152" s="67">
        <v>0.46</v>
      </c>
      <c r="E152" s="67">
        <v>0.59399999999999997</v>
      </c>
      <c r="F152" s="68">
        <v>46964.22</v>
      </c>
      <c r="G152" s="66">
        <f t="shared" si="15"/>
        <v>41674</v>
      </c>
      <c r="H152" s="70">
        <f t="shared" si="17"/>
        <v>0</v>
      </c>
      <c r="I152" s="70">
        <f t="shared" si="17"/>
        <v>4.2181614036294668E-2</v>
      </c>
      <c r="J152" s="70">
        <f t="shared" si="17"/>
        <v>1.5267472130788381E-2</v>
      </c>
      <c r="K152" s="70">
        <f t="shared" si="17"/>
        <v>1.7542813502689492E-2</v>
      </c>
      <c r="L152" s="69"/>
      <c r="M152" s="66">
        <f t="shared" si="16"/>
        <v>41674</v>
      </c>
      <c r="N152" s="81">
        <f t="shared" si="19"/>
        <v>141.41414141414131</v>
      </c>
      <c r="O152" s="81">
        <f t="shared" si="19"/>
        <v>109.00473933649297</v>
      </c>
      <c r="P152" s="81">
        <f t="shared" si="19"/>
        <v>104.94699646643102</v>
      </c>
      <c r="Q152" s="81">
        <f t="shared" si="19"/>
        <v>99.438127665304549</v>
      </c>
    </row>
    <row r="153" spans="1:17">
      <c r="A153" s="66">
        <v>41675</v>
      </c>
      <c r="B153" s="66">
        <v>41675</v>
      </c>
      <c r="C153" s="67">
        <v>0.56000000000000005</v>
      </c>
      <c r="D153" s="67">
        <v>0.45100000000000001</v>
      </c>
      <c r="E153" s="67">
        <v>0.59399999999999997</v>
      </c>
      <c r="F153" s="68">
        <v>46624.39</v>
      </c>
      <c r="G153" s="66">
        <f t="shared" si="15"/>
        <v>41675</v>
      </c>
      <c r="H153" s="70">
        <f t="shared" si="17"/>
        <v>0</v>
      </c>
      <c r="I153" s="70">
        <f t="shared" si="17"/>
        <v>-1.9759149980462333E-2</v>
      </c>
      <c r="J153" s="70">
        <f t="shared" si="17"/>
        <v>0</v>
      </c>
      <c r="K153" s="70">
        <f t="shared" si="17"/>
        <v>-7.2622404276629785E-3</v>
      </c>
      <c r="L153" s="69"/>
      <c r="M153" s="66">
        <f t="shared" si="16"/>
        <v>41675</v>
      </c>
      <c r="N153" s="81">
        <f t="shared" si="19"/>
        <v>141.41414141414131</v>
      </c>
      <c r="O153" s="81">
        <f t="shared" si="19"/>
        <v>106.87203791469203</v>
      </c>
      <c r="P153" s="81">
        <f t="shared" si="19"/>
        <v>104.94699646643102</v>
      </c>
      <c r="Q153" s="81">
        <f t="shared" si="19"/>
        <v>98.718599928561545</v>
      </c>
    </row>
    <row r="154" spans="1:17">
      <c r="A154" s="66">
        <v>41676</v>
      </c>
      <c r="B154" s="66">
        <v>41676</v>
      </c>
      <c r="C154" s="71">
        <v>0.56000000000000005</v>
      </c>
      <c r="D154" s="67">
        <v>0.45100000000000001</v>
      </c>
      <c r="E154" s="67">
        <v>0.59399999999999997</v>
      </c>
      <c r="F154" s="68">
        <v>47738.09</v>
      </c>
      <c r="G154" s="66">
        <f t="shared" si="15"/>
        <v>41676</v>
      </c>
      <c r="H154" s="70">
        <f t="shared" si="17"/>
        <v>0</v>
      </c>
      <c r="I154" s="70">
        <f t="shared" si="17"/>
        <v>0</v>
      </c>
      <c r="J154" s="70">
        <f t="shared" si="17"/>
        <v>0</v>
      </c>
      <c r="K154" s="70">
        <f t="shared" si="17"/>
        <v>2.3605816963134081E-2</v>
      </c>
      <c r="L154" s="69"/>
      <c r="M154" s="66">
        <f t="shared" si="16"/>
        <v>41676</v>
      </c>
      <c r="N154" s="81">
        <f t="shared" si="19"/>
        <v>141.41414141414131</v>
      </c>
      <c r="O154" s="81">
        <f t="shared" si="19"/>
        <v>106.87203791469203</v>
      </c>
      <c r="P154" s="81">
        <f t="shared" si="19"/>
        <v>104.94699646643102</v>
      </c>
      <c r="Q154" s="81">
        <f t="shared" si="19"/>
        <v>101.07665554581335</v>
      </c>
    </row>
    <row r="155" spans="1:17">
      <c r="A155" s="66">
        <v>41677</v>
      </c>
      <c r="B155" s="66">
        <v>41677</v>
      </c>
      <c r="C155" s="71">
        <v>0.56000000000000005</v>
      </c>
      <c r="D155" s="67">
        <v>0.45100000000000001</v>
      </c>
      <c r="E155" s="67">
        <v>0.58499999999999996</v>
      </c>
      <c r="F155" s="68">
        <v>48073.599999999999</v>
      </c>
      <c r="G155" s="66">
        <f t="shared" si="15"/>
        <v>41677</v>
      </c>
      <c r="H155" s="70">
        <f t="shared" si="17"/>
        <v>0</v>
      </c>
      <c r="I155" s="70">
        <f t="shared" si="17"/>
        <v>0</v>
      </c>
      <c r="J155" s="70">
        <f t="shared" si="17"/>
        <v>-1.5267472130788421E-2</v>
      </c>
      <c r="K155" s="70">
        <f t="shared" si="17"/>
        <v>7.0035581543581599E-3</v>
      </c>
      <c r="L155" s="69"/>
      <c r="M155" s="66">
        <f t="shared" si="16"/>
        <v>41677</v>
      </c>
      <c r="N155" s="81">
        <f t="shared" si="19"/>
        <v>141.41414141414131</v>
      </c>
      <c r="O155" s="81">
        <f t="shared" si="19"/>
        <v>106.87203791469203</v>
      </c>
      <c r="P155" s="81">
        <f t="shared" si="19"/>
        <v>103.35689045936388</v>
      </c>
      <c r="Q155" s="81">
        <f t="shared" si="19"/>
        <v>101.78703647437955</v>
      </c>
    </row>
    <row r="156" spans="1:17">
      <c r="A156" s="66">
        <v>41680</v>
      </c>
      <c r="B156" s="66">
        <v>41680</v>
      </c>
      <c r="C156" s="71">
        <v>0.56000000000000005</v>
      </c>
      <c r="D156" s="67">
        <v>0.45100000000000001</v>
      </c>
      <c r="E156" s="67">
        <v>0.61299999999999999</v>
      </c>
      <c r="F156" s="68">
        <v>47710.82</v>
      </c>
      <c r="G156" s="66">
        <f t="shared" si="15"/>
        <v>41680</v>
      </c>
      <c r="H156" s="70">
        <f t="shared" si="17"/>
        <v>0</v>
      </c>
      <c r="I156" s="70">
        <f t="shared" si="17"/>
        <v>0</v>
      </c>
      <c r="J156" s="70">
        <f t="shared" si="17"/>
        <v>4.6753088704354955E-2</v>
      </c>
      <c r="K156" s="70">
        <f t="shared" si="17"/>
        <v>-7.5749633331490219E-3</v>
      </c>
      <c r="L156" s="69"/>
      <c r="M156" s="66">
        <f t="shared" si="16"/>
        <v>41680</v>
      </c>
      <c r="N156" s="81">
        <f t="shared" si="19"/>
        <v>141.41414141414131</v>
      </c>
      <c r="O156" s="81">
        <f t="shared" si="19"/>
        <v>106.87203791469203</v>
      </c>
      <c r="P156" s="81">
        <f t="shared" si="19"/>
        <v>108.30388692579498</v>
      </c>
      <c r="Q156" s="81">
        <f t="shared" si="19"/>
        <v>101.01891631919717</v>
      </c>
    </row>
    <row r="157" spans="1:17">
      <c r="A157" s="66">
        <v>41681</v>
      </c>
      <c r="B157" s="66">
        <v>41681</v>
      </c>
      <c r="C157" s="67">
        <v>0.56999999999999995</v>
      </c>
      <c r="D157" s="67">
        <v>0.45100000000000001</v>
      </c>
      <c r="E157" s="67">
        <v>0.60299999999999998</v>
      </c>
      <c r="F157" s="68">
        <v>48462.79</v>
      </c>
      <c r="G157" s="66">
        <f t="shared" si="15"/>
        <v>41681</v>
      </c>
      <c r="H157" s="70">
        <f t="shared" si="17"/>
        <v>1.7699577099400638E-2</v>
      </c>
      <c r="I157" s="70">
        <f t="shared" si="17"/>
        <v>0</v>
      </c>
      <c r="J157" s="70">
        <f t="shared" si="17"/>
        <v>-1.6447739209026018E-2</v>
      </c>
      <c r="K157" s="70">
        <f t="shared" si="17"/>
        <v>1.5638080434578892E-2</v>
      </c>
      <c r="L157" s="69"/>
      <c r="M157" s="66">
        <f t="shared" si="16"/>
        <v>41681</v>
      </c>
      <c r="N157" s="81">
        <f t="shared" si="19"/>
        <v>143.9393939393938</v>
      </c>
      <c r="O157" s="81">
        <f t="shared" si="19"/>
        <v>106.87203791469203</v>
      </c>
      <c r="P157" s="81">
        <f t="shared" si="19"/>
        <v>106.53710247349815</v>
      </c>
      <c r="Q157" s="81">
        <f t="shared" si="19"/>
        <v>102.6110749638096</v>
      </c>
    </row>
    <row r="158" spans="1:17">
      <c r="A158" s="66">
        <v>41682</v>
      </c>
      <c r="B158" s="66">
        <v>41682</v>
      </c>
      <c r="C158" s="71">
        <v>0.56999999999999995</v>
      </c>
      <c r="D158" s="67">
        <v>0.441</v>
      </c>
      <c r="E158" s="67">
        <v>0.59399999999999997</v>
      </c>
      <c r="F158" s="68">
        <v>48216.89</v>
      </c>
      <c r="G158" s="66">
        <f t="shared" si="15"/>
        <v>41682</v>
      </c>
      <c r="H158" s="70">
        <f t="shared" si="17"/>
        <v>0</v>
      </c>
      <c r="I158" s="70">
        <f t="shared" si="17"/>
        <v>-2.2422464055832397E-2</v>
      </c>
      <c r="J158" s="70">
        <f t="shared" si="17"/>
        <v>-1.5037877364540559E-2</v>
      </c>
      <c r="K158" s="70">
        <f t="shared" si="17"/>
        <v>-5.0869123740587838E-3</v>
      </c>
      <c r="L158" s="69"/>
      <c r="M158" s="66">
        <f t="shared" si="16"/>
        <v>41682</v>
      </c>
      <c r="N158" s="81">
        <f t="shared" si="19"/>
        <v>143.9393939393938</v>
      </c>
      <c r="O158" s="81">
        <f t="shared" si="19"/>
        <v>104.50236966824653</v>
      </c>
      <c r="P158" s="81">
        <f t="shared" si="19"/>
        <v>104.94699646643102</v>
      </c>
      <c r="Q158" s="81">
        <f t="shared" si="19"/>
        <v>102.09042678541127</v>
      </c>
    </row>
    <row r="159" spans="1:17">
      <c r="A159" s="66">
        <v>41683</v>
      </c>
      <c r="B159" s="66">
        <v>41683</v>
      </c>
      <c r="C159" s="71">
        <v>0.55100000000000005</v>
      </c>
      <c r="D159" s="67">
        <v>0.441</v>
      </c>
      <c r="E159" s="67">
        <v>0.59399999999999997</v>
      </c>
      <c r="F159" s="68">
        <v>47812.83</v>
      </c>
      <c r="G159" s="66">
        <f t="shared" si="15"/>
        <v>41683</v>
      </c>
      <c r="H159" s="70">
        <f t="shared" si="17"/>
        <v>-3.3901551675681228E-2</v>
      </c>
      <c r="I159" s="70">
        <f t="shared" si="17"/>
        <v>0</v>
      </c>
      <c r="J159" s="70">
        <f t="shared" si="17"/>
        <v>0</v>
      </c>
      <c r="K159" s="70">
        <f t="shared" si="17"/>
        <v>-8.4153610896179516E-3</v>
      </c>
      <c r="L159" s="69"/>
      <c r="M159" s="66">
        <f t="shared" si="16"/>
        <v>41683</v>
      </c>
      <c r="N159" s="81">
        <f t="shared" si="19"/>
        <v>139.14141414141403</v>
      </c>
      <c r="O159" s="81">
        <f t="shared" si="19"/>
        <v>104.50236966824653</v>
      </c>
      <c r="P159" s="81">
        <f t="shared" si="19"/>
        <v>104.94699646643102</v>
      </c>
      <c r="Q159" s="81">
        <f t="shared" si="19"/>
        <v>101.23490379653926</v>
      </c>
    </row>
    <row r="160" spans="1:17">
      <c r="A160" s="66">
        <v>41684</v>
      </c>
      <c r="B160" s="66">
        <v>41684</v>
      </c>
      <c r="C160" s="67">
        <v>0.54100000000000004</v>
      </c>
      <c r="D160" s="67">
        <v>0.441</v>
      </c>
      <c r="E160" s="67">
        <v>0.57499999999999996</v>
      </c>
      <c r="F160" s="68">
        <v>48201.11</v>
      </c>
      <c r="G160" s="66">
        <f t="shared" si="15"/>
        <v>41684</v>
      </c>
      <c r="H160" s="70">
        <f t="shared" si="17"/>
        <v>-1.8315530306432948E-2</v>
      </c>
      <c r="I160" s="70">
        <f t="shared" si="17"/>
        <v>0</v>
      </c>
      <c r="J160" s="70">
        <f t="shared" si="17"/>
        <v>-3.2509278565294508E-2</v>
      </c>
      <c r="K160" s="70">
        <f t="shared" si="17"/>
        <v>8.0880363133128356E-3</v>
      </c>
      <c r="L160" s="69"/>
      <c r="M160" s="66">
        <f t="shared" si="16"/>
        <v>41684</v>
      </c>
      <c r="N160" s="81">
        <f t="shared" si="19"/>
        <v>136.61616161616152</v>
      </c>
      <c r="O160" s="81">
        <f t="shared" si="19"/>
        <v>104.50236966824653</v>
      </c>
      <c r="P160" s="81">
        <f t="shared" si="19"/>
        <v>101.59010600706706</v>
      </c>
      <c r="Q160" s="81">
        <f t="shared" si="19"/>
        <v>102.05701552776537</v>
      </c>
    </row>
    <row r="161" spans="1:17">
      <c r="A161" s="66">
        <v>41687</v>
      </c>
      <c r="B161" s="66">
        <v>41687</v>
      </c>
      <c r="C161" s="67">
        <v>0.51200000000000001</v>
      </c>
      <c r="D161" s="67">
        <v>0.441</v>
      </c>
      <c r="E161" s="67">
        <v>0.60299999999999998</v>
      </c>
      <c r="F161" s="68">
        <v>47576.33</v>
      </c>
      <c r="G161" s="66">
        <f t="shared" si="15"/>
        <v>41687</v>
      </c>
      <c r="H161" s="70">
        <f t="shared" si="17"/>
        <v>-5.5094653806973752E-2</v>
      </c>
      <c r="I161" s="70">
        <f t="shared" si="17"/>
        <v>0</v>
      </c>
      <c r="J161" s="70">
        <f t="shared" si="17"/>
        <v>4.7547155929834987E-2</v>
      </c>
      <c r="K161" s="70">
        <f t="shared" si="17"/>
        <v>-1.3046681186408188E-2</v>
      </c>
      <c r="L161" s="69"/>
      <c r="M161" s="66">
        <f t="shared" si="16"/>
        <v>41687</v>
      </c>
      <c r="N161" s="81">
        <f t="shared" si="19"/>
        <v>129.29292929292919</v>
      </c>
      <c r="O161" s="81">
        <f t="shared" si="19"/>
        <v>104.50236966824653</v>
      </c>
      <c r="P161" s="81">
        <f t="shared" si="19"/>
        <v>106.53710247349815</v>
      </c>
      <c r="Q161" s="81">
        <f t="shared" si="19"/>
        <v>100.73415839519234</v>
      </c>
    </row>
    <row r="162" spans="1:17">
      <c r="A162" s="66">
        <v>41688</v>
      </c>
      <c r="B162" s="66">
        <v>41688</v>
      </c>
      <c r="C162" s="67">
        <v>0.53100000000000003</v>
      </c>
      <c r="D162" s="67">
        <v>0.43099999999999999</v>
      </c>
      <c r="E162" s="67">
        <v>0.61299999999999999</v>
      </c>
      <c r="F162" s="68">
        <v>46599.76</v>
      </c>
      <c r="G162" s="66">
        <f t="shared" si="15"/>
        <v>41688</v>
      </c>
      <c r="H162" s="70">
        <f t="shared" si="17"/>
        <v>3.6437396202431048E-2</v>
      </c>
      <c r="I162" s="70">
        <f t="shared" si="17"/>
        <v>-2.293678534309827E-2</v>
      </c>
      <c r="J162" s="70">
        <f t="shared" si="17"/>
        <v>1.6447739209025883E-2</v>
      </c>
      <c r="K162" s="70">
        <f t="shared" si="17"/>
        <v>-2.0739977746879648E-2</v>
      </c>
      <c r="L162" s="69"/>
      <c r="M162" s="66">
        <f t="shared" si="16"/>
        <v>41688</v>
      </c>
      <c r="N162" s="81">
        <f t="shared" si="19"/>
        <v>134.09090909090898</v>
      </c>
      <c r="O162" s="81">
        <f t="shared" si="19"/>
        <v>102.13270142180103</v>
      </c>
      <c r="P162" s="81">
        <f t="shared" si="19"/>
        <v>108.30388692579496</v>
      </c>
      <c r="Q162" s="81">
        <f t="shared" si="19"/>
        <v>98.666450418053429</v>
      </c>
    </row>
    <row r="163" spans="1:17">
      <c r="A163" s="66">
        <v>41689</v>
      </c>
      <c r="B163" s="66">
        <v>41689</v>
      </c>
      <c r="C163" s="71">
        <v>0.52200000000000002</v>
      </c>
      <c r="D163" s="67">
        <v>0.43099999999999999</v>
      </c>
      <c r="E163" s="67">
        <v>0.622</v>
      </c>
      <c r="F163" s="68">
        <v>47150.83</v>
      </c>
      <c r="G163" s="66">
        <f t="shared" si="15"/>
        <v>41689</v>
      </c>
      <c r="H163" s="70">
        <f t="shared" si="17"/>
        <v>-1.7094433359300183E-2</v>
      </c>
      <c r="I163" s="70">
        <f t="shared" si="17"/>
        <v>0</v>
      </c>
      <c r="J163" s="70">
        <f t="shared" si="17"/>
        <v>1.4575156802968087E-2</v>
      </c>
      <c r="K163" s="70">
        <f t="shared" si="17"/>
        <v>1.1756221414208359E-2</v>
      </c>
      <c r="L163" s="69"/>
      <c r="M163" s="66">
        <f t="shared" si="16"/>
        <v>41689</v>
      </c>
      <c r="N163" s="81">
        <f t="shared" si="19"/>
        <v>131.8181818181817</v>
      </c>
      <c r="O163" s="81">
        <f t="shared" si="19"/>
        <v>102.13270142180103</v>
      </c>
      <c r="P163" s="81">
        <f t="shared" si="19"/>
        <v>109.89399293286209</v>
      </c>
      <c r="Q163" s="81">
        <f t="shared" si="19"/>
        <v>99.833240136109424</v>
      </c>
    </row>
    <row r="164" spans="1:17">
      <c r="A164" s="66">
        <v>41690</v>
      </c>
      <c r="B164" s="66">
        <v>41690</v>
      </c>
      <c r="C164" s="71">
        <v>0.52200000000000002</v>
      </c>
      <c r="D164" s="67">
        <v>0.43099999999999999</v>
      </c>
      <c r="E164" s="67">
        <v>0.56599999999999995</v>
      </c>
      <c r="F164" s="68">
        <v>47288.61</v>
      </c>
      <c r="G164" s="66">
        <f t="shared" si="15"/>
        <v>41690</v>
      </c>
      <c r="H164" s="70">
        <f t="shared" si="17"/>
        <v>0</v>
      </c>
      <c r="I164" s="70">
        <f t="shared" si="17"/>
        <v>0</v>
      </c>
      <c r="J164" s="70">
        <f t="shared" si="17"/>
        <v>-9.4346014535996614E-2</v>
      </c>
      <c r="K164" s="70">
        <f t="shared" si="17"/>
        <v>2.91785079947969E-3</v>
      </c>
      <c r="L164" s="69"/>
      <c r="M164" s="66">
        <f t="shared" si="16"/>
        <v>41690</v>
      </c>
      <c r="N164" s="81">
        <f t="shared" si="19"/>
        <v>131.8181818181817</v>
      </c>
      <c r="O164" s="81">
        <f t="shared" si="19"/>
        <v>102.13270142180103</v>
      </c>
      <c r="P164" s="81">
        <f t="shared" si="19"/>
        <v>99.999999999999901</v>
      </c>
      <c r="Q164" s="81">
        <f t="shared" si="19"/>
        <v>100.12496403208226</v>
      </c>
    </row>
    <row r="165" spans="1:17">
      <c r="A165" s="66">
        <v>41691</v>
      </c>
      <c r="B165" s="66">
        <v>41691</v>
      </c>
      <c r="C165" s="67">
        <v>0.53100000000000003</v>
      </c>
      <c r="D165" s="67">
        <v>0.43099999999999999</v>
      </c>
      <c r="E165" s="67">
        <v>0.59399999999999997</v>
      </c>
      <c r="F165" s="68">
        <v>47380.24</v>
      </c>
      <c r="G165" s="66">
        <f t="shared" si="15"/>
        <v>41691</v>
      </c>
      <c r="H165" s="70">
        <f t="shared" si="17"/>
        <v>1.709443335930004E-2</v>
      </c>
      <c r="I165" s="70">
        <f t="shared" si="17"/>
        <v>0</v>
      </c>
      <c r="J165" s="70">
        <f t="shared" si="17"/>
        <v>4.8285241159462117E-2</v>
      </c>
      <c r="K165" s="70">
        <f t="shared" si="17"/>
        <v>1.9358010288273244E-3</v>
      </c>
      <c r="L165" s="69"/>
      <c r="M165" s="66">
        <f t="shared" si="16"/>
        <v>41691</v>
      </c>
      <c r="N165" s="81">
        <f t="shared" ref="N165:Q180" si="20">C165/C164*N164</f>
        <v>134.09090909090895</v>
      </c>
      <c r="O165" s="81">
        <f t="shared" si="20"/>
        <v>102.13270142180103</v>
      </c>
      <c r="P165" s="81">
        <f t="shared" si="20"/>
        <v>104.946996466431</v>
      </c>
      <c r="Q165" s="81">
        <f t="shared" si="20"/>
        <v>100.31897376199946</v>
      </c>
    </row>
    <row r="166" spans="1:17">
      <c r="A166" s="66">
        <v>41694</v>
      </c>
      <c r="B166" s="66">
        <v>41694</v>
      </c>
      <c r="C166" s="67">
        <v>0.53100000000000003</v>
      </c>
      <c r="D166" s="67">
        <v>0.42199999999999999</v>
      </c>
      <c r="E166" s="67">
        <v>0.58499999999999996</v>
      </c>
      <c r="F166" s="68">
        <v>47393.5</v>
      </c>
      <c r="G166" s="66">
        <f t="shared" si="15"/>
        <v>41694</v>
      </c>
      <c r="H166" s="70">
        <f t="shared" si="17"/>
        <v>0</v>
      </c>
      <c r="I166" s="70">
        <f t="shared" si="17"/>
        <v>-2.1102776067736053E-2</v>
      </c>
      <c r="J166" s="70">
        <f t="shared" si="17"/>
        <v>-1.5267472130788421E-2</v>
      </c>
      <c r="K166" s="70">
        <f t="shared" si="17"/>
        <v>2.7982434979414403E-4</v>
      </c>
      <c r="L166" s="69"/>
      <c r="M166" s="66">
        <f t="shared" si="16"/>
        <v>41694</v>
      </c>
      <c r="N166" s="81">
        <f t="shared" si="20"/>
        <v>134.09090909090895</v>
      </c>
      <c r="O166" s="81">
        <f t="shared" si="20"/>
        <v>100.00000000000007</v>
      </c>
      <c r="P166" s="81">
        <f t="shared" si="20"/>
        <v>103.35689045936387</v>
      </c>
      <c r="Q166" s="81">
        <f t="shared" si="20"/>
        <v>100.34704938154222</v>
      </c>
    </row>
    <row r="167" spans="1:17">
      <c r="A167" s="66">
        <v>41695</v>
      </c>
      <c r="B167" s="66">
        <v>41695</v>
      </c>
      <c r="C167" s="67">
        <v>0.52200000000000002</v>
      </c>
      <c r="D167" s="67">
        <v>0.42199999999999999</v>
      </c>
      <c r="E167" s="67">
        <v>0.57499999999999996</v>
      </c>
      <c r="F167" s="68">
        <v>46715.91</v>
      </c>
      <c r="G167" s="66">
        <f t="shared" si="15"/>
        <v>41695</v>
      </c>
      <c r="H167" s="70">
        <f t="shared" si="17"/>
        <v>-1.7094433359300183E-2</v>
      </c>
      <c r="I167" s="70">
        <f t="shared" si="17"/>
        <v>0</v>
      </c>
      <c r="J167" s="70">
        <f t="shared" si="17"/>
        <v>-1.7241806434506103E-2</v>
      </c>
      <c r="K167" s="70">
        <f t="shared" si="17"/>
        <v>-1.440029661639774E-2</v>
      </c>
      <c r="L167" s="69"/>
      <c r="M167" s="66">
        <f t="shared" si="16"/>
        <v>41695</v>
      </c>
      <c r="N167" s="81">
        <f t="shared" si="20"/>
        <v>131.81818181818167</v>
      </c>
      <c r="O167" s="81">
        <f t="shared" si="20"/>
        <v>100.00000000000007</v>
      </c>
      <c r="P167" s="81">
        <f t="shared" si="20"/>
        <v>101.59010600706705</v>
      </c>
      <c r="Q167" s="81">
        <f t="shared" si="20"/>
        <v>98.912376753640956</v>
      </c>
    </row>
    <row r="168" spans="1:17">
      <c r="A168" s="66">
        <v>41696</v>
      </c>
      <c r="B168" s="66">
        <v>41696</v>
      </c>
      <c r="C168" s="71">
        <v>0.52200000000000002</v>
      </c>
      <c r="D168" s="67">
        <v>0.43099999999999999</v>
      </c>
      <c r="E168" s="67">
        <v>0.59399999999999997</v>
      </c>
      <c r="F168" s="68">
        <v>46599.21</v>
      </c>
      <c r="G168" s="66">
        <f t="shared" si="15"/>
        <v>41696</v>
      </c>
      <c r="H168" s="70">
        <f t="shared" si="17"/>
        <v>0</v>
      </c>
      <c r="I168" s="70">
        <f t="shared" si="17"/>
        <v>2.1102776067736036E-2</v>
      </c>
      <c r="J168" s="70">
        <f t="shared" si="17"/>
        <v>3.2509278565294432E-2</v>
      </c>
      <c r="K168" s="70">
        <f t="shared" si="17"/>
        <v>-2.5012036814567843E-3</v>
      </c>
      <c r="L168" s="69"/>
      <c r="M168" s="66">
        <f t="shared" si="16"/>
        <v>41696</v>
      </c>
      <c r="N168" s="81">
        <f t="shared" si="20"/>
        <v>131.81818181818167</v>
      </c>
      <c r="O168" s="81">
        <f t="shared" si="20"/>
        <v>102.13270142180103</v>
      </c>
      <c r="P168" s="81">
        <f t="shared" si="20"/>
        <v>104.946996466431</v>
      </c>
      <c r="Q168" s="81">
        <f t="shared" si="20"/>
        <v>98.665285893864265</v>
      </c>
    </row>
    <row r="169" spans="1:17">
      <c r="A169" s="66">
        <v>41697</v>
      </c>
      <c r="B169" s="66">
        <v>41697</v>
      </c>
      <c r="C169" s="67">
        <v>0.502</v>
      </c>
      <c r="D169" s="67">
        <v>0.42199999999999999</v>
      </c>
      <c r="E169" s="67">
        <v>0.56599999999999995</v>
      </c>
      <c r="F169" s="68">
        <v>47606.75</v>
      </c>
      <c r="G169" s="66">
        <f t="shared" si="15"/>
        <v>41697</v>
      </c>
      <c r="H169" s="70">
        <f t="shared" si="17"/>
        <v>-3.9067468190909511E-2</v>
      </c>
      <c r="I169" s="70">
        <f t="shared" si="17"/>
        <v>-2.1102776067736053E-2</v>
      </c>
      <c r="J169" s="70">
        <f t="shared" si="17"/>
        <v>-4.8285241159461999E-2</v>
      </c>
      <c r="K169" s="70">
        <f t="shared" si="17"/>
        <v>2.139096970824007E-2</v>
      </c>
      <c r="L169" s="69"/>
      <c r="M169" s="66">
        <f t="shared" si="16"/>
        <v>41697</v>
      </c>
      <c r="N169" s="81">
        <f t="shared" si="20"/>
        <v>126.76767676767663</v>
      </c>
      <c r="O169" s="81">
        <f t="shared" si="20"/>
        <v>100.00000000000007</v>
      </c>
      <c r="P169" s="81">
        <f t="shared" si="20"/>
        <v>99.999999999999915</v>
      </c>
      <c r="Q169" s="81">
        <f t="shared" si="20"/>
        <v>100.79856716943748</v>
      </c>
    </row>
    <row r="170" spans="1:17">
      <c r="A170" s="66">
        <v>41698</v>
      </c>
      <c r="B170" s="66">
        <v>41698</v>
      </c>
      <c r="C170" s="67">
        <v>0.502</v>
      </c>
      <c r="D170" s="67">
        <v>0.42199999999999999</v>
      </c>
      <c r="E170" s="67">
        <v>0.58499999999999996</v>
      </c>
      <c r="F170" s="68">
        <v>47094.400000000001</v>
      </c>
      <c r="G170" s="66">
        <f t="shared" si="15"/>
        <v>41698</v>
      </c>
      <c r="H170" s="70">
        <f t="shared" si="17"/>
        <v>0</v>
      </c>
      <c r="I170" s="70">
        <f t="shared" si="17"/>
        <v>0</v>
      </c>
      <c r="J170" s="70">
        <f t="shared" si="17"/>
        <v>3.3017769028673573E-2</v>
      </c>
      <c r="K170" s="70">
        <f t="shared" si="17"/>
        <v>-1.0820459918783835E-2</v>
      </c>
      <c r="L170" s="69"/>
      <c r="M170" s="66">
        <f t="shared" si="16"/>
        <v>41698</v>
      </c>
      <c r="N170" s="81">
        <f t="shared" si="20"/>
        <v>126.76767676767663</v>
      </c>
      <c r="O170" s="81">
        <f t="shared" si="20"/>
        <v>100.00000000000007</v>
      </c>
      <c r="P170" s="81">
        <f t="shared" si="20"/>
        <v>103.35689045936387</v>
      </c>
      <c r="Q170" s="81">
        <f t="shared" si="20"/>
        <v>99.713759954299675</v>
      </c>
    </row>
    <row r="171" spans="1:17">
      <c r="A171" s="66">
        <v>41703</v>
      </c>
      <c r="B171" s="66">
        <v>41703</v>
      </c>
      <c r="C171" s="67">
        <v>0.48299999999999998</v>
      </c>
      <c r="D171" s="67">
        <v>0.42199999999999999</v>
      </c>
      <c r="E171" s="67">
        <v>0.57499999999999996</v>
      </c>
      <c r="F171" s="68">
        <v>46589</v>
      </c>
      <c r="G171" s="66">
        <f t="shared" si="15"/>
        <v>41703</v>
      </c>
      <c r="H171" s="70">
        <f t="shared" si="17"/>
        <v>-3.8583466039156591E-2</v>
      </c>
      <c r="I171" s="70">
        <f t="shared" si="17"/>
        <v>0</v>
      </c>
      <c r="J171" s="70">
        <f t="shared" si="17"/>
        <v>-1.7241806434506103E-2</v>
      </c>
      <c r="K171" s="70">
        <f t="shared" si="17"/>
        <v>-1.0789636222743367E-2</v>
      </c>
      <c r="L171" s="69"/>
      <c r="M171" s="66">
        <f t="shared" si="16"/>
        <v>41703</v>
      </c>
      <c r="N171" s="81">
        <f t="shared" si="20"/>
        <v>121.96969696969683</v>
      </c>
      <c r="O171" s="81">
        <f t="shared" si="20"/>
        <v>100.00000000000007</v>
      </c>
      <c r="P171" s="81">
        <f t="shared" si="20"/>
        <v>101.59010600706705</v>
      </c>
      <c r="Q171" s="81">
        <f t="shared" si="20"/>
        <v>98.643668090279675</v>
      </c>
    </row>
    <row r="172" spans="1:17">
      <c r="A172" s="66">
        <v>41704</v>
      </c>
      <c r="B172" s="66">
        <v>41704</v>
      </c>
      <c r="C172" s="67">
        <v>0.47299999999999998</v>
      </c>
      <c r="D172" s="67">
        <v>0.42199999999999999</v>
      </c>
      <c r="E172" s="67">
        <v>0.60299999999999998</v>
      </c>
      <c r="F172" s="68">
        <v>47093.13</v>
      </c>
      <c r="G172" s="66">
        <f t="shared" si="15"/>
        <v>41704</v>
      </c>
      <c r="H172" s="70">
        <f t="shared" si="17"/>
        <v>-2.0921265160639684E-2</v>
      </c>
      <c r="I172" s="70">
        <f t="shared" si="17"/>
        <v>0</v>
      </c>
      <c r="J172" s="70">
        <f t="shared" si="17"/>
        <v>4.7547155929834987E-2</v>
      </c>
      <c r="K172" s="70">
        <f t="shared" si="17"/>
        <v>1.0762668746261507E-2</v>
      </c>
      <c r="L172" s="69"/>
      <c r="M172" s="66">
        <f t="shared" si="16"/>
        <v>41704</v>
      </c>
      <c r="N172" s="81">
        <f t="shared" si="20"/>
        <v>119.44444444444431</v>
      </c>
      <c r="O172" s="81">
        <f t="shared" si="20"/>
        <v>100.00000000000007</v>
      </c>
      <c r="P172" s="81">
        <f t="shared" si="20"/>
        <v>106.53710247349814</v>
      </c>
      <c r="Q172" s="81">
        <f t="shared" si="20"/>
        <v>99.711070962081024</v>
      </c>
    </row>
    <row r="173" spans="1:17">
      <c r="A173" s="66">
        <v>41705</v>
      </c>
      <c r="B173" s="66">
        <v>41705</v>
      </c>
      <c r="C173" s="71">
        <v>0.502</v>
      </c>
      <c r="D173" s="67">
        <v>0.41199999999999998</v>
      </c>
      <c r="E173" s="67">
        <v>0.59399999999999997</v>
      </c>
      <c r="F173" s="68">
        <v>46244.07</v>
      </c>
      <c r="G173" s="66">
        <f t="shared" si="15"/>
        <v>41705</v>
      </c>
      <c r="H173" s="70">
        <f t="shared" si="17"/>
        <v>5.9504731199796254E-2</v>
      </c>
      <c r="I173" s="70">
        <f t="shared" si="17"/>
        <v>-2.3981964686485439E-2</v>
      </c>
      <c r="J173" s="70">
        <f t="shared" si="17"/>
        <v>-1.5037877364540559E-2</v>
      </c>
      <c r="K173" s="70">
        <f t="shared" si="17"/>
        <v>-1.819389098935861E-2</v>
      </c>
      <c r="L173" s="69"/>
      <c r="M173" s="66">
        <f t="shared" si="16"/>
        <v>41705</v>
      </c>
      <c r="N173" s="81">
        <f t="shared" si="20"/>
        <v>126.76767676767663</v>
      </c>
      <c r="O173" s="81">
        <f t="shared" si="20"/>
        <v>97.630331753554572</v>
      </c>
      <c r="P173" s="81">
        <f t="shared" si="20"/>
        <v>104.946996466431</v>
      </c>
      <c r="Q173" s="81">
        <f t="shared" si="20"/>
        <v>97.913342038327926</v>
      </c>
    </row>
    <row r="174" spans="1:17">
      <c r="A174" s="66">
        <v>41708</v>
      </c>
      <c r="B174" s="66">
        <v>41708</v>
      </c>
      <c r="C174" s="67">
        <v>0.5</v>
      </c>
      <c r="D174" s="67">
        <v>0.40300000000000002</v>
      </c>
      <c r="E174" s="67">
        <v>0.58499999999999996</v>
      </c>
      <c r="F174" s="68">
        <v>45533.2</v>
      </c>
      <c r="G174" s="66">
        <f t="shared" si="15"/>
        <v>41708</v>
      </c>
      <c r="H174" s="70">
        <f t="shared" si="17"/>
        <v>-3.9920212695374498E-3</v>
      </c>
      <c r="I174" s="70">
        <f t="shared" si="17"/>
        <v>-2.2086787402843283E-2</v>
      </c>
      <c r="J174" s="70">
        <f t="shared" si="17"/>
        <v>-1.5267472130788421E-2</v>
      </c>
      <c r="K174" s="70">
        <f t="shared" si="17"/>
        <v>-1.5491509315210412E-2</v>
      </c>
      <c r="L174" s="69"/>
      <c r="M174" s="66">
        <f t="shared" si="16"/>
        <v>41708</v>
      </c>
      <c r="N174" s="81">
        <f t="shared" si="20"/>
        <v>126.26262626262613</v>
      </c>
      <c r="O174" s="81">
        <f t="shared" si="20"/>
        <v>95.497630331753641</v>
      </c>
      <c r="P174" s="81">
        <f t="shared" si="20"/>
        <v>103.35689045936387</v>
      </c>
      <c r="Q174" s="81">
        <f t="shared" si="20"/>
        <v>96.408205110397773</v>
      </c>
    </row>
    <row r="175" spans="1:17">
      <c r="A175" s="66">
        <v>41709</v>
      </c>
      <c r="B175" s="66">
        <v>41709</v>
      </c>
      <c r="C175" s="67">
        <v>0.5</v>
      </c>
      <c r="D175" s="67">
        <v>0.41199999999999998</v>
      </c>
      <c r="E175" s="67">
        <v>0.58499999999999996</v>
      </c>
      <c r="F175" s="68">
        <v>45697.62</v>
      </c>
      <c r="G175" s="66">
        <f t="shared" si="15"/>
        <v>41709</v>
      </c>
      <c r="H175" s="70">
        <f t="shared" si="17"/>
        <v>0</v>
      </c>
      <c r="I175" s="70">
        <f t="shared" si="17"/>
        <v>2.2086787402843287E-2</v>
      </c>
      <c r="J175" s="70">
        <f t="shared" si="17"/>
        <v>0</v>
      </c>
      <c r="K175" s="70">
        <f t="shared" si="17"/>
        <v>3.6044875627896595E-3</v>
      </c>
      <c r="L175" s="69"/>
      <c r="M175" s="66">
        <f t="shared" si="16"/>
        <v>41709</v>
      </c>
      <c r="N175" s="81">
        <f t="shared" si="20"/>
        <v>126.26262626262613</v>
      </c>
      <c r="O175" s="81">
        <f t="shared" si="20"/>
        <v>97.630331753554572</v>
      </c>
      <c r="P175" s="81">
        <f t="shared" si="20"/>
        <v>103.35689045936387</v>
      </c>
      <c r="Q175" s="81">
        <f t="shared" si="20"/>
        <v>96.756334323461033</v>
      </c>
    </row>
    <row r="176" spans="1:17">
      <c r="A176" s="66">
        <v>41710</v>
      </c>
      <c r="B176" s="66">
        <v>41710</v>
      </c>
      <c r="C176" s="67">
        <v>0.5</v>
      </c>
      <c r="D176" s="67">
        <v>0.41199999999999998</v>
      </c>
      <c r="E176" s="67">
        <v>0.59399999999999997</v>
      </c>
      <c r="F176" s="68">
        <v>45861.81</v>
      </c>
      <c r="G176" s="66">
        <f t="shared" si="15"/>
        <v>41710</v>
      </c>
      <c r="H176" s="70">
        <f t="shared" si="17"/>
        <v>0</v>
      </c>
      <c r="I176" s="70">
        <f t="shared" si="17"/>
        <v>0</v>
      </c>
      <c r="J176" s="70">
        <f t="shared" si="17"/>
        <v>1.5267472130788381E-2</v>
      </c>
      <c r="K176" s="70">
        <f t="shared" si="17"/>
        <v>3.5865268274463506E-3</v>
      </c>
      <c r="L176" s="69"/>
      <c r="M176" s="66">
        <f t="shared" si="16"/>
        <v>41710</v>
      </c>
      <c r="N176" s="81">
        <f t="shared" si="20"/>
        <v>126.26262626262613</v>
      </c>
      <c r="O176" s="81">
        <f t="shared" si="20"/>
        <v>97.630331753554572</v>
      </c>
      <c r="P176" s="81">
        <f t="shared" si="20"/>
        <v>104.946996466431</v>
      </c>
      <c r="Q176" s="81">
        <f t="shared" si="20"/>
        <v>97.103976553681534</v>
      </c>
    </row>
    <row r="177" spans="1:17">
      <c r="A177" s="66">
        <v>41711</v>
      </c>
      <c r="B177" s="66">
        <v>41711</v>
      </c>
      <c r="C177" s="67">
        <v>0.5</v>
      </c>
      <c r="D177" s="67">
        <v>0.40300000000000002</v>
      </c>
      <c r="E177" s="67">
        <v>0.59399999999999997</v>
      </c>
      <c r="F177" s="68">
        <v>45443.83</v>
      </c>
      <c r="G177" s="66">
        <f t="shared" si="15"/>
        <v>41711</v>
      </c>
      <c r="H177" s="70">
        <f t="shared" si="17"/>
        <v>0</v>
      </c>
      <c r="I177" s="70">
        <f t="shared" si="17"/>
        <v>-2.2086787402843283E-2</v>
      </c>
      <c r="J177" s="70">
        <f t="shared" si="17"/>
        <v>0</v>
      </c>
      <c r="K177" s="70">
        <f t="shared" si="17"/>
        <v>-9.1556867640620997E-3</v>
      </c>
      <c r="L177" s="69"/>
      <c r="M177" s="66">
        <f t="shared" si="16"/>
        <v>41711</v>
      </c>
      <c r="N177" s="81">
        <f t="shared" si="20"/>
        <v>126.26262626262613</v>
      </c>
      <c r="O177" s="81">
        <f t="shared" si="20"/>
        <v>95.497630331753641</v>
      </c>
      <c r="P177" s="81">
        <f t="shared" si="20"/>
        <v>104.946996466431</v>
      </c>
      <c r="Q177" s="81">
        <f t="shared" si="20"/>
        <v>96.218980516239768</v>
      </c>
    </row>
    <row r="178" spans="1:17">
      <c r="A178" s="66">
        <v>41712</v>
      </c>
      <c r="B178" s="66">
        <v>41712</v>
      </c>
      <c r="C178" s="71">
        <v>0.5</v>
      </c>
      <c r="D178" s="67">
        <v>0.39300000000000002</v>
      </c>
      <c r="E178" s="67">
        <v>0.59399999999999997</v>
      </c>
      <c r="F178" s="68">
        <v>44965.66</v>
      </c>
      <c r="G178" s="66">
        <f t="shared" si="15"/>
        <v>41712</v>
      </c>
      <c r="H178" s="70">
        <f t="shared" si="17"/>
        <v>0</v>
      </c>
      <c r="I178" s="70">
        <f t="shared" si="17"/>
        <v>-2.5126950077421759E-2</v>
      </c>
      <c r="J178" s="70">
        <f t="shared" si="17"/>
        <v>0</v>
      </c>
      <c r="K178" s="70">
        <f t="shared" si="17"/>
        <v>-1.0577970491069438E-2</v>
      </c>
      <c r="L178" s="69"/>
      <c r="M178" s="66">
        <f t="shared" si="16"/>
        <v>41712</v>
      </c>
      <c r="N178" s="81">
        <f t="shared" si="20"/>
        <v>126.26262626262613</v>
      </c>
      <c r="O178" s="81">
        <f t="shared" si="20"/>
        <v>93.127962085308141</v>
      </c>
      <c r="P178" s="81">
        <f t="shared" si="20"/>
        <v>104.946996466431</v>
      </c>
      <c r="Q178" s="81">
        <f t="shared" si="20"/>
        <v>95.206543186167679</v>
      </c>
    </row>
    <row r="179" spans="1:17">
      <c r="A179" s="66">
        <v>41715</v>
      </c>
      <c r="B179" s="66">
        <v>41715</v>
      </c>
      <c r="C179" s="67">
        <v>0.47</v>
      </c>
      <c r="D179" s="67">
        <v>0.39300000000000002</v>
      </c>
      <c r="E179" s="67">
        <v>0.59399999999999997</v>
      </c>
      <c r="F179" s="68">
        <v>45117.8</v>
      </c>
      <c r="G179" s="66">
        <f t="shared" si="15"/>
        <v>41715</v>
      </c>
      <c r="H179" s="70">
        <f t="shared" si="17"/>
        <v>-6.1875403718087529E-2</v>
      </c>
      <c r="I179" s="70">
        <f t="shared" si="17"/>
        <v>0</v>
      </c>
      <c r="J179" s="70">
        <f t="shared" si="17"/>
        <v>0</v>
      </c>
      <c r="K179" s="70">
        <f t="shared" si="17"/>
        <v>3.377759794093025E-3</v>
      </c>
      <c r="L179" s="69"/>
      <c r="M179" s="66">
        <f t="shared" si="16"/>
        <v>41715</v>
      </c>
      <c r="N179" s="81">
        <f t="shared" si="20"/>
        <v>118.68686868686855</v>
      </c>
      <c r="O179" s="81">
        <f t="shared" si="20"/>
        <v>93.127962085308141</v>
      </c>
      <c r="P179" s="81">
        <f t="shared" si="20"/>
        <v>104.946996466431</v>
      </c>
      <c r="Q179" s="81">
        <f t="shared" si="20"/>
        <v>95.528671750061633</v>
      </c>
    </row>
    <row r="180" spans="1:17">
      <c r="A180" s="66">
        <v>41716</v>
      </c>
      <c r="B180" s="66">
        <v>41716</v>
      </c>
      <c r="C180" s="71">
        <v>0.49</v>
      </c>
      <c r="D180" s="67">
        <v>0.40300000000000002</v>
      </c>
      <c r="E180" s="67">
        <v>0.59399999999999997</v>
      </c>
      <c r="F180" s="68">
        <v>46150.96</v>
      </c>
      <c r="G180" s="66">
        <f t="shared" si="15"/>
        <v>41716</v>
      </c>
      <c r="H180" s="70">
        <f t="shared" si="17"/>
        <v>4.1672696400568081E-2</v>
      </c>
      <c r="I180" s="70">
        <f t="shared" si="17"/>
        <v>2.5126950077421859E-2</v>
      </c>
      <c r="J180" s="70">
        <f t="shared" si="17"/>
        <v>0</v>
      </c>
      <c r="K180" s="70">
        <f t="shared" si="17"/>
        <v>2.264091533018274E-2</v>
      </c>
      <c r="L180" s="69"/>
      <c r="M180" s="66">
        <f t="shared" si="16"/>
        <v>41716</v>
      </c>
      <c r="N180" s="81">
        <f t="shared" si="20"/>
        <v>123.7373737373736</v>
      </c>
      <c r="O180" s="81">
        <f t="shared" si="20"/>
        <v>95.497630331753655</v>
      </c>
      <c r="P180" s="81">
        <f t="shared" si="20"/>
        <v>104.946996466431</v>
      </c>
      <c r="Q180" s="81">
        <f t="shared" si="20"/>
        <v>97.716198679683501</v>
      </c>
    </row>
    <row r="181" spans="1:17">
      <c r="A181" s="66">
        <v>41717</v>
      </c>
      <c r="B181" s="66">
        <v>41717</v>
      </c>
      <c r="C181" s="67">
        <v>0.49</v>
      </c>
      <c r="D181" s="67">
        <v>0.39300000000000002</v>
      </c>
      <c r="E181" s="67">
        <v>0.58499999999999996</v>
      </c>
      <c r="F181" s="68">
        <v>46567.23</v>
      </c>
      <c r="G181" s="66">
        <f t="shared" si="15"/>
        <v>41717</v>
      </c>
      <c r="H181" s="70">
        <f t="shared" si="17"/>
        <v>0</v>
      </c>
      <c r="I181" s="70">
        <f t="shared" si="17"/>
        <v>-2.5126950077421759E-2</v>
      </c>
      <c r="J181" s="70">
        <f t="shared" si="17"/>
        <v>-1.5267472130788421E-2</v>
      </c>
      <c r="K181" s="70">
        <f t="shared" si="17"/>
        <v>8.9793124071156204E-3</v>
      </c>
      <c r="L181" s="69"/>
      <c r="M181" s="66">
        <f t="shared" si="16"/>
        <v>41717</v>
      </c>
      <c r="N181" s="81">
        <f t="shared" ref="N181:Q196" si="21">C181/C180*N180</f>
        <v>123.7373737373736</v>
      </c>
      <c r="O181" s="81">
        <f t="shared" si="21"/>
        <v>93.127962085308155</v>
      </c>
      <c r="P181" s="81">
        <f t="shared" si="21"/>
        <v>103.35689045936387</v>
      </c>
      <c r="Q181" s="81">
        <f t="shared" si="21"/>
        <v>98.597574105555296</v>
      </c>
    </row>
    <row r="182" spans="1:17">
      <c r="A182" s="66">
        <v>41718</v>
      </c>
      <c r="B182" s="66">
        <v>41718</v>
      </c>
      <c r="C182" s="67">
        <v>0.55000000000000004</v>
      </c>
      <c r="D182" s="67">
        <v>0.39300000000000002</v>
      </c>
      <c r="E182" s="67">
        <v>0.59399999999999997</v>
      </c>
      <c r="F182" s="68">
        <v>47278.48</v>
      </c>
      <c r="G182" s="66">
        <f t="shared" si="15"/>
        <v>41718</v>
      </c>
      <c r="H182" s="70">
        <f t="shared" si="17"/>
        <v>0.11551288712184443</v>
      </c>
      <c r="I182" s="70">
        <f t="shared" si="17"/>
        <v>0</v>
      </c>
      <c r="J182" s="70">
        <f t="shared" si="17"/>
        <v>1.5267472130788381E-2</v>
      </c>
      <c r="K182" s="70">
        <f t="shared" si="17"/>
        <v>1.5158148807785004E-2</v>
      </c>
      <c r="L182" s="69"/>
      <c r="M182" s="66">
        <f t="shared" si="16"/>
        <v>41718</v>
      </c>
      <c r="N182" s="81">
        <f t="shared" si="21"/>
        <v>138.88888888888874</v>
      </c>
      <c r="O182" s="81">
        <f t="shared" si="21"/>
        <v>93.127962085308155</v>
      </c>
      <c r="P182" s="81">
        <f t="shared" si="21"/>
        <v>104.946996466431</v>
      </c>
      <c r="Q182" s="81">
        <f t="shared" si="21"/>
        <v>100.10351561383432</v>
      </c>
    </row>
    <row r="183" spans="1:17">
      <c r="A183" s="66">
        <v>41719</v>
      </c>
      <c r="B183" s="66">
        <v>41719</v>
      </c>
      <c r="C183" s="67">
        <v>0.53</v>
      </c>
      <c r="D183" s="67">
        <v>0.38300000000000001</v>
      </c>
      <c r="E183" s="67">
        <v>0.59399999999999997</v>
      </c>
      <c r="F183" s="68">
        <v>47380.94</v>
      </c>
      <c r="G183" s="66">
        <f t="shared" si="15"/>
        <v>41719</v>
      </c>
      <c r="H183" s="70">
        <f t="shared" si="17"/>
        <v>-3.7041271680349097E-2</v>
      </c>
      <c r="I183" s="70">
        <f t="shared" si="17"/>
        <v>-2.5774622688615252E-2</v>
      </c>
      <c r="J183" s="70">
        <f t="shared" si="17"/>
        <v>0</v>
      </c>
      <c r="K183" s="70">
        <f t="shared" si="17"/>
        <v>2.1648144477163216E-3</v>
      </c>
      <c r="L183" s="69"/>
      <c r="M183" s="66">
        <f t="shared" si="16"/>
        <v>41719</v>
      </c>
      <c r="N183" s="81">
        <f t="shared" si="21"/>
        <v>133.83838383838369</v>
      </c>
      <c r="O183" s="81">
        <f t="shared" si="21"/>
        <v>90.758293838862656</v>
      </c>
      <c r="P183" s="81">
        <f t="shared" si="21"/>
        <v>104.946996466431</v>
      </c>
      <c r="Q183" s="81">
        <f t="shared" si="21"/>
        <v>100.32045588369479</v>
      </c>
    </row>
    <row r="184" spans="1:17">
      <c r="A184" s="66">
        <v>41722</v>
      </c>
      <c r="B184" s="66">
        <v>41722</v>
      </c>
      <c r="C184" s="67">
        <v>0.52</v>
      </c>
      <c r="D184" s="67">
        <v>0.374</v>
      </c>
      <c r="E184" s="67">
        <v>0.59399999999999997</v>
      </c>
      <c r="F184" s="68">
        <v>47993.42</v>
      </c>
      <c r="G184" s="66">
        <f t="shared" si="15"/>
        <v>41722</v>
      </c>
      <c r="H184" s="70">
        <f t="shared" si="17"/>
        <v>-1.9048194970694474E-2</v>
      </c>
      <c r="I184" s="70">
        <f t="shared" si="17"/>
        <v>-2.3779191766114063E-2</v>
      </c>
      <c r="J184" s="70">
        <f t="shared" si="17"/>
        <v>0</v>
      </c>
      <c r="K184" s="70">
        <f t="shared" si="17"/>
        <v>1.2843880049175537E-2</v>
      </c>
      <c r="L184" s="69"/>
      <c r="M184" s="66">
        <f t="shared" si="16"/>
        <v>41722</v>
      </c>
      <c r="N184" s="81">
        <f t="shared" si="21"/>
        <v>131.31313131313118</v>
      </c>
      <c r="O184" s="81">
        <f t="shared" si="21"/>
        <v>88.625592417061711</v>
      </c>
      <c r="P184" s="81">
        <f t="shared" si="21"/>
        <v>104.946996466431</v>
      </c>
      <c r="Q184" s="81">
        <f t="shared" si="21"/>
        <v>101.61727002076435</v>
      </c>
    </row>
    <row r="185" spans="1:17">
      <c r="A185" s="66">
        <v>41723</v>
      </c>
      <c r="B185" s="66">
        <v>41723</v>
      </c>
      <c r="C185" s="67">
        <v>0.5</v>
      </c>
      <c r="D185" s="67">
        <v>0.38300000000000001</v>
      </c>
      <c r="E185" s="67">
        <v>0.59</v>
      </c>
      <c r="F185" s="68">
        <v>48180.14</v>
      </c>
      <c r="G185" s="66">
        <f t="shared" si="15"/>
        <v>41723</v>
      </c>
      <c r="H185" s="70">
        <f t="shared" si="17"/>
        <v>-3.9220713153281385E-2</v>
      </c>
      <c r="I185" s="70">
        <f t="shared" si="17"/>
        <v>2.3779191766114149E-2</v>
      </c>
      <c r="J185" s="70">
        <f t="shared" si="17"/>
        <v>-6.7567824628797625E-3</v>
      </c>
      <c r="K185" s="70">
        <f t="shared" si="17"/>
        <v>3.8829847747539458E-3</v>
      </c>
      <c r="L185" s="69"/>
      <c r="M185" s="66">
        <f t="shared" si="16"/>
        <v>41723</v>
      </c>
      <c r="N185" s="81">
        <f t="shared" si="21"/>
        <v>126.26262626262613</v>
      </c>
      <c r="O185" s="81">
        <f t="shared" si="21"/>
        <v>90.75829383886267</v>
      </c>
      <c r="P185" s="81">
        <f t="shared" si="21"/>
        <v>104.24028268551228</v>
      </c>
      <c r="Q185" s="81">
        <f t="shared" si="21"/>
        <v>102.01261539640704</v>
      </c>
    </row>
    <row r="186" spans="1:17">
      <c r="A186" s="66">
        <v>41724</v>
      </c>
      <c r="B186" s="66">
        <v>41724</v>
      </c>
      <c r="C186" s="67">
        <v>0.54</v>
      </c>
      <c r="D186" s="67">
        <v>0.38300000000000001</v>
      </c>
      <c r="E186" s="67">
        <v>0.6</v>
      </c>
      <c r="F186" s="68">
        <v>47965.61</v>
      </c>
      <c r="G186" s="66">
        <f t="shared" si="15"/>
        <v>41724</v>
      </c>
      <c r="H186" s="70">
        <f t="shared" si="17"/>
        <v>7.6961041136128394E-2</v>
      </c>
      <c r="I186" s="70">
        <f t="shared" si="17"/>
        <v>0</v>
      </c>
      <c r="J186" s="70">
        <f t="shared" si="17"/>
        <v>1.6807118316381191E-2</v>
      </c>
      <c r="K186" s="70">
        <f t="shared" si="17"/>
        <v>-4.4626071569015911E-3</v>
      </c>
      <c r="L186" s="69"/>
      <c r="M186" s="66">
        <f t="shared" si="16"/>
        <v>41724</v>
      </c>
      <c r="N186" s="81">
        <f t="shared" si="21"/>
        <v>136.36363636363623</v>
      </c>
      <c r="O186" s="81">
        <f t="shared" si="21"/>
        <v>90.75829383886267</v>
      </c>
      <c r="P186" s="81">
        <f t="shared" si="21"/>
        <v>106.0070671378091</v>
      </c>
      <c r="Q186" s="81">
        <f t="shared" si="21"/>
        <v>101.55838744312607</v>
      </c>
    </row>
    <row r="187" spans="1:17">
      <c r="A187" s="66">
        <v>41725</v>
      </c>
      <c r="B187" s="66">
        <v>41725</v>
      </c>
      <c r="C187" s="67">
        <v>0.51</v>
      </c>
      <c r="D187" s="67">
        <v>0.40300000000000002</v>
      </c>
      <c r="E187" s="67">
        <v>0.56999999999999995</v>
      </c>
      <c r="F187" s="68">
        <v>49646.79</v>
      </c>
      <c r="G187" s="66">
        <f t="shared" si="15"/>
        <v>41725</v>
      </c>
      <c r="H187" s="70">
        <f t="shared" si="17"/>
        <v>-5.7158413839948637E-2</v>
      </c>
      <c r="I187" s="70">
        <f t="shared" si="17"/>
        <v>5.0901572766037032E-2</v>
      </c>
      <c r="J187" s="70">
        <f t="shared" si="17"/>
        <v>-5.1293294387550578E-2</v>
      </c>
      <c r="K187" s="70">
        <f t="shared" si="17"/>
        <v>3.4449440037507488E-2</v>
      </c>
      <c r="L187" s="69"/>
      <c r="M187" s="66">
        <f t="shared" si="16"/>
        <v>41725</v>
      </c>
      <c r="N187" s="81">
        <f t="shared" si="21"/>
        <v>128.78787878787867</v>
      </c>
      <c r="O187" s="81">
        <f t="shared" si="21"/>
        <v>95.497630331753669</v>
      </c>
      <c r="P187" s="81">
        <f t="shared" si="21"/>
        <v>100.70671378091865</v>
      </c>
      <c r="Q187" s="81">
        <f t="shared" si="21"/>
        <v>105.11797794560555</v>
      </c>
    </row>
    <row r="188" spans="1:17">
      <c r="A188" s="66">
        <v>41726</v>
      </c>
      <c r="B188" s="66">
        <v>41726</v>
      </c>
      <c r="C188" s="67">
        <v>0.53</v>
      </c>
      <c r="D188" s="67">
        <v>0.41199999999999998</v>
      </c>
      <c r="E188" s="67">
        <v>0.59</v>
      </c>
      <c r="F188" s="68">
        <v>49768.06</v>
      </c>
      <c r="G188" s="66">
        <f t="shared" si="15"/>
        <v>41726</v>
      </c>
      <c r="H188" s="70">
        <f t="shared" si="17"/>
        <v>3.8466280827796143E-2</v>
      </c>
      <c r="I188" s="70">
        <f t="shared" si="17"/>
        <v>2.2086787402843287E-2</v>
      </c>
      <c r="J188" s="70">
        <f t="shared" si="17"/>
        <v>3.4486176071169404E-2</v>
      </c>
      <c r="K188" s="70">
        <f t="shared" si="17"/>
        <v>2.4396769728094072E-3</v>
      </c>
      <c r="L188" s="69"/>
      <c r="M188" s="66">
        <f t="shared" si="16"/>
        <v>41726</v>
      </c>
      <c r="N188" s="81">
        <f t="shared" si="21"/>
        <v>133.83838383838372</v>
      </c>
      <c r="O188" s="81">
        <f t="shared" si="21"/>
        <v>97.630331753554614</v>
      </c>
      <c r="P188" s="81">
        <f t="shared" si="21"/>
        <v>104.2402826855123</v>
      </c>
      <c r="Q188" s="81">
        <f t="shared" si="21"/>
        <v>105.37474494273594</v>
      </c>
    </row>
    <row r="189" spans="1:17">
      <c r="A189" s="66">
        <v>41729</v>
      </c>
      <c r="B189" s="66">
        <v>41729</v>
      </c>
      <c r="C189" s="71">
        <v>0.5</v>
      </c>
      <c r="D189" s="67">
        <v>0.42199999999999999</v>
      </c>
      <c r="E189" s="67">
        <v>0.62</v>
      </c>
      <c r="F189" s="68">
        <v>50414.92</v>
      </c>
      <c r="G189" s="66">
        <f t="shared" si="15"/>
        <v>41729</v>
      </c>
      <c r="H189" s="70">
        <f t="shared" si="17"/>
        <v>-5.8268908123975879E-2</v>
      </c>
      <c r="I189" s="70">
        <f t="shared" si="17"/>
        <v>2.3981964686485405E-2</v>
      </c>
      <c r="J189" s="70">
        <f t="shared" si="17"/>
        <v>4.9596941139372186E-2</v>
      </c>
      <c r="K189" s="70">
        <f t="shared" si="17"/>
        <v>1.2913750208655083E-2</v>
      </c>
      <c r="L189" s="69"/>
      <c r="M189" s="66">
        <f t="shared" si="16"/>
        <v>41729</v>
      </c>
      <c r="N189" s="81">
        <f t="shared" si="21"/>
        <v>126.26262626262614</v>
      </c>
      <c r="O189" s="81">
        <f t="shared" si="21"/>
        <v>100.00000000000011</v>
      </c>
      <c r="P189" s="81">
        <f t="shared" si="21"/>
        <v>109.54063604240277</v>
      </c>
      <c r="Q189" s="81">
        <f t="shared" si="21"/>
        <v>106.74435242821274</v>
      </c>
    </row>
    <row r="190" spans="1:17">
      <c r="A190" s="66">
        <v>41730</v>
      </c>
      <c r="B190" s="66">
        <v>41730</v>
      </c>
      <c r="C190" s="67">
        <v>0.52</v>
      </c>
      <c r="D190" s="67">
        <v>0.42199999999999999</v>
      </c>
      <c r="E190" s="67">
        <v>0.62</v>
      </c>
      <c r="F190" s="68">
        <v>50270.37</v>
      </c>
      <c r="G190" s="66">
        <f t="shared" si="15"/>
        <v>41730</v>
      </c>
      <c r="H190" s="70">
        <f t="shared" si="17"/>
        <v>3.9220713153281329E-2</v>
      </c>
      <c r="I190" s="70">
        <f t="shared" si="17"/>
        <v>0</v>
      </c>
      <c r="J190" s="70">
        <f t="shared" si="17"/>
        <v>0</v>
      </c>
      <c r="K190" s="70">
        <f t="shared" si="17"/>
        <v>-2.8713250825805042E-3</v>
      </c>
      <c r="L190" s="69"/>
      <c r="M190" s="66">
        <f t="shared" si="16"/>
        <v>41730</v>
      </c>
      <c r="N190" s="81">
        <f t="shared" si="21"/>
        <v>131.31313131313118</v>
      </c>
      <c r="O190" s="81">
        <f t="shared" si="21"/>
        <v>100.00000000000011</v>
      </c>
      <c r="P190" s="81">
        <f t="shared" si="21"/>
        <v>109.54063604240277</v>
      </c>
      <c r="Q190" s="81">
        <f t="shared" si="21"/>
        <v>106.43829429812946</v>
      </c>
    </row>
    <row r="191" spans="1:17">
      <c r="A191" s="66">
        <v>41731</v>
      </c>
      <c r="B191" s="66">
        <v>41731</v>
      </c>
      <c r="C191" s="67">
        <v>0.51</v>
      </c>
      <c r="D191" s="67">
        <v>0.43099999999999999</v>
      </c>
      <c r="E191" s="67">
        <v>0.63</v>
      </c>
      <c r="F191" s="68">
        <v>51701.05</v>
      </c>
      <c r="G191" s="66">
        <f t="shared" si="15"/>
        <v>41731</v>
      </c>
      <c r="H191" s="70">
        <f t="shared" si="17"/>
        <v>-1.9418085857101627E-2</v>
      </c>
      <c r="I191" s="70">
        <f t="shared" si="17"/>
        <v>2.1102776067736036E-2</v>
      </c>
      <c r="J191" s="70">
        <f t="shared" si="17"/>
        <v>1.600034134644112E-2</v>
      </c>
      <c r="K191" s="70">
        <f t="shared" si="17"/>
        <v>2.8062252853882669E-2</v>
      </c>
      <c r="L191" s="69"/>
      <c r="M191" s="66">
        <f t="shared" si="16"/>
        <v>41731</v>
      </c>
      <c r="N191" s="81">
        <f t="shared" si="21"/>
        <v>128.78787878787864</v>
      </c>
      <c r="O191" s="81">
        <f t="shared" si="21"/>
        <v>102.13270142180107</v>
      </c>
      <c r="P191" s="81">
        <f t="shared" si="21"/>
        <v>111.30742049469958</v>
      </c>
      <c r="Q191" s="81">
        <f t="shared" si="21"/>
        <v>109.46749696535565</v>
      </c>
    </row>
    <row r="192" spans="1:17">
      <c r="A192" s="66">
        <v>41732</v>
      </c>
      <c r="B192" s="66">
        <v>41732</v>
      </c>
      <c r="C192" s="71">
        <v>0.52</v>
      </c>
      <c r="D192" s="67">
        <v>0.42199999999999999</v>
      </c>
      <c r="E192" s="67">
        <v>0.63</v>
      </c>
      <c r="F192" s="68">
        <v>51408.21</v>
      </c>
      <c r="G192" s="66">
        <f t="shared" si="15"/>
        <v>41732</v>
      </c>
      <c r="H192" s="70">
        <f t="shared" si="17"/>
        <v>1.9418085857101516E-2</v>
      </c>
      <c r="I192" s="70">
        <f t="shared" si="17"/>
        <v>-2.1102776067736053E-2</v>
      </c>
      <c r="J192" s="70">
        <f t="shared" si="17"/>
        <v>0</v>
      </c>
      <c r="K192" s="70">
        <f t="shared" si="17"/>
        <v>-5.6802034534257266E-3</v>
      </c>
      <c r="L192" s="69"/>
      <c r="M192" s="66">
        <f t="shared" si="16"/>
        <v>41732</v>
      </c>
      <c r="N192" s="81">
        <f t="shared" si="21"/>
        <v>131.31313131313115</v>
      </c>
      <c r="O192" s="81">
        <f t="shared" si="21"/>
        <v>100.00000000000011</v>
      </c>
      <c r="P192" s="81">
        <f t="shared" si="21"/>
        <v>111.30742049469958</v>
      </c>
      <c r="Q192" s="81">
        <f t="shared" si="21"/>
        <v>108.84746194070266</v>
      </c>
    </row>
    <row r="193" spans="1:17">
      <c r="A193" s="66">
        <v>41733</v>
      </c>
      <c r="B193" s="66">
        <v>41733</v>
      </c>
      <c r="C193" s="71">
        <v>0.52</v>
      </c>
      <c r="D193" s="67">
        <v>0.42199999999999999</v>
      </c>
      <c r="E193" s="67">
        <v>0.64</v>
      </c>
      <c r="F193" s="68">
        <v>51081.78</v>
      </c>
      <c r="G193" s="66">
        <f t="shared" si="15"/>
        <v>41733</v>
      </c>
      <c r="H193" s="70">
        <f t="shared" si="17"/>
        <v>0</v>
      </c>
      <c r="I193" s="70">
        <f t="shared" si="17"/>
        <v>0</v>
      </c>
      <c r="J193" s="70">
        <f t="shared" si="17"/>
        <v>1.5748356968139112E-2</v>
      </c>
      <c r="K193" s="70">
        <f t="shared" si="17"/>
        <v>-6.370009476938404E-3</v>
      </c>
      <c r="L193" s="69"/>
      <c r="M193" s="66">
        <f t="shared" si="16"/>
        <v>41733</v>
      </c>
      <c r="N193" s="81">
        <f t="shared" si="21"/>
        <v>131.31313131313115</v>
      </c>
      <c r="O193" s="81">
        <f t="shared" si="21"/>
        <v>100.00000000000011</v>
      </c>
      <c r="P193" s="81">
        <f t="shared" si="21"/>
        <v>113.0742049469964</v>
      </c>
      <c r="Q193" s="81">
        <f t="shared" si="21"/>
        <v>108.15630624784147</v>
      </c>
    </row>
    <row r="194" spans="1:17">
      <c r="A194" s="66">
        <v>41736</v>
      </c>
      <c r="B194" s="66">
        <v>41736</v>
      </c>
      <c r="C194" s="67">
        <v>0.52</v>
      </c>
      <c r="D194" s="67">
        <v>0.45100000000000001</v>
      </c>
      <c r="E194" s="67">
        <v>0.65</v>
      </c>
      <c r="F194" s="68">
        <v>52155.28</v>
      </c>
      <c r="G194" s="66">
        <f t="shared" si="15"/>
        <v>41736</v>
      </c>
      <c r="H194" s="70">
        <f t="shared" si="17"/>
        <v>0</v>
      </c>
      <c r="I194" s="70">
        <f t="shared" si="17"/>
        <v>6.646202546666663E-2</v>
      </c>
      <c r="J194" s="70">
        <f t="shared" si="17"/>
        <v>1.5504186535965254E-2</v>
      </c>
      <c r="K194" s="70">
        <f t="shared" si="17"/>
        <v>2.079754487077122E-2</v>
      </c>
      <c r="L194" s="69"/>
      <c r="M194" s="66">
        <f t="shared" si="16"/>
        <v>41736</v>
      </c>
      <c r="N194" s="81">
        <f t="shared" si="21"/>
        <v>131.31313131313115</v>
      </c>
      <c r="O194" s="81">
        <f t="shared" si="21"/>
        <v>106.87203791469207</v>
      </c>
      <c r="P194" s="81">
        <f t="shared" si="21"/>
        <v>114.84098939929322</v>
      </c>
      <c r="Q194" s="81">
        <f t="shared" si="21"/>
        <v>110.42924573344784</v>
      </c>
    </row>
    <row r="195" spans="1:17">
      <c r="A195" s="66">
        <v>41737</v>
      </c>
      <c r="B195" s="66">
        <v>41737</v>
      </c>
      <c r="C195" s="67">
        <v>0.51</v>
      </c>
      <c r="D195" s="67">
        <v>0.45100000000000001</v>
      </c>
      <c r="E195" s="67">
        <v>0.65</v>
      </c>
      <c r="F195" s="68">
        <v>51629.07</v>
      </c>
      <c r="G195" s="66">
        <f t="shared" si="15"/>
        <v>41737</v>
      </c>
      <c r="H195" s="70">
        <f t="shared" si="17"/>
        <v>-1.9418085857101627E-2</v>
      </c>
      <c r="I195" s="70">
        <f t="shared" si="17"/>
        <v>0</v>
      </c>
      <c r="J195" s="70">
        <f t="shared" si="17"/>
        <v>0</v>
      </c>
      <c r="K195" s="70">
        <f t="shared" si="17"/>
        <v>-1.0140536780252148E-2</v>
      </c>
      <c r="L195" s="69"/>
      <c r="M195" s="66">
        <f t="shared" si="16"/>
        <v>41737</v>
      </c>
      <c r="N195" s="81">
        <f t="shared" si="21"/>
        <v>128.78787878787861</v>
      </c>
      <c r="O195" s="81">
        <f t="shared" si="21"/>
        <v>106.87203791469207</v>
      </c>
      <c r="P195" s="81">
        <f t="shared" si="21"/>
        <v>114.84098939929322</v>
      </c>
      <c r="Q195" s="81">
        <f t="shared" si="21"/>
        <v>109.31509250874275</v>
      </c>
    </row>
    <row r="196" spans="1:17">
      <c r="A196" s="66">
        <v>41738</v>
      </c>
      <c r="B196" s="66">
        <v>41738</v>
      </c>
      <c r="C196" s="67">
        <v>0.49</v>
      </c>
      <c r="D196" s="67">
        <v>0.45100000000000001</v>
      </c>
      <c r="E196" s="67">
        <v>0.7</v>
      </c>
      <c r="F196" s="68">
        <v>51185.4</v>
      </c>
      <c r="G196" s="66">
        <f t="shared" ref="G196:G227" si="22">A196</f>
        <v>41738</v>
      </c>
      <c r="H196" s="70">
        <f t="shared" si="17"/>
        <v>-4.0005334613699248E-2</v>
      </c>
      <c r="I196" s="70">
        <f t="shared" si="17"/>
        <v>0</v>
      </c>
      <c r="J196" s="70">
        <f t="shared" si="17"/>
        <v>7.4107972153721835E-2</v>
      </c>
      <c r="K196" s="70">
        <f t="shared" ref="K196:K249" si="23">LN(F196/F195)</f>
        <v>-8.6305508153721247E-3</v>
      </c>
      <c r="L196" s="69"/>
      <c r="M196" s="66">
        <f t="shared" ref="M196:M249" si="24">A196</f>
        <v>41738</v>
      </c>
      <c r="N196" s="81">
        <f t="shared" si="21"/>
        <v>123.73737373737356</v>
      </c>
      <c r="O196" s="81">
        <f t="shared" si="21"/>
        <v>106.87203791469207</v>
      </c>
      <c r="P196" s="81">
        <f t="shared" si="21"/>
        <v>123.67491166077731</v>
      </c>
      <c r="Q196" s="81">
        <f t="shared" si="21"/>
        <v>108.37570260508278</v>
      </c>
    </row>
    <row r="197" spans="1:17">
      <c r="A197" s="66">
        <v>41739</v>
      </c>
      <c r="B197" s="66">
        <v>41739</v>
      </c>
      <c r="C197" s="67">
        <v>0.51</v>
      </c>
      <c r="D197" s="67">
        <v>0.46</v>
      </c>
      <c r="E197" s="67">
        <v>0.73</v>
      </c>
      <c r="F197" s="68">
        <v>51127.48</v>
      </c>
      <c r="G197" s="66">
        <f t="shared" si="22"/>
        <v>41739</v>
      </c>
      <c r="H197" s="70">
        <f t="shared" ref="H197:J249" si="25">LN(C197/C196)</f>
        <v>4.0005334613699206E-2</v>
      </c>
      <c r="I197" s="70">
        <f t="shared" si="25"/>
        <v>1.9759149980462392E-2</v>
      </c>
      <c r="J197" s="70">
        <f t="shared" si="25"/>
        <v>4.1964199099032207E-2</v>
      </c>
      <c r="K197" s="70">
        <f t="shared" si="23"/>
        <v>-1.1322133867669221E-3</v>
      </c>
      <c r="L197" s="69"/>
      <c r="M197" s="66">
        <f t="shared" si="24"/>
        <v>41739</v>
      </c>
      <c r="N197" s="81">
        <f t="shared" ref="N197:Q212" si="26">C197/C196*N196</f>
        <v>128.78787878787861</v>
      </c>
      <c r="O197" s="81">
        <f t="shared" si="26"/>
        <v>109.00473933649303</v>
      </c>
      <c r="P197" s="81">
        <f t="shared" si="26"/>
        <v>128.97526501766777</v>
      </c>
      <c r="Q197" s="81">
        <f t="shared" si="26"/>
        <v>108.2530676213787</v>
      </c>
    </row>
    <row r="198" spans="1:17">
      <c r="A198" s="66">
        <v>41740</v>
      </c>
      <c r="B198" s="66">
        <v>41740</v>
      </c>
      <c r="C198" s="67">
        <v>0.51</v>
      </c>
      <c r="D198" s="67">
        <v>0.441</v>
      </c>
      <c r="E198" s="67">
        <v>0.72</v>
      </c>
      <c r="F198" s="68">
        <v>51867.29</v>
      </c>
      <c r="G198" s="66">
        <f t="shared" si="22"/>
        <v>41740</v>
      </c>
      <c r="H198" s="70">
        <f t="shared" si="25"/>
        <v>0</v>
      </c>
      <c r="I198" s="70">
        <f t="shared" si="25"/>
        <v>-4.2181614036294675E-2</v>
      </c>
      <c r="J198" s="70">
        <f t="shared" si="25"/>
        <v>-1.3793322132335873E-2</v>
      </c>
      <c r="K198" s="70">
        <f t="shared" si="23"/>
        <v>1.4366219254903468E-2</v>
      </c>
      <c r="L198" s="69"/>
      <c r="M198" s="66">
        <f t="shared" si="24"/>
        <v>41740</v>
      </c>
      <c r="N198" s="81">
        <f t="shared" si="26"/>
        <v>128.78787878787861</v>
      </c>
      <c r="O198" s="81">
        <f t="shared" si="26"/>
        <v>104.50236966824659</v>
      </c>
      <c r="P198" s="81">
        <f t="shared" si="26"/>
        <v>127.20848056537093</v>
      </c>
      <c r="Q198" s="81">
        <f t="shared" si="26"/>
        <v>109.81947969482671</v>
      </c>
    </row>
    <row r="199" spans="1:17">
      <c r="A199" s="66">
        <v>41743</v>
      </c>
      <c r="B199" s="66">
        <v>41743</v>
      </c>
      <c r="C199" s="67">
        <v>0.51</v>
      </c>
      <c r="D199" s="67">
        <v>0.46</v>
      </c>
      <c r="E199" s="67">
        <v>0.69</v>
      </c>
      <c r="F199" s="68">
        <v>51596.55</v>
      </c>
      <c r="G199" s="66">
        <f t="shared" si="22"/>
        <v>41743</v>
      </c>
      <c r="H199" s="70">
        <f t="shared" si="25"/>
        <v>0</v>
      </c>
      <c r="I199" s="70">
        <f t="shared" si="25"/>
        <v>4.2181614036294668E-2</v>
      </c>
      <c r="J199" s="70">
        <f t="shared" si="25"/>
        <v>-4.2559614418796007E-2</v>
      </c>
      <c r="K199" s="70">
        <f t="shared" si="23"/>
        <v>-5.2335312116842999E-3</v>
      </c>
      <c r="L199" s="69"/>
      <c r="M199" s="66">
        <f t="shared" si="24"/>
        <v>41743</v>
      </c>
      <c r="N199" s="81">
        <f t="shared" si="26"/>
        <v>128.78787878787861</v>
      </c>
      <c r="O199" s="81">
        <f t="shared" si="26"/>
        <v>109.00473933649303</v>
      </c>
      <c r="P199" s="81">
        <f t="shared" si="26"/>
        <v>121.90812720848047</v>
      </c>
      <c r="Q199" s="81">
        <f t="shared" si="26"/>
        <v>109.24623736941166</v>
      </c>
    </row>
    <row r="200" spans="1:17">
      <c r="A200" s="66">
        <v>41744</v>
      </c>
      <c r="B200" s="66">
        <v>41744</v>
      </c>
      <c r="C200" s="67">
        <v>0.5</v>
      </c>
      <c r="D200" s="67">
        <v>0.46</v>
      </c>
      <c r="E200" s="67">
        <v>0.68</v>
      </c>
      <c r="F200" s="68">
        <v>50454.35</v>
      </c>
      <c r="G200" s="66">
        <f t="shared" si="22"/>
        <v>41744</v>
      </c>
      <c r="H200" s="70">
        <f t="shared" si="25"/>
        <v>-1.9802627296179754E-2</v>
      </c>
      <c r="I200" s="70">
        <f t="shared" si="25"/>
        <v>0</v>
      </c>
      <c r="J200" s="70">
        <f t="shared" si="25"/>
        <v>-1.4598799421152523E-2</v>
      </c>
      <c r="K200" s="70">
        <f t="shared" si="23"/>
        <v>-2.2385842720453714E-2</v>
      </c>
      <c r="L200" s="69"/>
      <c r="M200" s="66">
        <f t="shared" si="24"/>
        <v>41744</v>
      </c>
      <c r="N200" s="81">
        <f t="shared" si="26"/>
        <v>126.26262626262609</v>
      </c>
      <c r="O200" s="81">
        <f t="shared" si="26"/>
        <v>109.00473933649303</v>
      </c>
      <c r="P200" s="81">
        <f t="shared" si="26"/>
        <v>120.14134275618366</v>
      </c>
      <c r="Q200" s="81">
        <f t="shared" si="26"/>
        <v>106.8278382259933</v>
      </c>
    </row>
    <row r="201" spans="1:17">
      <c r="A201" s="66">
        <v>41745</v>
      </c>
      <c r="B201" s="66">
        <v>41745</v>
      </c>
      <c r="C201" s="67">
        <v>0.5</v>
      </c>
      <c r="D201" s="67">
        <v>0.45100000000000001</v>
      </c>
      <c r="E201" s="67">
        <v>0.7</v>
      </c>
      <c r="F201" s="68">
        <v>51200.56</v>
      </c>
      <c r="G201" s="66">
        <f t="shared" si="22"/>
        <v>41745</v>
      </c>
      <c r="H201" s="70">
        <f t="shared" si="25"/>
        <v>0</v>
      </c>
      <c r="I201" s="70">
        <f t="shared" si="25"/>
        <v>-1.9759149980462333E-2</v>
      </c>
      <c r="J201" s="70">
        <f t="shared" si="25"/>
        <v>2.8987536873252187E-2</v>
      </c>
      <c r="K201" s="70">
        <f t="shared" si="23"/>
        <v>1.4681502418961474E-2</v>
      </c>
      <c r="L201" s="69"/>
      <c r="M201" s="66">
        <f t="shared" si="24"/>
        <v>41745</v>
      </c>
      <c r="N201" s="81">
        <f t="shared" si="26"/>
        <v>126.26262626262609</v>
      </c>
      <c r="O201" s="81">
        <f t="shared" si="26"/>
        <v>106.87203791469209</v>
      </c>
      <c r="P201" s="81">
        <f t="shared" si="26"/>
        <v>123.67491166077728</v>
      </c>
      <c r="Q201" s="81">
        <f t="shared" si="26"/>
        <v>108.40780112636995</v>
      </c>
    </row>
    <row r="202" spans="1:17">
      <c r="A202" s="66">
        <v>41746</v>
      </c>
      <c r="B202" s="66">
        <v>41746</v>
      </c>
      <c r="C202" s="67">
        <v>0.5</v>
      </c>
      <c r="D202" s="67">
        <v>0.46</v>
      </c>
      <c r="E202" s="67">
        <v>0.68</v>
      </c>
      <c r="F202" s="68">
        <v>52111.85</v>
      </c>
      <c r="G202" s="66">
        <f t="shared" si="22"/>
        <v>41746</v>
      </c>
      <c r="H202" s="70">
        <f t="shared" si="25"/>
        <v>0</v>
      </c>
      <c r="I202" s="70">
        <f t="shared" si="25"/>
        <v>1.9759149980462392E-2</v>
      </c>
      <c r="J202" s="70">
        <f t="shared" si="25"/>
        <v>-2.8987536873252187E-2</v>
      </c>
      <c r="K202" s="70">
        <f t="shared" si="23"/>
        <v>1.7641900628366954E-2</v>
      </c>
      <c r="L202" s="69"/>
      <c r="M202" s="66">
        <f t="shared" si="24"/>
        <v>41746</v>
      </c>
      <c r="N202" s="81">
        <f t="shared" si="26"/>
        <v>126.26262626262609</v>
      </c>
      <c r="O202" s="81">
        <f t="shared" si="26"/>
        <v>109.00473933649305</v>
      </c>
      <c r="P202" s="81">
        <f t="shared" si="26"/>
        <v>120.14134275618366</v>
      </c>
      <c r="Q202" s="81">
        <f t="shared" si="26"/>
        <v>110.33729066883686</v>
      </c>
    </row>
    <row r="203" spans="1:17">
      <c r="A203" s="66">
        <v>41751</v>
      </c>
      <c r="B203" s="66">
        <v>41751</v>
      </c>
      <c r="C203" s="71">
        <v>0.51</v>
      </c>
      <c r="D203" s="67">
        <v>0.45100000000000001</v>
      </c>
      <c r="E203" s="67">
        <v>0.62</v>
      </c>
      <c r="F203" s="68">
        <v>51976.86</v>
      </c>
      <c r="G203" s="66">
        <f t="shared" si="22"/>
        <v>41751</v>
      </c>
      <c r="H203" s="70">
        <f t="shared" si="25"/>
        <v>1.980262729617973E-2</v>
      </c>
      <c r="I203" s="70">
        <f t="shared" si="25"/>
        <v>-1.9759149980462333E-2</v>
      </c>
      <c r="J203" s="70">
        <f t="shared" si="25"/>
        <v>-9.2373320131015166E-2</v>
      </c>
      <c r="K203" s="70">
        <f t="shared" si="23"/>
        <v>-2.5937505744711843E-3</v>
      </c>
      <c r="L203" s="69"/>
      <c r="M203" s="66">
        <f t="shared" si="24"/>
        <v>41751</v>
      </c>
      <c r="N203" s="81">
        <f t="shared" si="26"/>
        <v>128.78787878787861</v>
      </c>
      <c r="O203" s="81">
        <f t="shared" si="26"/>
        <v>106.8720379146921</v>
      </c>
      <c r="P203" s="81">
        <f t="shared" si="26"/>
        <v>109.54063604240275</v>
      </c>
      <c r="Q203" s="81">
        <f t="shared" si="26"/>
        <v>110.05147408647822</v>
      </c>
    </row>
    <row r="204" spans="1:17">
      <c r="A204" s="66">
        <v>41752</v>
      </c>
      <c r="B204" s="66">
        <v>41752</v>
      </c>
      <c r="C204" s="67">
        <v>0.51</v>
      </c>
      <c r="D204" s="67">
        <v>0.45100000000000001</v>
      </c>
      <c r="E204" s="71">
        <v>0.63</v>
      </c>
      <c r="F204" s="68">
        <v>51569.69</v>
      </c>
      <c r="G204" s="66">
        <f t="shared" si="22"/>
        <v>41752</v>
      </c>
      <c r="H204" s="70">
        <f t="shared" si="25"/>
        <v>0</v>
      </c>
      <c r="I204" s="70">
        <f t="shared" si="25"/>
        <v>0</v>
      </c>
      <c r="J204" s="70">
        <f t="shared" si="25"/>
        <v>1.600034134644112E-2</v>
      </c>
      <c r="K204" s="70">
        <f t="shared" si="23"/>
        <v>-7.8645227415927426E-3</v>
      </c>
      <c r="L204" s="69"/>
      <c r="M204" s="66">
        <f t="shared" si="24"/>
        <v>41752</v>
      </c>
      <c r="N204" s="81">
        <f t="shared" si="26"/>
        <v>128.78787878787861</v>
      </c>
      <c r="O204" s="81">
        <f t="shared" si="26"/>
        <v>106.8720379146921</v>
      </c>
      <c r="P204" s="81">
        <f t="shared" si="26"/>
        <v>111.30742049469957</v>
      </c>
      <c r="Q204" s="81">
        <f t="shared" si="26"/>
        <v>109.18936624264559</v>
      </c>
    </row>
    <row r="205" spans="1:17">
      <c r="A205" s="66">
        <v>41753</v>
      </c>
      <c r="B205" s="66">
        <v>41753</v>
      </c>
      <c r="C205" s="67">
        <v>0.51</v>
      </c>
      <c r="D205" s="67">
        <v>0.46</v>
      </c>
      <c r="E205" s="67">
        <v>0.6</v>
      </c>
      <c r="F205" s="68">
        <v>51817.45</v>
      </c>
      <c r="G205" s="66">
        <f t="shared" si="22"/>
        <v>41753</v>
      </c>
      <c r="H205" s="70">
        <f t="shared" si="25"/>
        <v>0</v>
      </c>
      <c r="I205" s="70">
        <f t="shared" si="25"/>
        <v>1.9759149980462392E-2</v>
      </c>
      <c r="J205" s="70">
        <f t="shared" si="25"/>
        <v>-4.8790164169432056E-2</v>
      </c>
      <c r="K205" s="70">
        <f t="shared" si="23"/>
        <v>4.7928683255288908E-3</v>
      </c>
      <c r="L205" s="69"/>
      <c r="M205" s="66">
        <f t="shared" si="24"/>
        <v>41753</v>
      </c>
      <c r="N205" s="81">
        <f t="shared" si="26"/>
        <v>128.78787878787861</v>
      </c>
      <c r="O205" s="81">
        <f t="shared" si="26"/>
        <v>109.00473933649306</v>
      </c>
      <c r="P205" s="81">
        <f t="shared" si="26"/>
        <v>106.0070671378091</v>
      </c>
      <c r="Q205" s="81">
        <f t="shared" si="26"/>
        <v>109.71395263012005</v>
      </c>
    </row>
    <row r="206" spans="1:17">
      <c r="A206" s="66">
        <v>41754</v>
      </c>
      <c r="B206" s="66">
        <v>41754</v>
      </c>
      <c r="C206" s="67">
        <v>0.51</v>
      </c>
      <c r="D206" s="67">
        <v>0.46</v>
      </c>
      <c r="E206" s="67">
        <v>0.63</v>
      </c>
      <c r="F206" s="68">
        <v>51399.35</v>
      </c>
      <c r="G206" s="66">
        <f t="shared" si="22"/>
        <v>41754</v>
      </c>
      <c r="H206" s="70">
        <f t="shared" si="25"/>
        <v>0</v>
      </c>
      <c r="I206" s="70">
        <f t="shared" si="25"/>
        <v>0</v>
      </c>
      <c r="J206" s="70">
        <f t="shared" si="25"/>
        <v>4.8790164169432049E-2</v>
      </c>
      <c r="K206" s="70">
        <f t="shared" si="23"/>
        <v>-8.1014386567176688E-3</v>
      </c>
      <c r="L206" s="69"/>
      <c r="M206" s="66">
        <f t="shared" si="24"/>
        <v>41754</v>
      </c>
      <c r="N206" s="81">
        <f t="shared" si="26"/>
        <v>128.78787878787861</v>
      </c>
      <c r="O206" s="81">
        <f t="shared" si="26"/>
        <v>109.00473933649306</v>
      </c>
      <c r="P206" s="81">
        <f t="shared" si="26"/>
        <v>111.30742049469956</v>
      </c>
      <c r="Q206" s="81">
        <f t="shared" si="26"/>
        <v>108.82870251467335</v>
      </c>
    </row>
    <row r="207" spans="1:17">
      <c r="A207" s="66">
        <v>41757</v>
      </c>
      <c r="B207" s="66">
        <v>41757</v>
      </c>
      <c r="C207" s="67">
        <v>0.47</v>
      </c>
      <c r="D207" s="67">
        <v>0.46</v>
      </c>
      <c r="E207" s="67">
        <v>0.62</v>
      </c>
      <c r="F207" s="68">
        <v>51383.68</v>
      </c>
      <c r="G207" s="66">
        <f t="shared" si="22"/>
        <v>41757</v>
      </c>
      <c r="H207" s="70">
        <f t="shared" si="25"/>
        <v>-8.1678031014267238E-2</v>
      </c>
      <c r="I207" s="70">
        <f t="shared" si="25"/>
        <v>0</v>
      </c>
      <c r="J207" s="70">
        <f t="shared" si="25"/>
        <v>-1.6000341346441189E-2</v>
      </c>
      <c r="K207" s="70">
        <f t="shared" si="23"/>
        <v>-3.0491415015503526E-4</v>
      </c>
      <c r="L207" s="69"/>
      <c r="M207" s="66">
        <f t="shared" si="24"/>
        <v>41757</v>
      </c>
      <c r="N207" s="81">
        <f t="shared" si="26"/>
        <v>118.68686868686852</v>
      </c>
      <c r="O207" s="81">
        <f t="shared" si="26"/>
        <v>109.00473933649306</v>
      </c>
      <c r="P207" s="81">
        <f t="shared" si="26"/>
        <v>109.54063604240274</v>
      </c>
      <c r="Q207" s="81">
        <f t="shared" si="26"/>
        <v>108.7955241618653</v>
      </c>
    </row>
    <row r="208" spans="1:17">
      <c r="A208" s="66">
        <v>41758</v>
      </c>
      <c r="B208" s="66">
        <v>41758</v>
      </c>
      <c r="C208" s="67">
        <v>0.5</v>
      </c>
      <c r="D208" s="67">
        <v>0.45100000000000001</v>
      </c>
      <c r="E208" s="67">
        <v>0.59</v>
      </c>
      <c r="F208" s="68">
        <v>51838.61</v>
      </c>
      <c r="G208" s="66">
        <f t="shared" si="22"/>
        <v>41758</v>
      </c>
      <c r="H208" s="70">
        <f t="shared" si="25"/>
        <v>6.1875403718087453E-2</v>
      </c>
      <c r="I208" s="70">
        <f t="shared" si="25"/>
        <v>-1.9759149980462333E-2</v>
      </c>
      <c r="J208" s="70">
        <f t="shared" si="25"/>
        <v>-4.9596941139372179E-2</v>
      </c>
      <c r="K208" s="70">
        <f t="shared" si="23"/>
        <v>8.8146260963248083E-3</v>
      </c>
      <c r="L208" s="69"/>
      <c r="M208" s="66">
        <f t="shared" si="24"/>
        <v>41758</v>
      </c>
      <c r="N208" s="81">
        <f t="shared" si="26"/>
        <v>126.26262626262609</v>
      </c>
      <c r="O208" s="81">
        <f t="shared" si="26"/>
        <v>106.87203791469211</v>
      </c>
      <c r="P208" s="81">
        <f t="shared" si="26"/>
        <v>104.24028268551227</v>
      </c>
      <c r="Q208" s="81">
        <f t="shared" si="26"/>
        <v>109.75875505165281</v>
      </c>
    </row>
    <row r="209" spans="1:17">
      <c r="A209" s="66">
        <v>41759</v>
      </c>
      <c r="B209" s="66">
        <v>41759</v>
      </c>
      <c r="C209" s="67">
        <v>0.5</v>
      </c>
      <c r="D209" s="67">
        <v>0.46</v>
      </c>
      <c r="E209" s="67">
        <v>0.6</v>
      </c>
      <c r="F209" s="68">
        <v>51626.69</v>
      </c>
      <c r="G209" s="66">
        <f t="shared" si="22"/>
        <v>41759</v>
      </c>
      <c r="H209" s="70">
        <f t="shared" si="25"/>
        <v>0</v>
      </c>
      <c r="I209" s="70">
        <f t="shared" si="25"/>
        <v>1.9759149980462392E-2</v>
      </c>
      <c r="J209" s="70">
        <f t="shared" si="25"/>
        <v>1.6807118316381191E-2</v>
      </c>
      <c r="K209" s="70">
        <f t="shared" si="23"/>
        <v>-4.0964515900670934E-3</v>
      </c>
      <c r="L209" s="69"/>
      <c r="M209" s="66">
        <f t="shared" si="24"/>
        <v>41759</v>
      </c>
      <c r="N209" s="81">
        <f t="shared" si="26"/>
        <v>126.26262626262609</v>
      </c>
      <c r="O209" s="81">
        <f t="shared" si="26"/>
        <v>109.00473933649307</v>
      </c>
      <c r="P209" s="81">
        <f t="shared" si="26"/>
        <v>106.00706713780909</v>
      </c>
      <c r="Q209" s="81">
        <f t="shared" si="26"/>
        <v>109.31005329497867</v>
      </c>
    </row>
    <row r="210" spans="1:17">
      <c r="A210" s="66">
        <v>41761</v>
      </c>
      <c r="B210" s="66">
        <v>41761</v>
      </c>
      <c r="C210" s="67">
        <v>0.5</v>
      </c>
      <c r="D210" s="67">
        <v>0.47</v>
      </c>
      <c r="E210" s="67">
        <v>0.6</v>
      </c>
      <c r="F210" s="68">
        <v>52980.31</v>
      </c>
      <c r="G210" s="66">
        <f t="shared" si="22"/>
        <v>41761</v>
      </c>
      <c r="H210" s="70">
        <f t="shared" si="25"/>
        <v>0</v>
      </c>
      <c r="I210" s="70">
        <f t="shared" si="25"/>
        <v>2.1506205220963463E-2</v>
      </c>
      <c r="J210" s="70">
        <f t="shared" si="25"/>
        <v>0</v>
      </c>
      <c r="K210" s="70">
        <f t="shared" si="23"/>
        <v>2.5881548268568162E-2</v>
      </c>
      <c r="L210" s="69"/>
      <c r="M210" s="66">
        <f t="shared" si="24"/>
        <v>41761</v>
      </c>
      <c r="N210" s="81">
        <f t="shared" si="26"/>
        <v>126.26262626262609</v>
      </c>
      <c r="O210" s="81">
        <f t="shared" si="26"/>
        <v>111.37440758293856</v>
      </c>
      <c r="P210" s="81">
        <f t="shared" si="26"/>
        <v>106.00706713780909</v>
      </c>
      <c r="Q210" s="81">
        <f t="shared" si="26"/>
        <v>112.17609553671737</v>
      </c>
    </row>
    <row r="211" spans="1:17">
      <c r="A211" s="66">
        <v>41764</v>
      </c>
      <c r="B211" s="66">
        <v>41764</v>
      </c>
      <c r="C211" s="67">
        <v>0.5</v>
      </c>
      <c r="D211" s="67">
        <v>0.47</v>
      </c>
      <c r="E211" s="67">
        <v>0.6</v>
      </c>
      <c r="F211" s="68">
        <v>53446.17</v>
      </c>
      <c r="G211" s="66">
        <f t="shared" si="22"/>
        <v>41764</v>
      </c>
      <c r="H211" s="70">
        <f t="shared" si="25"/>
        <v>0</v>
      </c>
      <c r="I211" s="70">
        <f t="shared" si="25"/>
        <v>0</v>
      </c>
      <c r="J211" s="70">
        <f t="shared" si="25"/>
        <v>0</v>
      </c>
      <c r="K211" s="70">
        <f t="shared" si="23"/>
        <v>8.7546440591846179E-3</v>
      </c>
      <c r="L211" s="69"/>
      <c r="M211" s="66">
        <f t="shared" si="24"/>
        <v>41764</v>
      </c>
      <c r="N211" s="81">
        <f t="shared" si="26"/>
        <v>126.26262626262609</v>
      </c>
      <c r="O211" s="81">
        <f t="shared" si="26"/>
        <v>111.37440758293856</v>
      </c>
      <c r="P211" s="81">
        <f t="shared" si="26"/>
        <v>106.00706713780909</v>
      </c>
      <c r="Q211" s="81">
        <f t="shared" si="26"/>
        <v>113.16246869811893</v>
      </c>
    </row>
    <row r="212" spans="1:17">
      <c r="A212" s="66">
        <v>41765</v>
      </c>
      <c r="B212" s="66">
        <v>41765</v>
      </c>
      <c r="C212" s="67">
        <v>0.5</v>
      </c>
      <c r="D212" s="67">
        <v>0.45</v>
      </c>
      <c r="E212" s="67">
        <v>0.61</v>
      </c>
      <c r="F212" s="68">
        <v>53779.74</v>
      </c>
      <c r="G212" s="66">
        <f t="shared" si="22"/>
        <v>41765</v>
      </c>
      <c r="H212" s="70">
        <f t="shared" si="25"/>
        <v>0</v>
      </c>
      <c r="I212" s="70">
        <f t="shared" si="25"/>
        <v>-4.348511193973878E-2</v>
      </c>
      <c r="J212" s="70">
        <f t="shared" si="25"/>
        <v>1.6529301951210506E-2</v>
      </c>
      <c r="K212" s="70">
        <f t="shared" si="23"/>
        <v>6.2218371674437421E-3</v>
      </c>
      <c r="L212" s="69"/>
      <c r="M212" s="66">
        <f t="shared" si="24"/>
        <v>41765</v>
      </c>
      <c r="N212" s="81">
        <f t="shared" si="26"/>
        <v>126.26262626262609</v>
      </c>
      <c r="O212" s="81">
        <f t="shared" si="26"/>
        <v>106.63507109004756</v>
      </c>
      <c r="P212" s="81">
        <f t="shared" si="26"/>
        <v>107.77385159010591</v>
      </c>
      <c r="Q212" s="81">
        <f t="shared" si="26"/>
        <v>113.86874203227237</v>
      </c>
    </row>
    <row r="213" spans="1:17">
      <c r="A213" s="66">
        <v>41766</v>
      </c>
      <c r="B213" s="66">
        <v>41766</v>
      </c>
      <c r="C213" s="67">
        <v>0.5</v>
      </c>
      <c r="D213" s="67">
        <v>0.46</v>
      </c>
      <c r="E213" s="67">
        <v>0.61</v>
      </c>
      <c r="F213" s="68">
        <v>54052.74</v>
      </c>
      <c r="G213" s="66">
        <f t="shared" si="22"/>
        <v>41766</v>
      </c>
      <c r="H213" s="70">
        <f t="shared" si="25"/>
        <v>0</v>
      </c>
      <c r="I213" s="70">
        <f t="shared" si="25"/>
        <v>2.1978906718775167E-2</v>
      </c>
      <c r="J213" s="70">
        <f t="shared" si="25"/>
        <v>0</v>
      </c>
      <c r="K213" s="70">
        <f t="shared" si="23"/>
        <v>5.063420284303316E-3</v>
      </c>
      <c r="L213" s="69"/>
      <c r="M213" s="66">
        <f t="shared" si="24"/>
        <v>41766</v>
      </c>
      <c r="N213" s="81">
        <f t="shared" ref="N213:Q228" si="27">C213/C212*N212</f>
        <v>126.26262626262609</v>
      </c>
      <c r="O213" s="81">
        <f t="shared" si="27"/>
        <v>109.00473933649306</v>
      </c>
      <c r="P213" s="81">
        <f t="shared" si="27"/>
        <v>107.77385159010591</v>
      </c>
      <c r="Q213" s="81">
        <f t="shared" si="27"/>
        <v>114.4467694934466</v>
      </c>
    </row>
    <row r="214" spans="1:17">
      <c r="A214" s="66">
        <v>41767</v>
      </c>
      <c r="B214" s="66">
        <v>41767</v>
      </c>
      <c r="C214" s="67">
        <v>0.5</v>
      </c>
      <c r="D214" s="67">
        <v>0.45</v>
      </c>
      <c r="E214" s="67">
        <v>0.61</v>
      </c>
      <c r="F214" s="68">
        <v>53422.37</v>
      </c>
      <c r="G214" s="66">
        <f t="shared" si="22"/>
        <v>41767</v>
      </c>
      <c r="H214" s="70">
        <f t="shared" si="25"/>
        <v>0</v>
      </c>
      <c r="I214" s="70">
        <f t="shared" si="25"/>
        <v>-2.197890671877523E-2</v>
      </c>
      <c r="J214" s="70">
        <f t="shared" si="25"/>
        <v>0</v>
      </c>
      <c r="K214" s="70">
        <f t="shared" si="23"/>
        <v>-1.1730664498450753E-2</v>
      </c>
      <c r="L214" s="69"/>
      <c r="M214" s="66">
        <f t="shared" si="24"/>
        <v>41767</v>
      </c>
      <c r="N214" s="81">
        <f t="shared" si="27"/>
        <v>126.26262626262609</v>
      </c>
      <c r="O214" s="81">
        <f t="shared" si="27"/>
        <v>106.63507109004756</v>
      </c>
      <c r="P214" s="81">
        <f t="shared" si="27"/>
        <v>107.77385159010591</v>
      </c>
      <c r="Q214" s="81">
        <f t="shared" si="27"/>
        <v>113.1120765604781</v>
      </c>
    </row>
    <row r="215" spans="1:17">
      <c r="A215" s="66">
        <v>41768</v>
      </c>
      <c r="B215" s="66">
        <v>41768</v>
      </c>
      <c r="C215" s="67">
        <v>0.5</v>
      </c>
      <c r="D215" s="67">
        <v>0.45</v>
      </c>
      <c r="E215" s="67">
        <v>0.6</v>
      </c>
      <c r="F215" s="68">
        <v>53100.34</v>
      </c>
      <c r="G215" s="66">
        <f t="shared" si="22"/>
        <v>41768</v>
      </c>
      <c r="H215" s="70">
        <f t="shared" si="25"/>
        <v>0</v>
      </c>
      <c r="I215" s="70">
        <f t="shared" si="25"/>
        <v>0</v>
      </c>
      <c r="J215" s="70">
        <f t="shared" si="25"/>
        <v>-1.6529301951210582E-2</v>
      </c>
      <c r="K215" s="70">
        <f t="shared" si="23"/>
        <v>-6.0462408633376909E-3</v>
      </c>
      <c r="L215" s="69"/>
      <c r="M215" s="66">
        <f t="shared" si="24"/>
        <v>41768</v>
      </c>
      <c r="N215" s="81">
        <f t="shared" si="27"/>
        <v>126.26262626262609</v>
      </c>
      <c r="O215" s="81">
        <f t="shared" si="27"/>
        <v>106.63507109004756</v>
      </c>
      <c r="P215" s="81">
        <f t="shared" si="27"/>
        <v>106.00706713780909</v>
      </c>
      <c r="Q215" s="81">
        <f t="shared" si="27"/>
        <v>112.43023706113033</v>
      </c>
    </row>
    <row r="216" spans="1:17">
      <c r="A216" s="66">
        <v>41771</v>
      </c>
      <c r="B216" s="66">
        <v>41771</v>
      </c>
      <c r="C216" s="67">
        <v>0.5</v>
      </c>
      <c r="D216" s="67">
        <v>0.45</v>
      </c>
      <c r="E216" s="67">
        <v>0.6</v>
      </c>
      <c r="F216" s="68">
        <v>54052.9</v>
      </c>
      <c r="G216" s="66">
        <f t="shared" si="22"/>
        <v>41771</v>
      </c>
      <c r="H216" s="70">
        <f t="shared" si="25"/>
        <v>0</v>
      </c>
      <c r="I216" s="70">
        <f t="shared" si="25"/>
        <v>0</v>
      </c>
      <c r="J216" s="70">
        <f t="shared" si="25"/>
        <v>0</v>
      </c>
      <c r="K216" s="70">
        <f t="shared" si="23"/>
        <v>1.7779865429366968E-2</v>
      </c>
      <c r="L216" s="69"/>
      <c r="M216" s="66">
        <f t="shared" si="24"/>
        <v>41771</v>
      </c>
      <c r="N216" s="81">
        <f t="shared" si="27"/>
        <v>126.26262626262609</v>
      </c>
      <c r="O216" s="81">
        <f t="shared" si="27"/>
        <v>106.63507109004756</v>
      </c>
      <c r="P216" s="81">
        <f t="shared" si="27"/>
        <v>106.00706713780909</v>
      </c>
      <c r="Q216" s="81">
        <f t="shared" si="27"/>
        <v>114.44710826411982</v>
      </c>
    </row>
    <row r="217" spans="1:17">
      <c r="A217" s="66">
        <v>41772</v>
      </c>
      <c r="B217" s="66">
        <v>41772</v>
      </c>
      <c r="C217" s="67">
        <v>0.47</v>
      </c>
      <c r="D217" s="67">
        <v>0.46</v>
      </c>
      <c r="E217" s="67">
        <v>0.6</v>
      </c>
      <c r="F217" s="68">
        <v>53907.46</v>
      </c>
      <c r="G217" s="66">
        <f t="shared" si="22"/>
        <v>41772</v>
      </c>
      <c r="H217" s="70">
        <f t="shared" si="25"/>
        <v>-6.1875403718087529E-2</v>
      </c>
      <c r="I217" s="70">
        <f t="shared" si="25"/>
        <v>2.1978906718775167E-2</v>
      </c>
      <c r="J217" s="70">
        <f t="shared" si="25"/>
        <v>0</v>
      </c>
      <c r="K217" s="70">
        <f t="shared" si="23"/>
        <v>-2.6943238793144101E-3</v>
      </c>
      <c r="L217" s="69"/>
      <c r="M217" s="66">
        <f t="shared" si="24"/>
        <v>41772</v>
      </c>
      <c r="N217" s="81">
        <f t="shared" si="27"/>
        <v>118.68686868686851</v>
      </c>
      <c r="O217" s="81">
        <f t="shared" si="27"/>
        <v>109.00473933649306</v>
      </c>
      <c r="P217" s="81">
        <f t="shared" si="27"/>
        <v>106.00706713780909</v>
      </c>
      <c r="Q217" s="81">
        <f t="shared" si="27"/>
        <v>114.13916572216678</v>
      </c>
    </row>
    <row r="218" spans="1:17">
      <c r="A218" s="66">
        <v>41773</v>
      </c>
      <c r="B218" s="66">
        <v>41773</v>
      </c>
      <c r="C218" s="67">
        <v>0.49</v>
      </c>
      <c r="D218" s="67">
        <v>0.46</v>
      </c>
      <c r="E218" s="67">
        <v>0.6</v>
      </c>
      <c r="F218" s="68">
        <v>54412.54</v>
      </c>
      <c r="G218" s="66">
        <f t="shared" si="22"/>
        <v>41773</v>
      </c>
      <c r="H218" s="70">
        <f t="shared" si="25"/>
        <v>4.1672696400568081E-2</v>
      </c>
      <c r="I218" s="70">
        <f t="shared" si="25"/>
        <v>0</v>
      </c>
      <c r="J218" s="70">
        <f t="shared" si="25"/>
        <v>0</v>
      </c>
      <c r="K218" s="70">
        <f t="shared" si="23"/>
        <v>9.3257692127176241E-3</v>
      </c>
      <c r="L218" s="69"/>
      <c r="M218" s="66">
        <f t="shared" si="24"/>
        <v>41773</v>
      </c>
      <c r="N218" s="81">
        <f t="shared" si="27"/>
        <v>123.73737373737356</v>
      </c>
      <c r="O218" s="81">
        <f t="shared" si="27"/>
        <v>109.00473933649306</v>
      </c>
      <c r="P218" s="81">
        <f t="shared" si="27"/>
        <v>106.00706713780909</v>
      </c>
      <c r="Q218" s="81">
        <f t="shared" si="27"/>
        <v>115.20858004484033</v>
      </c>
    </row>
    <row r="219" spans="1:17">
      <c r="A219" s="66">
        <v>41774</v>
      </c>
      <c r="B219" s="66">
        <v>41774</v>
      </c>
      <c r="C219" s="67">
        <v>0.49</v>
      </c>
      <c r="D219" s="67">
        <v>0.46</v>
      </c>
      <c r="E219" s="67">
        <v>0.59</v>
      </c>
      <c r="F219" s="68">
        <v>53855.54</v>
      </c>
      <c r="G219" s="66">
        <f t="shared" si="22"/>
        <v>41774</v>
      </c>
      <c r="H219" s="70">
        <f t="shared" si="25"/>
        <v>0</v>
      </c>
      <c r="I219" s="70">
        <f t="shared" si="25"/>
        <v>0</v>
      </c>
      <c r="J219" s="70">
        <f t="shared" si="25"/>
        <v>-1.6807118316381289E-2</v>
      </c>
      <c r="K219" s="70">
        <f t="shared" si="23"/>
        <v>-1.028936532673432E-2</v>
      </c>
      <c r="L219" s="69"/>
      <c r="M219" s="66">
        <f t="shared" si="24"/>
        <v>41774</v>
      </c>
      <c r="N219" s="81">
        <f t="shared" si="27"/>
        <v>123.73737373737356</v>
      </c>
      <c r="O219" s="81">
        <f t="shared" si="27"/>
        <v>109.00473933649306</v>
      </c>
      <c r="P219" s="81">
        <f t="shared" si="27"/>
        <v>104.24028268551227</v>
      </c>
      <c r="Q219" s="81">
        <f t="shared" si="27"/>
        <v>114.02923463870829</v>
      </c>
    </row>
    <row r="220" spans="1:17">
      <c r="A220" s="66">
        <v>41775</v>
      </c>
      <c r="B220" s="66">
        <v>41775</v>
      </c>
      <c r="C220" s="71">
        <v>0.55000000000000004</v>
      </c>
      <c r="D220" s="67">
        <v>0.48</v>
      </c>
      <c r="E220" s="67">
        <v>0.59</v>
      </c>
      <c r="F220" s="68">
        <v>53975.76</v>
      </c>
      <c r="G220" s="66">
        <f t="shared" si="22"/>
        <v>41775</v>
      </c>
      <c r="H220" s="70">
        <f t="shared" si="25"/>
        <v>0.11551288712184443</v>
      </c>
      <c r="I220" s="70">
        <f t="shared" si="25"/>
        <v>4.2559614418795903E-2</v>
      </c>
      <c r="J220" s="70">
        <f t="shared" si="25"/>
        <v>0</v>
      </c>
      <c r="K220" s="70">
        <f t="shared" si="23"/>
        <v>2.2297802179951794E-3</v>
      </c>
      <c r="L220" s="69"/>
      <c r="M220" s="66">
        <f t="shared" si="24"/>
        <v>41775</v>
      </c>
      <c r="N220" s="81">
        <f t="shared" si="27"/>
        <v>138.88888888888872</v>
      </c>
      <c r="O220" s="81">
        <f t="shared" si="27"/>
        <v>113.74407582938406</v>
      </c>
      <c r="P220" s="81">
        <f t="shared" si="27"/>
        <v>104.24028268551227</v>
      </c>
      <c r="Q220" s="81">
        <f t="shared" si="27"/>
        <v>114.28377845329572</v>
      </c>
    </row>
    <row r="221" spans="1:17">
      <c r="A221" s="66">
        <v>41778</v>
      </c>
      <c r="B221" s="66">
        <v>41778</v>
      </c>
      <c r="C221" s="71">
        <v>0.53</v>
      </c>
      <c r="D221" s="67">
        <v>0.49</v>
      </c>
      <c r="E221" s="67">
        <v>0.6</v>
      </c>
      <c r="F221" s="68">
        <v>53353.1</v>
      </c>
      <c r="G221" s="66">
        <f t="shared" si="22"/>
        <v>41778</v>
      </c>
      <c r="H221" s="70">
        <f t="shared" si="25"/>
        <v>-3.7041271680349097E-2</v>
      </c>
      <c r="I221" s="70">
        <f t="shared" si="25"/>
        <v>2.061928720273561E-2</v>
      </c>
      <c r="J221" s="70">
        <f t="shared" si="25"/>
        <v>1.6807118316381191E-2</v>
      </c>
      <c r="K221" s="70">
        <f t="shared" si="23"/>
        <v>-1.1602973993370269E-2</v>
      </c>
      <c r="L221" s="69"/>
      <c r="M221" s="66">
        <f t="shared" si="24"/>
        <v>41778</v>
      </c>
      <c r="N221" s="81">
        <f t="shared" si="27"/>
        <v>133.83838383838366</v>
      </c>
      <c r="O221" s="81">
        <f t="shared" si="27"/>
        <v>116.11374407582956</v>
      </c>
      <c r="P221" s="81">
        <f t="shared" si="27"/>
        <v>106.00706713780909</v>
      </c>
      <c r="Q221" s="81">
        <f t="shared" si="27"/>
        <v>112.9654100321428</v>
      </c>
    </row>
    <row r="222" spans="1:17">
      <c r="A222" s="66">
        <v>41779</v>
      </c>
      <c r="B222" s="66">
        <v>41779</v>
      </c>
      <c r="C222" s="71">
        <v>0.52</v>
      </c>
      <c r="D222" s="67">
        <v>0.48</v>
      </c>
      <c r="E222" s="67">
        <v>0.57999999999999996</v>
      </c>
      <c r="F222" s="68">
        <v>52366.19</v>
      </c>
      <c r="G222" s="66">
        <f t="shared" si="22"/>
        <v>41779</v>
      </c>
      <c r="H222" s="70">
        <f t="shared" si="25"/>
        <v>-1.9048194970694474E-2</v>
      </c>
      <c r="I222" s="70">
        <f t="shared" si="25"/>
        <v>-2.0619287202735703E-2</v>
      </c>
      <c r="J222" s="70">
        <f t="shared" si="25"/>
        <v>-3.3901551675681339E-2</v>
      </c>
      <c r="K222" s="70">
        <f t="shared" si="23"/>
        <v>-1.8670928831694415E-2</v>
      </c>
      <c r="L222" s="69"/>
      <c r="M222" s="66">
        <f t="shared" si="24"/>
        <v>41779</v>
      </c>
      <c r="N222" s="81">
        <f t="shared" si="27"/>
        <v>131.31313131313115</v>
      </c>
      <c r="O222" s="81">
        <f t="shared" si="27"/>
        <v>113.74407582938406</v>
      </c>
      <c r="P222" s="81">
        <f t="shared" si="27"/>
        <v>102.47349823321545</v>
      </c>
      <c r="Q222" s="81">
        <f t="shared" si="27"/>
        <v>110.87580900024734</v>
      </c>
    </row>
    <row r="223" spans="1:17">
      <c r="A223" s="66">
        <v>41780</v>
      </c>
      <c r="B223" s="66">
        <v>41780</v>
      </c>
      <c r="C223" s="71">
        <v>0.5</v>
      </c>
      <c r="D223" s="67">
        <v>0.48</v>
      </c>
      <c r="E223" s="67">
        <v>0.59</v>
      </c>
      <c r="F223" s="68">
        <v>52203.37</v>
      </c>
      <c r="G223" s="66">
        <f t="shared" si="22"/>
        <v>41780</v>
      </c>
      <c r="H223" s="70">
        <f t="shared" si="25"/>
        <v>-3.9220713153281385E-2</v>
      </c>
      <c r="I223" s="70">
        <f t="shared" si="25"/>
        <v>0</v>
      </c>
      <c r="J223" s="70">
        <f t="shared" si="25"/>
        <v>1.709443335930004E-2</v>
      </c>
      <c r="K223" s="70">
        <f t="shared" si="23"/>
        <v>-3.1141018778440581E-3</v>
      </c>
      <c r="L223" s="69"/>
      <c r="M223" s="66">
        <f t="shared" si="24"/>
        <v>41780</v>
      </c>
      <c r="N223" s="81">
        <f t="shared" si="27"/>
        <v>126.2626262626261</v>
      </c>
      <c r="O223" s="81">
        <f t="shared" si="27"/>
        <v>113.74407582938406</v>
      </c>
      <c r="P223" s="81">
        <f t="shared" si="27"/>
        <v>104.24028268551226</v>
      </c>
      <c r="Q223" s="81">
        <f t="shared" si="27"/>
        <v>110.53106749391624</v>
      </c>
    </row>
    <row r="224" spans="1:17">
      <c r="A224" s="66">
        <v>41781</v>
      </c>
      <c r="B224" s="66">
        <v>41781</v>
      </c>
      <c r="C224" s="67">
        <v>0.54</v>
      </c>
      <c r="D224" s="67">
        <v>0.48</v>
      </c>
      <c r="E224" s="67">
        <v>0.59</v>
      </c>
      <c r="F224" s="68">
        <v>52806.22</v>
      </c>
      <c r="G224" s="66">
        <f t="shared" si="22"/>
        <v>41781</v>
      </c>
      <c r="H224" s="70">
        <f t="shared" si="25"/>
        <v>7.6961041136128394E-2</v>
      </c>
      <c r="I224" s="70">
        <f t="shared" si="25"/>
        <v>0</v>
      </c>
      <c r="J224" s="70">
        <f t="shared" si="25"/>
        <v>0</v>
      </c>
      <c r="K224" s="70">
        <f t="shared" si="23"/>
        <v>1.1481934612588042E-2</v>
      </c>
      <c r="L224" s="69"/>
      <c r="M224" s="66">
        <f t="shared" si="24"/>
        <v>41781</v>
      </c>
      <c r="N224" s="81">
        <f t="shared" si="27"/>
        <v>136.3636363636362</v>
      </c>
      <c r="O224" s="81">
        <f t="shared" si="27"/>
        <v>113.74407582938406</v>
      </c>
      <c r="P224" s="81">
        <f t="shared" si="27"/>
        <v>104.24028268551226</v>
      </c>
      <c r="Q224" s="81">
        <f t="shared" si="27"/>
        <v>111.80749187109164</v>
      </c>
    </row>
    <row r="225" spans="1:17">
      <c r="A225" s="66">
        <v>41782</v>
      </c>
      <c r="B225" s="66">
        <v>41782</v>
      </c>
      <c r="C225" s="67">
        <v>0.54</v>
      </c>
      <c r="D225" s="67">
        <v>0.48</v>
      </c>
      <c r="E225" s="67">
        <v>0.7</v>
      </c>
      <c r="F225" s="68">
        <v>52626.41</v>
      </c>
      <c r="G225" s="66">
        <f t="shared" si="22"/>
        <v>41782</v>
      </c>
      <c r="H225" s="70">
        <f t="shared" si="25"/>
        <v>0</v>
      </c>
      <c r="I225" s="70">
        <f t="shared" si="25"/>
        <v>0</v>
      </c>
      <c r="J225" s="70">
        <f t="shared" si="25"/>
        <v>0.17095779814363948</v>
      </c>
      <c r="K225" s="70">
        <f t="shared" si="23"/>
        <v>-3.4109018115078943E-3</v>
      </c>
      <c r="L225" s="69"/>
      <c r="M225" s="66">
        <f t="shared" si="24"/>
        <v>41782</v>
      </c>
      <c r="N225" s="81">
        <f t="shared" si="27"/>
        <v>136.3636363636362</v>
      </c>
      <c r="O225" s="81">
        <f t="shared" si="27"/>
        <v>113.74407582938406</v>
      </c>
      <c r="P225" s="81">
        <f t="shared" si="27"/>
        <v>123.67491166077724</v>
      </c>
      <c r="Q225" s="81">
        <f t="shared" si="27"/>
        <v>111.42677715389847</v>
      </c>
    </row>
    <row r="226" spans="1:17">
      <c r="A226" s="66">
        <v>41785</v>
      </c>
      <c r="B226" s="66">
        <v>41785</v>
      </c>
      <c r="C226" s="67">
        <v>0.51</v>
      </c>
      <c r="D226" s="67">
        <v>0.48</v>
      </c>
      <c r="E226" s="67">
        <v>0.7</v>
      </c>
      <c r="F226" s="68">
        <v>52932.91</v>
      </c>
      <c r="G226" s="66">
        <f t="shared" si="22"/>
        <v>41785</v>
      </c>
      <c r="H226" s="70">
        <f t="shared" si="25"/>
        <v>-5.7158413839948637E-2</v>
      </c>
      <c r="I226" s="70">
        <f t="shared" si="25"/>
        <v>0</v>
      </c>
      <c r="J226" s="70">
        <f t="shared" si="25"/>
        <v>0</v>
      </c>
      <c r="K226" s="70">
        <f t="shared" si="23"/>
        <v>5.8071776390586265E-3</v>
      </c>
      <c r="L226" s="69"/>
      <c r="M226" s="66">
        <f t="shared" si="24"/>
        <v>41785</v>
      </c>
      <c r="N226" s="81">
        <f t="shared" si="27"/>
        <v>128.78787878787864</v>
      </c>
      <c r="O226" s="81">
        <f t="shared" si="27"/>
        <v>113.74407582938406</v>
      </c>
      <c r="P226" s="81">
        <f t="shared" si="27"/>
        <v>123.67491166077724</v>
      </c>
      <c r="Q226" s="81">
        <f t="shared" si="27"/>
        <v>112.07573472477725</v>
      </c>
    </row>
    <row r="227" spans="1:17">
      <c r="A227" s="66">
        <v>41786</v>
      </c>
      <c r="B227" s="66">
        <v>41786</v>
      </c>
      <c r="C227" s="67">
        <v>0.53</v>
      </c>
      <c r="D227" s="67">
        <v>0.47</v>
      </c>
      <c r="E227" s="67">
        <v>0.68</v>
      </c>
      <c r="F227" s="68">
        <v>52173.98</v>
      </c>
      <c r="G227" s="66">
        <f t="shared" si="22"/>
        <v>41786</v>
      </c>
      <c r="H227" s="70">
        <f t="shared" si="25"/>
        <v>3.8466280827796143E-2</v>
      </c>
      <c r="I227" s="70">
        <f t="shared" si="25"/>
        <v>-2.1053409197832381E-2</v>
      </c>
      <c r="J227" s="70">
        <f t="shared" si="25"/>
        <v>-2.8987536873252187E-2</v>
      </c>
      <c r="K227" s="70">
        <f t="shared" si="23"/>
        <v>-1.444135945238546E-2</v>
      </c>
      <c r="L227" s="69"/>
      <c r="M227" s="66">
        <f t="shared" si="24"/>
        <v>41786</v>
      </c>
      <c r="N227" s="81">
        <f t="shared" si="27"/>
        <v>133.83838383838369</v>
      </c>
      <c r="O227" s="81">
        <f t="shared" si="27"/>
        <v>111.37440758293856</v>
      </c>
      <c r="P227" s="81">
        <f t="shared" si="27"/>
        <v>120.14134275618362</v>
      </c>
      <c r="Q227" s="81">
        <f t="shared" si="27"/>
        <v>110.46883955587995</v>
      </c>
    </row>
    <row r="228" spans="1:17">
      <c r="A228" s="66">
        <v>41787</v>
      </c>
      <c r="B228" s="66">
        <v>41787</v>
      </c>
      <c r="C228" s="67">
        <v>0.5</v>
      </c>
      <c r="D228" s="67">
        <v>0.47</v>
      </c>
      <c r="E228" s="67">
        <v>0.62</v>
      </c>
      <c r="F228" s="68">
        <v>52639.75</v>
      </c>
      <c r="G228" s="66">
        <f>A228</f>
        <v>41787</v>
      </c>
      <c r="H228" s="70">
        <f t="shared" si="25"/>
        <v>-5.8268908123975879E-2</v>
      </c>
      <c r="I228" s="70">
        <f t="shared" si="25"/>
        <v>0</v>
      </c>
      <c r="J228" s="70">
        <f t="shared" si="25"/>
        <v>-9.2373320131015166E-2</v>
      </c>
      <c r="K228" s="70">
        <f t="shared" si="23"/>
        <v>8.887634586210693E-3</v>
      </c>
      <c r="L228" s="69"/>
      <c r="M228" s="66">
        <f t="shared" si="24"/>
        <v>41787</v>
      </c>
      <c r="N228" s="81">
        <f t="shared" si="27"/>
        <v>126.26262626262611</v>
      </c>
      <c r="O228" s="81">
        <f t="shared" si="27"/>
        <v>111.37440758293856</v>
      </c>
      <c r="P228" s="81">
        <f t="shared" si="27"/>
        <v>109.54063604240271</v>
      </c>
      <c r="Q228" s="81">
        <f t="shared" si="27"/>
        <v>111.45502215877784</v>
      </c>
    </row>
    <row r="229" spans="1:17">
      <c r="A229" s="72">
        <v>41788</v>
      </c>
      <c r="B229" s="72">
        <v>41788</v>
      </c>
      <c r="C229" s="67">
        <v>0.52</v>
      </c>
      <c r="D229" s="67">
        <v>0.47</v>
      </c>
      <c r="E229" s="67">
        <v>0.63</v>
      </c>
      <c r="F229" s="68">
        <v>52239.34</v>
      </c>
      <c r="G229" s="66">
        <f t="shared" ref="G229:G249" si="28">A229</f>
        <v>41788</v>
      </c>
      <c r="H229" s="70">
        <f t="shared" si="25"/>
        <v>3.9220713153281329E-2</v>
      </c>
      <c r="I229" s="70">
        <f t="shared" si="25"/>
        <v>0</v>
      </c>
      <c r="J229" s="70">
        <f t="shared" si="25"/>
        <v>1.600034134644112E-2</v>
      </c>
      <c r="K229" s="70">
        <f t="shared" si="23"/>
        <v>-7.635686874233721E-3</v>
      </c>
      <c r="L229" s="73"/>
      <c r="M229" s="66">
        <f t="shared" si="24"/>
        <v>41788</v>
      </c>
      <c r="N229" s="81">
        <f t="shared" ref="N229:Q244" si="29">C229/C228*N228</f>
        <v>131.31313131313115</v>
      </c>
      <c r="O229" s="81">
        <f t="shared" si="29"/>
        <v>111.37440758293856</v>
      </c>
      <c r="P229" s="81">
        <f t="shared" si="29"/>
        <v>111.30742049469953</v>
      </c>
      <c r="Q229" s="81">
        <f t="shared" si="29"/>
        <v>110.60722737588856</v>
      </c>
    </row>
    <row r="230" spans="1:17">
      <c r="A230" s="66">
        <v>41789</v>
      </c>
      <c r="B230" s="66">
        <v>41789</v>
      </c>
      <c r="C230" s="67">
        <v>0.51</v>
      </c>
      <c r="D230" s="67">
        <v>0.43</v>
      </c>
      <c r="E230" s="67">
        <v>0.6</v>
      </c>
      <c r="F230" s="68">
        <v>51239.34</v>
      </c>
      <c r="G230" s="66">
        <f t="shared" si="28"/>
        <v>41789</v>
      </c>
      <c r="H230" s="70">
        <f t="shared" si="25"/>
        <v>-1.9418085857101627E-2</v>
      </c>
      <c r="I230" s="70">
        <f t="shared" si="25"/>
        <v>-8.8947486016496172E-2</v>
      </c>
      <c r="J230" s="70">
        <f t="shared" si="25"/>
        <v>-4.8790164169432056E-2</v>
      </c>
      <c r="K230" s="70">
        <f t="shared" si="23"/>
        <v>-1.9328254507911397E-2</v>
      </c>
      <c r="M230" s="66">
        <f t="shared" si="24"/>
        <v>41789</v>
      </c>
      <c r="N230" s="81">
        <f t="shared" si="29"/>
        <v>128.78787878787861</v>
      </c>
      <c r="O230" s="81">
        <f t="shared" si="29"/>
        <v>101.89573459715655</v>
      </c>
      <c r="P230" s="81">
        <f t="shared" si="29"/>
        <v>106.00706713780907</v>
      </c>
      <c r="Q230" s="81">
        <f t="shared" si="29"/>
        <v>108.48991066829062</v>
      </c>
    </row>
    <row r="231" spans="1:17">
      <c r="A231" s="66">
        <v>41792</v>
      </c>
      <c r="B231" s="66">
        <v>41792</v>
      </c>
      <c r="C231" s="67">
        <v>0.52</v>
      </c>
      <c r="D231" s="67">
        <v>0.44</v>
      </c>
      <c r="E231" s="67">
        <v>0.63</v>
      </c>
      <c r="F231" s="68">
        <v>51605.83</v>
      </c>
      <c r="G231" s="66">
        <f t="shared" si="28"/>
        <v>41792</v>
      </c>
      <c r="H231" s="70">
        <f t="shared" si="25"/>
        <v>1.9418085857101516E-2</v>
      </c>
      <c r="I231" s="70">
        <f t="shared" si="25"/>
        <v>2.2989518224698781E-2</v>
      </c>
      <c r="J231" s="70">
        <f t="shared" si="25"/>
        <v>4.8790164169432049E-2</v>
      </c>
      <c r="K231" s="70">
        <f t="shared" si="23"/>
        <v>7.1270542178561679E-3</v>
      </c>
      <c r="M231" s="66">
        <f t="shared" si="24"/>
        <v>41792</v>
      </c>
      <c r="N231" s="81">
        <f t="shared" si="29"/>
        <v>131.31313131313112</v>
      </c>
      <c r="O231" s="81">
        <f t="shared" si="29"/>
        <v>104.26540284360205</v>
      </c>
      <c r="P231" s="81">
        <f t="shared" si="29"/>
        <v>111.30742049469953</v>
      </c>
      <c r="Q231" s="81">
        <f t="shared" si="29"/>
        <v>109.26588606845819</v>
      </c>
    </row>
    <row r="232" spans="1:17">
      <c r="A232" s="66">
        <v>41793</v>
      </c>
      <c r="B232" s="66">
        <v>41793</v>
      </c>
      <c r="C232" s="67">
        <v>0.52</v>
      </c>
      <c r="D232" s="67">
        <v>0.44</v>
      </c>
      <c r="E232" s="67">
        <v>0.62</v>
      </c>
      <c r="F232" s="68">
        <v>52032.38</v>
      </c>
      <c r="G232" s="66">
        <f t="shared" si="28"/>
        <v>41793</v>
      </c>
      <c r="H232" s="70">
        <f t="shared" si="25"/>
        <v>0</v>
      </c>
      <c r="I232" s="70">
        <f t="shared" si="25"/>
        <v>0</v>
      </c>
      <c r="J232" s="70">
        <f t="shared" si="25"/>
        <v>-1.6000341346441189E-2</v>
      </c>
      <c r="K232" s="70">
        <f t="shared" si="23"/>
        <v>8.2315664953354056E-3</v>
      </c>
      <c r="M232" s="66">
        <f t="shared" si="24"/>
        <v>41793</v>
      </c>
      <c r="N232" s="81">
        <f t="shared" si="29"/>
        <v>131.31313131313112</v>
      </c>
      <c r="O232" s="81">
        <f t="shared" si="29"/>
        <v>104.26540284360205</v>
      </c>
      <c r="P232" s="81">
        <f t="shared" si="29"/>
        <v>109.54063604240271</v>
      </c>
      <c r="Q232" s="81">
        <f t="shared" si="29"/>
        <v>110.16902751008406</v>
      </c>
    </row>
    <row r="233" spans="1:17">
      <c r="A233" s="66">
        <v>41794</v>
      </c>
      <c r="B233" s="66">
        <v>41794</v>
      </c>
      <c r="C233" s="67">
        <v>0.52</v>
      </c>
      <c r="D233" s="67">
        <v>0.45</v>
      </c>
      <c r="E233" s="67">
        <v>0.59</v>
      </c>
      <c r="F233" s="68">
        <v>51832.98</v>
      </c>
      <c r="G233" s="66">
        <f t="shared" si="28"/>
        <v>41794</v>
      </c>
      <c r="H233" s="70">
        <f t="shared" si="25"/>
        <v>0</v>
      </c>
      <c r="I233" s="70">
        <f t="shared" si="25"/>
        <v>2.2472855852058576E-2</v>
      </c>
      <c r="J233" s="70">
        <f t="shared" si="25"/>
        <v>-4.9596941139372179E-2</v>
      </c>
      <c r="K233" s="70">
        <f t="shared" si="23"/>
        <v>-3.8395908890210455E-3</v>
      </c>
      <c r="M233" s="66">
        <f t="shared" si="24"/>
        <v>41794</v>
      </c>
      <c r="N233" s="81">
        <f t="shared" si="29"/>
        <v>131.31313131313112</v>
      </c>
      <c r="O233" s="81">
        <f t="shared" si="29"/>
        <v>106.63507109004755</v>
      </c>
      <c r="P233" s="81">
        <f t="shared" si="29"/>
        <v>104.24028268551226</v>
      </c>
      <c r="Q233" s="81">
        <f t="shared" si="29"/>
        <v>109.74683455858906</v>
      </c>
    </row>
    <row r="234" spans="1:17">
      <c r="A234" s="66">
        <v>41795</v>
      </c>
      <c r="B234" s="66">
        <v>41795</v>
      </c>
      <c r="C234" s="67">
        <v>0.51</v>
      </c>
      <c r="D234" s="67">
        <v>0.45</v>
      </c>
      <c r="E234" s="67">
        <v>0.6</v>
      </c>
      <c r="F234" s="68">
        <v>51558.79</v>
      </c>
      <c r="G234" s="66">
        <f t="shared" si="28"/>
        <v>41795</v>
      </c>
      <c r="H234" s="70">
        <f t="shared" si="25"/>
        <v>-1.9418085857101627E-2</v>
      </c>
      <c r="I234" s="70">
        <f t="shared" si="25"/>
        <v>0</v>
      </c>
      <c r="J234" s="70">
        <f t="shared" si="25"/>
        <v>1.6807118316381191E-2</v>
      </c>
      <c r="K234" s="70">
        <f t="shared" si="23"/>
        <v>-5.3039162165742374E-3</v>
      </c>
      <c r="M234" s="66">
        <f t="shared" si="24"/>
        <v>41795</v>
      </c>
      <c r="N234" s="81">
        <f t="shared" si="29"/>
        <v>128.78787878787858</v>
      </c>
      <c r="O234" s="81">
        <f t="shared" si="29"/>
        <v>106.63507109004755</v>
      </c>
      <c r="P234" s="81">
        <f t="shared" si="29"/>
        <v>106.00706713780907</v>
      </c>
      <c r="Q234" s="81">
        <f t="shared" si="29"/>
        <v>109.16628749053278</v>
      </c>
    </row>
    <row r="235" spans="1:17">
      <c r="A235" s="66">
        <v>41796</v>
      </c>
      <c r="B235" s="66">
        <v>41796</v>
      </c>
      <c r="C235" s="67">
        <v>0.49</v>
      </c>
      <c r="D235" s="67">
        <v>0.46</v>
      </c>
      <c r="E235" s="67">
        <v>0.6</v>
      </c>
      <c r="F235" s="68">
        <v>53128.66</v>
      </c>
      <c r="G235" s="66">
        <f t="shared" si="28"/>
        <v>41796</v>
      </c>
      <c r="H235" s="70">
        <f t="shared" si="25"/>
        <v>-4.0005334613699248E-2</v>
      </c>
      <c r="I235" s="70">
        <f t="shared" si="25"/>
        <v>2.1978906718775167E-2</v>
      </c>
      <c r="J235" s="70">
        <f t="shared" si="25"/>
        <v>0</v>
      </c>
      <c r="K235" s="70">
        <f t="shared" si="23"/>
        <v>2.9993808998023577E-2</v>
      </c>
      <c r="M235" s="66">
        <f t="shared" si="24"/>
        <v>41796</v>
      </c>
      <c r="N235" s="81">
        <f t="shared" si="29"/>
        <v>123.73737373737353</v>
      </c>
      <c r="O235" s="81">
        <f t="shared" si="29"/>
        <v>109.00473933649305</v>
      </c>
      <c r="P235" s="81">
        <f t="shared" si="29"/>
        <v>106.00706713780907</v>
      </c>
      <c r="Q235" s="81">
        <f t="shared" si="29"/>
        <v>112.49019947028955</v>
      </c>
    </row>
    <row r="236" spans="1:17">
      <c r="A236" s="66">
        <v>41799</v>
      </c>
      <c r="B236" s="66">
        <v>41799</v>
      </c>
      <c r="C236" s="67">
        <v>0.51</v>
      </c>
      <c r="D236" s="67">
        <v>0.46</v>
      </c>
      <c r="E236" s="67">
        <v>0.6</v>
      </c>
      <c r="F236" s="68">
        <v>54273.16</v>
      </c>
      <c r="G236" s="66">
        <f t="shared" si="28"/>
        <v>41799</v>
      </c>
      <c r="H236" s="70">
        <f t="shared" si="25"/>
        <v>4.0005334613699206E-2</v>
      </c>
      <c r="I236" s="70">
        <f t="shared" si="25"/>
        <v>0</v>
      </c>
      <c r="J236" s="70">
        <f t="shared" si="25"/>
        <v>0</v>
      </c>
      <c r="K236" s="70">
        <f t="shared" si="23"/>
        <v>2.1313294772638488E-2</v>
      </c>
      <c r="M236" s="66">
        <f t="shared" si="24"/>
        <v>41799</v>
      </c>
      <c r="N236" s="81">
        <f t="shared" si="29"/>
        <v>128.78787878787858</v>
      </c>
      <c r="O236" s="81">
        <f t="shared" si="29"/>
        <v>109.00473933649305</v>
      </c>
      <c r="P236" s="81">
        <f t="shared" si="29"/>
        <v>106.00706713780907</v>
      </c>
      <c r="Q236" s="81">
        <f t="shared" si="29"/>
        <v>114.91346844213538</v>
      </c>
    </row>
    <row r="237" spans="1:17">
      <c r="A237" s="66">
        <v>41800</v>
      </c>
      <c r="B237" s="66">
        <v>41800</v>
      </c>
      <c r="C237" s="67">
        <v>0.51</v>
      </c>
      <c r="D237" s="67">
        <v>0.46</v>
      </c>
      <c r="E237" s="67">
        <v>0.61</v>
      </c>
      <c r="F237" s="68">
        <v>54604.34</v>
      </c>
      <c r="G237" s="66">
        <f t="shared" si="28"/>
        <v>41800</v>
      </c>
      <c r="H237" s="70">
        <f t="shared" si="25"/>
        <v>0</v>
      </c>
      <c r="I237" s="70">
        <f t="shared" si="25"/>
        <v>0</v>
      </c>
      <c r="J237" s="70">
        <f t="shared" si="25"/>
        <v>1.6529301951210506E-2</v>
      </c>
      <c r="K237" s="70">
        <f t="shared" si="23"/>
        <v>6.0835530096322744E-3</v>
      </c>
      <c r="M237" s="66">
        <f t="shared" si="24"/>
        <v>41800</v>
      </c>
      <c r="N237" s="81">
        <f t="shared" si="29"/>
        <v>128.78787878787858</v>
      </c>
      <c r="O237" s="81">
        <f t="shared" si="29"/>
        <v>109.00473933649305</v>
      </c>
      <c r="P237" s="81">
        <f t="shared" si="29"/>
        <v>107.77385159010589</v>
      </c>
      <c r="Q237" s="81">
        <f t="shared" si="29"/>
        <v>115.61468138935766</v>
      </c>
    </row>
    <row r="238" spans="1:17">
      <c r="A238" s="66">
        <v>41801</v>
      </c>
      <c r="B238" s="66">
        <v>41801</v>
      </c>
      <c r="C238" s="67">
        <v>0.51</v>
      </c>
      <c r="D238" s="67">
        <v>0.46</v>
      </c>
      <c r="E238" s="67">
        <v>0.61</v>
      </c>
      <c r="F238" s="68">
        <v>55102.44</v>
      </c>
      <c r="G238" s="66">
        <f t="shared" si="28"/>
        <v>41801</v>
      </c>
      <c r="H238" s="70">
        <f t="shared" si="25"/>
        <v>0</v>
      </c>
      <c r="I238" s="70">
        <f t="shared" si="25"/>
        <v>0</v>
      </c>
      <c r="J238" s="70">
        <f t="shared" si="25"/>
        <v>0</v>
      </c>
      <c r="K238" s="70">
        <f t="shared" si="23"/>
        <v>9.0806315285895146E-3</v>
      </c>
      <c r="M238" s="66">
        <f t="shared" si="24"/>
        <v>41801</v>
      </c>
      <c r="N238" s="81">
        <f t="shared" si="29"/>
        <v>128.78787878787858</v>
      </c>
      <c r="O238" s="81">
        <f t="shared" si="29"/>
        <v>109.00473933649305</v>
      </c>
      <c r="P238" s="81">
        <f t="shared" si="29"/>
        <v>107.77385159010589</v>
      </c>
      <c r="Q238" s="81">
        <f t="shared" si="29"/>
        <v>116.6693168414122</v>
      </c>
    </row>
    <row r="239" spans="1:17">
      <c r="A239" s="66">
        <v>41803</v>
      </c>
      <c r="B239" s="66">
        <v>41803</v>
      </c>
      <c r="C239" s="67">
        <v>0.5</v>
      </c>
      <c r="D239" s="67">
        <v>0.47</v>
      </c>
      <c r="E239" s="67">
        <v>0.61</v>
      </c>
      <c r="F239" s="68">
        <v>54806.64</v>
      </c>
      <c r="G239" s="66">
        <f t="shared" si="28"/>
        <v>41803</v>
      </c>
      <c r="H239" s="70">
        <f t="shared" si="25"/>
        <v>-1.9802627296179754E-2</v>
      </c>
      <c r="I239" s="70">
        <f t="shared" si="25"/>
        <v>2.1506205220963463E-2</v>
      </c>
      <c r="J239" s="70">
        <f t="shared" si="25"/>
        <v>0</v>
      </c>
      <c r="K239" s="70">
        <f t="shared" si="23"/>
        <v>-5.3826438030510002E-3</v>
      </c>
      <c r="M239" s="66">
        <f t="shared" si="24"/>
        <v>41803</v>
      </c>
      <c r="N239" s="81">
        <f t="shared" si="29"/>
        <v>126.26262626262606</v>
      </c>
      <c r="O239" s="81">
        <f t="shared" si="29"/>
        <v>111.37440758293853</v>
      </c>
      <c r="P239" s="81">
        <f t="shared" si="29"/>
        <v>107.77385159010589</v>
      </c>
      <c r="Q239" s="81">
        <f t="shared" si="29"/>
        <v>116.04301455930472</v>
      </c>
    </row>
    <row r="240" spans="1:17">
      <c r="A240" s="66">
        <v>41806</v>
      </c>
      <c r="B240" s="66">
        <v>41806</v>
      </c>
      <c r="C240" s="67">
        <v>0.5</v>
      </c>
      <c r="D240" s="67">
        <v>0.46</v>
      </c>
      <c r="E240" s="67">
        <v>0.6</v>
      </c>
      <c r="F240" s="68">
        <v>54629.55</v>
      </c>
      <c r="G240" s="66">
        <f t="shared" si="28"/>
        <v>41806</v>
      </c>
      <c r="H240" s="70">
        <f t="shared" si="25"/>
        <v>0</v>
      </c>
      <c r="I240" s="70">
        <f t="shared" si="25"/>
        <v>-2.1506205220963505E-2</v>
      </c>
      <c r="J240" s="70">
        <f t="shared" si="25"/>
        <v>-1.6529301951210582E-2</v>
      </c>
      <c r="K240" s="70">
        <f t="shared" si="23"/>
        <v>-3.2364093555362753E-3</v>
      </c>
      <c r="M240" s="66">
        <f t="shared" si="24"/>
        <v>41806</v>
      </c>
      <c r="N240" s="81">
        <f t="shared" si="29"/>
        <v>126.26262626262606</v>
      </c>
      <c r="O240" s="81">
        <f t="shared" si="29"/>
        <v>109.00473933649305</v>
      </c>
      <c r="P240" s="81">
        <f t="shared" si="29"/>
        <v>106.00706713780907</v>
      </c>
      <c r="Q240" s="81">
        <f t="shared" si="29"/>
        <v>115.66805894355622</v>
      </c>
    </row>
    <row r="241" spans="1:17">
      <c r="A241" s="66">
        <v>41807</v>
      </c>
      <c r="B241" s="66">
        <v>41807</v>
      </c>
      <c r="C241" s="67">
        <v>0.5</v>
      </c>
      <c r="D241" s="67">
        <v>0.47</v>
      </c>
      <c r="E241" s="67">
        <v>0.6</v>
      </c>
      <c r="F241" s="68">
        <v>54299.95</v>
      </c>
      <c r="G241" s="66">
        <f t="shared" si="28"/>
        <v>41807</v>
      </c>
      <c r="H241" s="70">
        <f t="shared" si="25"/>
        <v>0</v>
      </c>
      <c r="I241" s="70">
        <f t="shared" si="25"/>
        <v>2.1506205220963463E-2</v>
      </c>
      <c r="J241" s="70">
        <f t="shared" si="25"/>
        <v>0</v>
      </c>
      <c r="K241" s="70">
        <f t="shared" si="23"/>
        <v>-6.0516390122575224E-3</v>
      </c>
      <c r="M241" s="66">
        <f t="shared" si="24"/>
        <v>41807</v>
      </c>
      <c r="N241" s="81">
        <f t="shared" si="29"/>
        <v>126.26262626262606</v>
      </c>
      <c r="O241" s="81">
        <f t="shared" si="29"/>
        <v>111.37440758293853</v>
      </c>
      <c r="P241" s="81">
        <f t="shared" si="29"/>
        <v>106.00706713780907</v>
      </c>
      <c r="Q241" s="81">
        <f t="shared" si="29"/>
        <v>114.97019135673193</v>
      </c>
    </row>
    <row r="242" spans="1:17">
      <c r="A242" s="66">
        <v>41808</v>
      </c>
      <c r="B242" s="66">
        <v>41808</v>
      </c>
      <c r="C242" s="67">
        <v>0.5</v>
      </c>
      <c r="D242" s="67">
        <v>0.48</v>
      </c>
      <c r="E242" s="67">
        <v>0.6</v>
      </c>
      <c r="F242" s="68">
        <v>55202.54</v>
      </c>
      <c r="G242" s="66">
        <f t="shared" si="28"/>
        <v>41808</v>
      </c>
      <c r="H242" s="70">
        <f t="shared" si="25"/>
        <v>0</v>
      </c>
      <c r="I242" s="70">
        <f t="shared" si="25"/>
        <v>2.1053409197832263E-2</v>
      </c>
      <c r="J242" s="70">
        <f t="shared" si="25"/>
        <v>0</v>
      </c>
      <c r="K242" s="70">
        <f t="shared" si="23"/>
        <v>1.6485660588016187E-2</v>
      </c>
      <c r="M242" s="66">
        <f t="shared" si="24"/>
        <v>41808</v>
      </c>
      <c r="N242" s="81">
        <f t="shared" si="29"/>
        <v>126.26262626262606</v>
      </c>
      <c r="O242" s="81">
        <f t="shared" si="29"/>
        <v>113.74407582938402</v>
      </c>
      <c r="P242" s="81">
        <f t="shared" si="29"/>
        <v>106.00706713780907</v>
      </c>
      <c r="Q242" s="81">
        <f t="shared" si="29"/>
        <v>116.88126024384273</v>
      </c>
    </row>
    <row r="243" spans="1:17" ht="15" customHeight="1">
      <c r="A243" s="66">
        <v>41810</v>
      </c>
      <c r="B243" s="66">
        <v>41810</v>
      </c>
      <c r="C243" s="67">
        <v>0.5</v>
      </c>
      <c r="D243" s="67">
        <v>0.47</v>
      </c>
      <c r="E243" s="67">
        <v>0.6</v>
      </c>
      <c r="F243" s="68">
        <v>54638.19</v>
      </c>
      <c r="G243" s="66">
        <f t="shared" si="28"/>
        <v>41810</v>
      </c>
      <c r="H243" s="70">
        <f t="shared" si="25"/>
        <v>0</v>
      </c>
      <c r="I243" s="70">
        <f t="shared" si="25"/>
        <v>-2.1053409197832381E-2</v>
      </c>
      <c r="J243" s="70">
        <f t="shared" si="25"/>
        <v>0</v>
      </c>
      <c r="K243" s="70">
        <f t="shared" si="23"/>
        <v>-1.0275877918390039E-2</v>
      </c>
      <c r="M243" s="66">
        <f t="shared" si="24"/>
        <v>41810</v>
      </c>
      <c r="N243" s="81">
        <f t="shared" si="29"/>
        <v>126.26262626262606</v>
      </c>
      <c r="O243" s="81">
        <f t="shared" si="29"/>
        <v>111.37440758293852</v>
      </c>
      <c r="P243" s="81">
        <f t="shared" si="29"/>
        <v>106.00706713780907</v>
      </c>
      <c r="Q243" s="81">
        <f t="shared" si="29"/>
        <v>115.68635255990985</v>
      </c>
    </row>
    <row r="244" spans="1:17">
      <c r="A244" s="66">
        <v>41813</v>
      </c>
      <c r="B244" s="66">
        <v>41813</v>
      </c>
      <c r="C244" s="67">
        <v>0.5</v>
      </c>
      <c r="D244" s="67">
        <v>0.46</v>
      </c>
      <c r="E244" s="67">
        <v>0.59</v>
      </c>
      <c r="F244" s="68">
        <v>54210.05</v>
      </c>
      <c r="G244" s="66">
        <f t="shared" si="28"/>
        <v>41813</v>
      </c>
      <c r="H244" s="70">
        <f t="shared" si="25"/>
        <v>0</v>
      </c>
      <c r="I244" s="70">
        <f t="shared" si="25"/>
        <v>-2.1506205220963505E-2</v>
      </c>
      <c r="J244" s="70">
        <f t="shared" si="25"/>
        <v>-1.6807118316381289E-2</v>
      </c>
      <c r="K244" s="70">
        <f t="shared" si="23"/>
        <v>-7.8667731879055267E-3</v>
      </c>
      <c r="M244" s="66">
        <f t="shared" si="24"/>
        <v>41813</v>
      </c>
      <c r="N244" s="81">
        <f t="shared" si="29"/>
        <v>126.26262626262606</v>
      </c>
      <c r="O244" s="81">
        <f t="shared" si="29"/>
        <v>109.00473933649303</v>
      </c>
      <c r="P244" s="81">
        <f t="shared" si="29"/>
        <v>104.24028268551226</v>
      </c>
      <c r="Q244" s="81">
        <f t="shared" si="29"/>
        <v>114.77984458471887</v>
      </c>
    </row>
    <row r="245" spans="1:17">
      <c r="A245" s="66">
        <v>41814</v>
      </c>
      <c r="B245" s="66">
        <v>41814</v>
      </c>
      <c r="C245" s="67">
        <v>0.5</v>
      </c>
      <c r="D245" s="67">
        <v>0.47</v>
      </c>
      <c r="E245" s="67">
        <v>0.59</v>
      </c>
      <c r="F245" s="68">
        <v>54280.78</v>
      </c>
      <c r="G245" s="66">
        <f t="shared" si="28"/>
        <v>41814</v>
      </c>
      <c r="H245" s="70">
        <f t="shared" si="25"/>
        <v>0</v>
      </c>
      <c r="I245" s="70">
        <f t="shared" si="25"/>
        <v>2.1506205220963463E-2</v>
      </c>
      <c r="J245" s="70">
        <f t="shared" si="25"/>
        <v>0</v>
      </c>
      <c r="K245" s="70">
        <f t="shared" si="23"/>
        <v>1.3038891862256735E-3</v>
      </c>
      <c r="M245" s="66">
        <f t="shared" si="24"/>
        <v>41814</v>
      </c>
      <c r="N245" s="81">
        <f t="shared" ref="N245:Q249" si="30">C245/C244*N244</f>
        <v>126.26262626262606</v>
      </c>
      <c r="O245" s="81">
        <f t="shared" si="30"/>
        <v>111.37440758293852</v>
      </c>
      <c r="P245" s="81">
        <f t="shared" si="30"/>
        <v>104.24028268551226</v>
      </c>
      <c r="Q245" s="81">
        <f t="shared" si="30"/>
        <v>114.92960239544726</v>
      </c>
    </row>
    <row r="246" spans="1:17">
      <c r="A246" s="66">
        <v>41815</v>
      </c>
      <c r="B246" s="66">
        <v>41815</v>
      </c>
      <c r="C246" s="67">
        <v>0.51</v>
      </c>
      <c r="D246" s="67">
        <v>0.47</v>
      </c>
      <c r="E246" s="67">
        <v>0.6</v>
      </c>
      <c r="F246" s="68">
        <v>53425.74</v>
      </c>
      <c r="G246" s="66">
        <f t="shared" si="28"/>
        <v>41815</v>
      </c>
      <c r="H246" s="70">
        <f t="shared" si="25"/>
        <v>1.980262729617973E-2</v>
      </c>
      <c r="I246" s="70">
        <f t="shared" si="25"/>
        <v>0</v>
      </c>
      <c r="J246" s="70">
        <f t="shared" si="25"/>
        <v>1.6807118316381191E-2</v>
      </c>
      <c r="K246" s="70">
        <f t="shared" si="23"/>
        <v>-1.5877552494553072E-2</v>
      </c>
      <c r="M246" s="66">
        <f t="shared" si="24"/>
        <v>41815</v>
      </c>
      <c r="N246" s="81">
        <f t="shared" si="30"/>
        <v>128.78787878787858</v>
      </c>
      <c r="O246" s="81">
        <f t="shared" si="30"/>
        <v>111.37440758293852</v>
      </c>
      <c r="P246" s="81">
        <f t="shared" si="30"/>
        <v>106.00706713780907</v>
      </c>
      <c r="Q246" s="81">
        <f t="shared" si="30"/>
        <v>113.11921191778274</v>
      </c>
    </row>
    <row r="247" spans="1:17">
      <c r="A247" s="66">
        <v>41816</v>
      </c>
      <c r="B247" s="66">
        <v>41816</v>
      </c>
      <c r="C247" s="67">
        <v>0.51</v>
      </c>
      <c r="D247" s="67">
        <v>0.48</v>
      </c>
      <c r="E247" s="67">
        <v>0.57999999999999996</v>
      </c>
      <c r="F247" s="68">
        <v>53506.75</v>
      </c>
      <c r="G247" s="66">
        <f t="shared" si="28"/>
        <v>41816</v>
      </c>
      <c r="H247" s="70">
        <f t="shared" si="25"/>
        <v>0</v>
      </c>
      <c r="I247" s="70">
        <f t="shared" si="25"/>
        <v>2.1053409197832263E-2</v>
      </c>
      <c r="J247" s="70">
        <f t="shared" si="25"/>
        <v>-3.3901551675681339E-2</v>
      </c>
      <c r="K247" s="70">
        <f t="shared" si="23"/>
        <v>1.5151618651728881E-3</v>
      </c>
      <c r="M247" s="66">
        <f t="shared" si="24"/>
        <v>41816</v>
      </c>
      <c r="N247" s="81">
        <f t="shared" si="30"/>
        <v>128.78787878787858</v>
      </c>
      <c r="O247" s="81">
        <f t="shared" si="30"/>
        <v>113.744075829384</v>
      </c>
      <c r="P247" s="81">
        <f t="shared" si="30"/>
        <v>102.47349823321544</v>
      </c>
      <c r="Q247" s="81">
        <f t="shared" si="30"/>
        <v>113.29073574426523</v>
      </c>
    </row>
    <row r="248" spans="1:17">
      <c r="A248" s="66">
        <v>41817</v>
      </c>
      <c r="B248" s="66">
        <v>41817</v>
      </c>
      <c r="C248" s="67">
        <v>0.51</v>
      </c>
      <c r="D248" s="67">
        <v>0.48</v>
      </c>
      <c r="E248" s="67">
        <v>0.59</v>
      </c>
      <c r="F248" s="68">
        <v>53157.3</v>
      </c>
      <c r="G248" s="66">
        <f t="shared" si="28"/>
        <v>41817</v>
      </c>
      <c r="H248" s="70">
        <f t="shared" si="25"/>
        <v>0</v>
      </c>
      <c r="I248" s="70">
        <f t="shared" si="25"/>
        <v>0</v>
      </c>
      <c r="J248" s="70">
        <f t="shared" si="25"/>
        <v>1.709443335930004E-2</v>
      </c>
      <c r="K248" s="70">
        <f t="shared" si="23"/>
        <v>-6.552371680253577E-3</v>
      </c>
      <c r="M248" s="66">
        <f t="shared" si="24"/>
        <v>41817</v>
      </c>
      <c r="N248" s="81">
        <f t="shared" si="30"/>
        <v>128.78787878787858</v>
      </c>
      <c r="O248" s="81">
        <f t="shared" si="30"/>
        <v>113.744075829384</v>
      </c>
      <c r="P248" s="81">
        <f t="shared" si="30"/>
        <v>104.24028268551224</v>
      </c>
      <c r="Q248" s="81">
        <f t="shared" si="30"/>
        <v>112.55083942079514</v>
      </c>
    </row>
    <row r="249" spans="1:17">
      <c r="A249" s="66">
        <v>41820</v>
      </c>
      <c r="B249" s="66">
        <v>41820</v>
      </c>
      <c r="C249" s="67">
        <v>0.51</v>
      </c>
      <c r="D249" s="67">
        <v>0.48</v>
      </c>
      <c r="E249" s="67">
        <v>0.59</v>
      </c>
      <c r="F249" s="68">
        <v>53168.22</v>
      </c>
      <c r="G249" s="66">
        <f t="shared" si="28"/>
        <v>41820</v>
      </c>
      <c r="H249" s="70">
        <f t="shared" si="25"/>
        <v>0</v>
      </c>
      <c r="I249" s="70">
        <f t="shared" si="25"/>
        <v>0</v>
      </c>
      <c r="J249" s="70">
        <f t="shared" si="25"/>
        <v>0</v>
      </c>
      <c r="K249" s="70">
        <f t="shared" si="23"/>
        <v>2.0540694347689166E-4</v>
      </c>
      <c r="M249" s="66">
        <f t="shared" si="24"/>
        <v>41820</v>
      </c>
      <c r="N249" s="83">
        <f t="shared" si="30"/>
        <v>128.78787878787858</v>
      </c>
      <c r="O249" s="81">
        <f t="shared" si="30"/>
        <v>113.744075829384</v>
      </c>
      <c r="P249" s="81">
        <f t="shared" si="30"/>
        <v>104.24028268551224</v>
      </c>
      <c r="Q249" s="81">
        <f t="shared" si="30"/>
        <v>112.57396051924211</v>
      </c>
    </row>
    <row r="250" spans="1:17">
      <c r="C250" s="67">
        <f>MAX(C3:C249)</f>
        <v>0.628</v>
      </c>
      <c r="D250" s="67">
        <f>MAX(D3:D249)</f>
        <v>0.53700000000000003</v>
      </c>
      <c r="E250" s="67">
        <f>MAX(E3:E249)</f>
        <v>0.78</v>
      </c>
      <c r="G250" s="66" t="s">
        <v>76</v>
      </c>
      <c r="H250" s="74">
        <f>AVERAGE(H4:H249)</f>
        <v>1.0284411157068683E-3</v>
      </c>
      <c r="I250" s="74">
        <f>AVERAGE(I4:I249)</f>
        <v>5.2349914579643989E-4</v>
      </c>
      <c r="J250" s="74">
        <f>AVERAGE(J4:J249)</f>
        <v>1.6881487275032301E-4</v>
      </c>
      <c r="K250" s="74">
        <f>AVERAGE(K4:K249)</f>
        <v>4.8146441660055849E-4</v>
      </c>
      <c r="N250" s="74"/>
      <c r="O250" s="80"/>
      <c r="P250" s="80"/>
      <c r="Q250" s="80"/>
    </row>
    <row r="251" spans="1:17">
      <c r="C251" s="67">
        <f>MIN(C3:C249)</f>
        <v>0.39600000000000002</v>
      </c>
      <c r="D251" s="67">
        <f>MIN(D3:D249)</f>
        <v>0.374</v>
      </c>
      <c r="E251" s="67">
        <f>MIN(E3:E249)</f>
        <v>0.48299999999999998</v>
      </c>
      <c r="G251" s="66" t="s">
        <v>77</v>
      </c>
      <c r="H251" s="74">
        <f>STDEV(H4:H249)</f>
        <v>3.7286606014299131E-2</v>
      </c>
      <c r="I251" s="74">
        <f>STDEV(I4:I249)</f>
        <v>1.8939457335011033E-2</v>
      </c>
      <c r="J251" s="74">
        <f>STDEV(J4:J249)</f>
        <v>3.8066920104568205E-2</v>
      </c>
      <c r="K251" s="74">
        <f>STDEV(K4:K249)</f>
        <v>1.2939265458654202E-2</v>
      </c>
      <c r="N251" s="74"/>
      <c r="O251" s="80"/>
      <c r="P251" s="80"/>
      <c r="Q251" s="80"/>
    </row>
    <row r="252" spans="1:17">
      <c r="H252" s="84">
        <f>(H250+1)^246-1</f>
        <v>0.28771136565881661</v>
      </c>
      <c r="I252" s="84">
        <f>(I250+1)^246-1</f>
        <v>0.1374024311020543</v>
      </c>
      <c r="J252" s="84">
        <f>(J250+1)^246-1</f>
        <v>4.2399173326894468E-2</v>
      </c>
      <c r="K252" s="84">
        <f>(K250+1)^246-1</f>
        <v>0.1257075184307439</v>
      </c>
    </row>
    <row r="253" spans="1:17">
      <c r="K253" s="82">
        <f>K252-H252</f>
        <v>-0.16200384722807271</v>
      </c>
    </row>
    <row r="254" spans="1:17">
      <c r="K254" s="68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40</v>
      </c>
      <c r="C2" s="32" t="s">
        <v>34</v>
      </c>
      <c r="D2" s="32" t="s">
        <v>35</v>
      </c>
      <c r="E2" s="17" t="s">
        <v>14</v>
      </c>
      <c r="F2" s="17" t="s">
        <v>37</v>
      </c>
      <c r="G2" s="17" t="s">
        <v>36</v>
      </c>
    </row>
    <row r="3" spans="2:9" ht="35.25" customHeight="1">
      <c r="B3" s="29" t="s">
        <v>25</v>
      </c>
      <c r="C3" s="16">
        <v>43239</v>
      </c>
      <c r="D3" s="16">
        <v>43343</v>
      </c>
      <c r="E3" s="16">
        <v>86582</v>
      </c>
      <c r="F3" s="41">
        <f t="shared" ref="F3:F10" si="0">C3-D3</f>
        <v>-104</v>
      </c>
      <c r="G3" s="18">
        <f t="shared" ref="G3:G10" si="1">C3/D3-1</f>
        <v>-2.3994647347899134E-3</v>
      </c>
      <c r="H3" s="33"/>
      <c r="I3" s="34"/>
    </row>
    <row r="4" spans="2:9" ht="24.95" customHeight="1">
      <c r="B4" s="15" t="s">
        <v>39</v>
      </c>
      <c r="C4" s="16">
        <v>31582</v>
      </c>
      <c r="D4" s="16">
        <v>35356</v>
      </c>
      <c r="E4" s="16">
        <v>66938</v>
      </c>
      <c r="F4" s="41">
        <f t="shared" si="0"/>
        <v>-3774</v>
      </c>
      <c r="G4" s="18">
        <f t="shared" si="1"/>
        <v>-0.10674284421314628</v>
      </c>
      <c r="H4" s="33"/>
      <c r="I4" s="34"/>
    </row>
    <row r="5" spans="2:9" ht="24.95" customHeight="1">
      <c r="B5" s="15" t="s">
        <v>26</v>
      </c>
      <c r="C5" s="16">
        <v>36380</v>
      </c>
      <c r="D5" s="16">
        <v>31333</v>
      </c>
      <c r="E5" s="16">
        <v>67713</v>
      </c>
      <c r="F5" s="41">
        <f t="shared" si="0"/>
        <v>5047</v>
      </c>
      <c r="G5" s="18">
        <f t="shared" si="1"/>
        <v>0.16107618166150695</v>
      </c>
      <c r="H5" s="33"/>
      <c r="I5" s="34"/>
    </row>
    <row r="6" spans="2:9" ht="24.95" customHeight="1">
      <c r="B6" s="15" t="s">
        <v>27</v>
      </c>
      <c r="C6" s="16">
        <v>11228</v>
      </c>
      <c r="D6" s="16">
        <v>11238</v>
      </c>
      <c r="E6" s="16">
        <v>22466</v>
      </c>
      <c r="F6" s="41">
        <f t="shared" si="0"/>
        <v>-10</v>
      </c>
      <c r="G6" s="18">
        <f t="shared" si="1"/>
        <v>-8.8983804947495582E-4</v>
      </c>
      <c r="H6" s="33"/>
      <c r="I6" s="34"/>
    </row>
    <row r="7" spans="2:9" ht="24.95" customHeight="1">
      <c r="B7" s="15" t="s">
        <v>28</v>
      </c>
      <c r="C7" s="16">
        <v>15633</v>
      </c>
      <c r="D7" s="16">
        <v>8736</v>
      </c>
      <c r="E7" s="16">
        <v>24369</v>
      </c>
      <c r="F7" s="41">
        <f t="shared" si="0"/>
        <v>6897</v>
      </c>
      <c r="G7" s="18">
        <f t="shared" si="1"/>
        <v>0.78949175824175821</v>
      </c>
      <c r="H7" s="33"/>
      <c r="I7" s="34"/>
    </row>
    <row r="8" spans="2:9" ht="24.95" customHeight="1">
      <c r="B8" s="15" t="s">
        <v>29</v>
      </c>
      <c r="C8" s="16">
        <v>21281</v>
      </c>
      <c r="D8" s="16">
        <v>20855</v>
      </c>
      <c r="E8" s="16">
        <v>42136</v>
      </c>
      <c r="F8" s="41">
        <f t="shared" si="0"/>
        <v>426</v>
      </c>
      <c r="G8" s="18">
        <f t="shared" si="1"/>
        <v>2.0426756173579586E-2</v>
      </c>
      <c r="H8" s="33"/>
      <c r="I8" s="34"/>
    </row>
    <row r="9" spans="2:9" ht="24.95" customHeight="1">
      <c r="B9" s="15" t="s">
        <v>30</v>
      </c>
      <c r="C9" s="16">
        <v>7517</v>
      </c>
      <c r="D9" s="16">
        <v>7146</v>
      </c>
      <c r="E9" s="16">
        <v>14663</v>
      </c>
      <c r="F9" s="41">
        <f t="shared" si="0"/>
        <v>371</v>
      </c>
      <c r="G9" s="18">
        <f t="shared" si="1"/>
        <v>5.1917156451161572E-2</v>
      </c>
      <c r="H9" s="33"/>
      <c r="I9" s="34"/>
    </row>
    <row r="10" spans="2:9" ht="24.95" customHeight="1">
      <c r="B10" s="19" t="s">
        <v>38</v>
      </c>
      <c r="C10" s="30">
        <v>166860</v>
      </c>
      <c r="D10" s="30">
        <f>SUM(D3:D9)</f>
        <v>158007</v>
      </c>
      <c r="E10" s="30">
        <f>SUM(E3:E9)</f>
        <v>324867</v>
      </c>
      <c r="F10" s="35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</row>
    <row r="12" spans="2:9" ht="24.95" customHeight="1">
      <c r="B12" s="23" t="s">
        <v>33</v>
      </c>
      <c r="C12" s="24">
        <v>111622</v>
      </c>
      <c r="D12" s="24">
        <f>223425-C12</f>
        <v>111803</v>
      </c>
      <c r="E12" s="24">
        <v>223425</v>
      </c>
      <c r="F12" s="46">
        <f>C12-D12</f>
        <v>-181</v>
      </c>
      <c r="G12" s="25">
        <f>C12/D12-1</f>
        <v>-1.6189189914402879E-3</v>
      </c>
    </row>
    <row r="13" spans="2:9" ht="24.95" customHeight="1">
      <c r="B13" s="23" t="s">
        <v>31</v>
      </c>
      <c r="C13" s="24">
        <v>21602</v>
      </c>
      <c r="D13" s="24">
        <f>43167-C13</f>
        <v>21565</v>
      </c>
      <c r="E13" s="24">
        <v>43167</v>
      </c>
      <c r="F13" s="46">
        <f>C13-D13</f>
        <v>37</v>
      </c>
      <c r="G13" s="25">
        <f>C13/D13-1</f>
        <v>1.7157431022489789E-3</v>
      </c>
    </row>
    <row r="14" spans="2:9" ht="24.95" customHeight="1">
      <c r="B14" s="23" t="s">
        <v>32</v>
      </c>
      <c r="C14" s="24">
        <v>33636</v>
      </c>
      <c r="D14" s="24">
        <f>58275-C14</f>
        <v>24639</v>
      </c>
      <c r="E14" s="24">
        <v>58275</v>
      </c>
      <c r="F14" s="46">
        <f>C14-D14</f>
        <v>8997</v>
      </c>
      <c r="G14" s="25">
        <f>C14/D14-1</f>
        <v>0.36515280652623883</v>
      </c>
    </row>
    <row r="15" spans="2:9" ht="24.95" customHeight="1">
      <c r="B15" s="23" t="s">
        <v>32</v>
      </c>
      <c r="C15" s="24">
        <v>33636</v>
      </c>
      <c r="D15" s="24">
        <f>58275-C15</f>
        <v>24639</v>
      </c>
      <c r="E15" s="24">
        <v>58275</v>
      </c>
      <c r="F15" s="46">
        <f>C15-D15</f>
        <v>8997</v>
      </c>
      <c r="G15" s="25">
        <f>C15/D15-1</f>
        <v>0.36515280652623883</v>
      </c>
    </row>
    <row r="16" spans="2:9">
      <c r="C16" s="33"/>
      <c r="D16" s="33"/>
    </row>
    <row r="17" spans="2:7">
      <c r="B17" s="36" t="s">
        <v>30</v>
      </c>
      <c r="C17" s="40">
        <v>5147</v>
      </c>
      <c r="D17" s="40">
        <f>13798-C17</f>
        <v>8651</v>
      </c>
    </row>
    <row r="18" spans="2:7">
      <c r="D18" s="48"/>
      <c r="F18" s="33"/>
      <c r="G18" s="36"/>
    </row>
    <row r="19" spans="2:7">
      <c r="G19" s="36"/>
    </row>
    <row r="22" spans="2:7">
      <c r="C22" s="47"/>
    </row>
    <row r="26" spans="2:7">
      <c r="B26" s="37"/>
      <c r="C26" s="38"/>
      <c r="D26" s="39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7</v>
      </c>
      <c r="C16" s="1" t="s">
        <v>8</v>
      </c>
    </row>
    <row r="17" spans="1:4">
      <c r="A17" s="2" t="s">
        <v>41</v>
      </c>
      <c r="B17" s="9">
        <v>49.9</v>
      </c>
      <c r="C17" s="10"/>
    </row>
    <row r="18" spans="1:4">
      <c r="A18" s="2" t="s">
        <v>9</v>
      </c>
      <c r="B18" s="11">
        <f>B17-C17</f>
        <v>49.9</v>
      </c>
      <c r="C18" s="9">
        <v>95.5</v>
      </c>
    </row>
    <row r="19" spans="1:4">
      <c r="A19" s="2" t="s">
        <v>10</v>
      </c>
      <c r="B19" s="11">
        <f>B17+C18-C19</f>
        <v>139</v>
      </c>
      <c r="C19" s="9">
        <v>6.4</v>
      </c>
      <c r="D19" s="49"/>
    </row>
    <row r="20" spans="1:4">
      <c r="A20" s="2" t="s">
        <v>11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42</v>
      </c>
      <c r="B22" s="11">
        <v>43.4</v>
      </c>
      <c r="C22" s="9"/>
    </row>
    <row r="23" spans="1:4">
      <c r="A23" s="2" t="s">
        <v>12</v>
      </c>
      <c r="B23" s="11">
        <f>B22</f>
        <v>43.4</v>
      </c>
      <c r="C23" s="9">
        <v>131.6</v>
      </c>
    </row>
    <row r="24" spans="1:4">
      <c r="A24" s="2" t="s">
        <v>43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5</v>
      </c>
      <c r="E8" t="s">
        <v>6</v>
      </c>
      <c r="F8" t="s">
        <v>14</v>
      </c>
    </row>
    <row r="9" spans="3:6">
      <c r="C9" s="26" t="s">
        <v>23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e139edc62bef2408e3ca4f81cc89032f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2cca5ab27094d4096cc81f0766a57aa3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C115E-0D40-4C8D-BF4F-5AFCF0A7DB2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45a7075-aba4-4158-a624-08d0839d379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239a6a-63aa-40e4-ad75-9b3044a77272"/>
    <ds:schemaRef ds:uri="http://www.w3.org/XML/1998/namespace"/>
    <ds:schemaRef ds:uri="561c0536-6251-4678-bf9d-416b3d84a4ab"/>
  </ds:schemaRefs>
</ds:datastoreItem>
</file>

<file path=customXml/itemProps2.xml><?xml version="1.0" encoding="utf-8"?>
<ds:datastoreItem xmlns:ds="http://schemas.openxmlformats.org/officeDocument/2006/customXml" ds:itemID="{9814F0E6-59C4-49B5-8347-44863293A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80B49-06AE-45B4-8BA7-5E34ED113C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Index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Plan3</vt:lpstr>
      <vt:lpstr>estrutura de capital</vt:lpstr>
      <vt:lpstr>01. Income Statement</vt:lpstr>
      <vt:lpstr>02. BS</vt:lpstr>
      <vt:lpstr>03. CF</vt:lpstr>
      <vt:lpstr>04. EBITDA</vt:lpstr>
      <vt:lpstr>05. Net Debt</vt:lpstr>
      <vt:lpstr>06. Installed Capacity</vt:lpstr>
      <vt:lpstr>07. Shares</vt:lpstr>
      <vt:lpstr>08. Income Statement</vt:lpstr>
      <vt:lpstr>09. BS</vt:lpstr>
      <vt:lpstr>10. CF</vt:lpstr>
      <vt:lpstr>11. EBITDA</vt:lpstr>
      <vt:lpstr>12. Net Debt</vt:lpstr>
      <vt:lpstr>Plan1</vt:lpstr>
      <vt:lpstr>'04. EBITDA'!Area_de_impressao</vt:lpstr>
      <vt:lpstr>'05. Net Debt'!Area_de_impressao</vt:lpstr>
      <vt:lpstr>'06. Installed Capacity'!Area_de_impressao</vt:lpstr>
      <vt:lpstr>'07. Shares'!Area_de_impressao</vt:lpstr>
      <vt:lpstr>'11. EBITDA'!Area_de_impressao</vt:lpstr>
      <vt:lpstr>'12. Net Debt'!Area_de_impressao</vt:lpstr>
      <vt:lpstr>Index!Area_de_impressao</vt:lpstr>
      <vt:lpstr>'Movimentação Empréstimos'!Area_de_impressao</vt:lpstr>
      <vt:lpstr>'Movimentação Empréstimos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cj010583</dc:creator>
  <cp:lastModifiedBy>Roberta Maria dos Santos Silva</cp:lastModifiedBy>
  <cp:lastPrinted>2015-09-15T20:09:25Z</cp:lastPrinted>
  <dcterms:created xsi:type="dcterms:W3CDTF">2013-11-06T09:38:43Z</dcterms:created>
  <dcterms:modified xsi:type="dcterms:W3CDTF">2025-08-06T21:54:34Z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