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rbrasset1.sharepoint.com/sites/Crdito/Shared Documents/03. Fundos/03. RPRI11/01. Relatório Mensal/2023/04/"/>
    </mc:Choice>
  </mc:AlternateContent>
  <xr:revisionPtr revIDLastSave="172" documentId="13_ncr:1_{B298BA70-C481-4539-95BF-3DED293F43A0}" xr6:coauthVersionLast="47" xr6:coauthVersionMax="47" xr10:uidLastSave="{F25F8C04-71CE-46CB-A9CB-149B40D289F8}"/>
  <workbookProtection workbookAlgorithmName="SHA-512" workbookHashValue="S0JVDVJ2IQW0EDkbH4f8Bp4lE16kiGd83AEvd0ILERKRBoOPYVvz6tcMEY+9G6umwmJAVxAT27PkeVPH/fRn0w==" workbookSaltValue="pNwSWNqkQ4lcWYW2yZrlXQ==" workbookSpinCount="100000" lockStructure="1"/>
  <bookViews>
    <workbookView xWindow="-120" yWindow="-120" windowWidth="29040" windowHeight="15720" xr2:uid="{1D24BC7B-CD6F-4A26-B7F2-4B34EA7193E5}"/>
  </bookViews>
  <sheets>
    <sheet name="Carteira de CRIs" sheetId="10" r:id="rId1"/>
    <sheet name="Resultado PRI" sheetId="11" r:id="rId2"/>
    <sheet name="Sensibilidade" sheetId="8" r:id="rId3"/>
    <sheet name="aux" sheetId="9" state="hidden" r:id="rId4"/>
  </sheets>
  <externalReferences>
    <externalReference r:id="rId5"/>
    <externalReference r:id="rId6"/>
  </externalReferences>
  <definedNames>
    <definedName name="_xlnm._FilterDatabase" localSheetId="0" hidden="1">'Carteira de CRIs'!$B$6:$AA$23</definedName>
    <definedName name="feriado" localSheetId="1">[1]Feriado!$A$2:$A$937</definedName>
    <definedName name="feriado">[2]Feriado!$A$2:$A$589</definedName>
  </definedNames>
  <calcPr calcId="191029" calcMode="manual" calcCompleted="0" calcOnSave="0" concurrentManualCount="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8" l="1" a="1"/>
  <c r="O12" i="8"/>
  <c r="N12" i="8" a="1"/>
  <c r="N12" i="8"/>
  <c r="L12" i="8" a="1"/>
  <c r="L12" i="8"/>
  <c r="K12" i="8" a="1"/>
  <c r="K12" i="8"/>
  <c r="I50" i="9"/>
  <c r="I49" i="9"/>
  <c r="H23" i="8"/>
  <c r="H18" i="8"/>
  <c r="J56" i="9"/>
  <c r="B36" i="8" a="1"/>
  <c r="B36" i="8" s="1"/>
  <c r="C20" i="8" a="1"/>
  <c r="C20" i="8" s="1"/>
  <c r="J70" i="9"/>
  <c r="J69" i="9" s="1"/>
  <c r="I69" i="9" s="1"/>
  <c r="K58" i="9"/>
  <c r="J58" i="9"/>
  <c r="I58" i="9"/>
  <c r="K57" i="9"/>
  <c r="K56" i="9"/>
  <c r="K55" i="9"/>
  <c r="J57" i="9"/>
  <c r="J55" i="9"/>
  <c r="I70" i="9" l="1"/>
  <c r="H70" i="9" s="1"/>
  <c r="J61" i="9"/>
  <c r="H69" i="9"/>
  <c r="J68" i="9"/>
  <c r="I68" i="9" s="1"/>
  <c r="I55" i="9"/>
  <c r="I57" i="9"/>
  <c r="I56" i="9"/>
  <c r="J71" i="9"/>
  <c r="I71" i="9" s="1"/>
  <c r="I61" i="9" l="1"/>
  <c r="K69" i="9" s="1"/>
  <c r="L69" i="9"/>
  <c r="L70" i="9"/>
  <c r="K102" i="9" s="1"/>
  <c r="K118" i="9" s="1"/>
  <c r="L102" i="9"/>
  <c r="L118" i="9" s="1"/>
  <c r="L101" i="9"/>
  <c r="L117" i="9" s="1"/>
  <c r="K101" i="9"/>
  <c r="K117" i="9" s="1"/>
  <c r="K70" i="9"/>
  <c r="H68" i="9"/>
  <c r="L68" i="9" s="1"/>
  <c r="J67" i="9"/>
  <c r="I67" i="9" s="1"/>
  <c r="J72" i="9"/>
  <c r="I72" i="9" s="1"/>
  <c r="H71" i="9"/>
  <c r="L71" i="9" s="1"/>
  <c r="K68" i="9" l="1"/>
  <c r="L84" i="9" s="1"/>
  <c r="L86" i="9"/>
  <c r="K86" i="9"/>
  <c r="J73" i="9"/>
  <c r="I73" i="9" s="1"/>
  <c r="H72" i="9"/>
  <c r="K71" i="9"/>
  <c r="L103" i="9"/>
  <c r="L119" i="9" s="1"/>
  <c r="K103" i="9"/>
  <c r="K119" i="9" s="1"/>
  <c r="J66" i="9"/>
  <c r="I66" i="9" s="1"/>
  <c r="H67" i="9"/>
  <c r="L85" i="9"/>
  <c r="K85" i="9"/>
  <c r="L100" i="9"/>
  <c r="L116" i="9" s="1"/>
  <c r="K100" i="9"/>
  <c r="K116" i="9" s="1"/>
  <c r="K84" i="9" l="1"/>
  <c r="J74" i="9"/>
  <c r="I74" i="9" s="1"/>
  <c r="H73" i="9"/>
  <c r="L72" i="9"/>
  <c r="K72" i="9"/>
  <c r="L87" i="9"/>
  <c r="K87" i="9"/>
  <c r="L67" i="9"/>
  <c r="K67" i="9"/>
  <c r="J65" i="9"/>
  <c r="I65" i="9" s="1"/>
  <c r="H66" i="9"/>
  <c r="J64" i="9" l="1"/>
  <c r="H65" i="9"/>
  <c r="L66" i="9"/>
  <c r="K66" i="9"/>
  <c r="L73" i="9"/>
  <c r="K73" i="9"/>
  <c r="L88" i="9"/>
  <c r="K88" i="9"/>
  <c r="L104" i="9"/>
  <c r="L120" i="9" s="1"/>
  <c r="K104" i="9"/>
  <c r="K120" i="9" s="1"/>
  <c r="L83" i="9"/>
  <c r="K83" i="9"/>
  <c r="L99" i="9"/>
  <c r="L115" i="9" s="1"/>
  <c r="K99" i="9"/>
  <c r="K115" i="9" s="1"/>
  <c r="J75" i="9"/>
  <c r="I75" i="9" s="1"/>
  <c r="H74" i="9"/>
  <c r="I64" i="9" l="1"/>
  <c r="H64" i="9" s="1"/>
  <c r="L64" i="9" s="1"/>
  <c r="L89" i="9"/>
  <c r="K89" i="9"/>
  <c r="L105" i="9"/>
  <c r="L121" i="9" s="1"/>
  <c r="K105" i="9"/>
  <c r="K121" i="9" s="1"/>
  <c r="K82" i="9"/>
  <c r="L82" i="9"/>
  <c r="K98" i="9"/>
  <c r="K114" i="9" s="1"/>
  <c r="L98" i="9"/>
  <c r="L114" i="9" s="1"/>
  <c r="J76" i="9"/>
  <c r="I76" i="9" s="1"/>
  <c r="H75" i="9"/>
  <c r="L65" i="9"/>
  <c r="K65" i="9"/>
  <c r="L74" i="9"/>
  <c r="K74" i="9"/>
  <c r="K64" i="9" l="1"/>
  <c r="L80" i="9" s="1"/>
  <c r="L81" i="9"/>
  <c r="K81" i="9"/>
  <c r="L96" i="9"/>
  <c r="K96" i="9"/>
  <c r="K112" i="9" s="1"/>
  <c r="J77" i="9"/>
  <c r="I77" i="9" s="1"/>
  <c r="H76" i="9"/>
  <c r="L97" i="9"/>
  <c r="L113" i="9" s="1"/>
  <c r="K97" i="9"/>
  <c r="K113" i="9" s="1"/>
  <c r="L75" i="9"/>
  <c r="K75" i="9"/>
  <c r="L90" i="9"/>
  <c r="K90" i="9"/>
  <c r="L106" i="9"/>
  <c r="L122" i="9" s="1"/>
  <c r="K106" i="9"/>
  <c r="K122" i="9" s="1"/>
  <c r="K80" i="9" l="1"/>
  <c r="H77" i="9"/>
  <c r="L112" i="9"/>
  <c r="L76" i="9"/>
  <c r="K76" i="9"/>
  <c r="L91" i="9"/>
  <c r="K91" i="9"/>
  <c r="L107" i="9"/>
  <c r="L123" i="9" s="1"/>
  <c r="K107" i="9"/>
  <c r="K123" i="9" s="1"/>
  <c r="H95" i="9" l="1" a="1"/>
  <c r="H95" i="9" s="1"/>
  <c r="L77" i="9"/>
  <c r="L109" i="9" s="1"/>
  <c r="H79" i="9" a="1"/>
  <c r="H79" i="9" s="1"/>
  <c r="K77" i="9"/>
  <c r="L93" i="9" s="1"/>
  <c r="H111" i="9" a="1"/>
  <c r="H111" i="9" s="1"/>
  <c r="L92" i="9"/>
  <c r="K92" i="9"/>
  <c r="L108" i="9"/>
  <c r="L124" i="9" s="1"/>
  <c r="K108" i="9"/>
  <c r="K124" i="9" s="1"/>
  <c r="K93" i="9" l="1"/>
  <c r="L125" i="9"/>
  <c r="K109" i="9"/>
  <c r="K125" i="9" s="1"/>
  <c r="D30" i="8"/>
  <c r="D26" i="8"/>
  <c r="B26" i="8"/>
  <c r="D25" i="8"/>
  <c r="B25" i="8"/>
  <c r="D23" i="8"/>
  <c r="B19" i="8"/>
  <c r="D17" i="8"/>
  <c r="D15" i="8"/>
  <c r="D14" i="8"/>
  <c r="D13" i="8"/>
  <c r="I12" i="8" a="1"/>
  <c r="I12" i="8" s="1"/>
  <c r="C12" i="8"/>
  <c r="B12" i="8"/>
  <c r="D27" i="8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<sst xmlns="http://schemas.openxmlformats.org/spreadsheetml/2006/main" count="348" uniqueCount="210">
  <si>
    <t>Planilha de Fundamentos</t>
  </si>
  <si>
    <t>Ativo</t>
  </si>
  <si>
    <t>Descrição da Operação</t>
  </si>
  <si>
    <t>Rating RBR</t>
  </si>
  <si>
    <t>Setor Imobiliário</t>
  </si>
  <si>
    <t>% PL</t>
  </si>
  <si>
    <t>Indexador</t>
  </si>
  <si>
    <t>Vencimento</t>
  </si>
  <si>
    <t>LTV</t>
  </si>
  <si>
    <t>Cód. CETIP</t>
  </si>
  <si>
    <t>Tipo de Oferta</t>
  </si>
  <si>
    <t>Emissor</t>
  </si>
  <si>
    <t>Tipo de Risco</t>
  </si>
  <si>
    <t>Estratégia</t>
  </si>
  <si>
    <t>% da Garantia no Estado de SP</t>
  </si>
  <si>
    <t>% da Garantia em São Paulo Capital</t>
  </si>
  <si>
    <t>% da Garantia em Localização Prime</t>
  </si>
  <si>
    <t>CRI Lote 5</t>
  </si>
  <si>
    <t>CRI Exto</t>
  </si>
  <si>
    <t>A+</t>
  </si>
  <si>
    <t>ICVM 476</t>
  </si>
  <si>
    <t>Corporativo</t>
  </si>
  <si>
    <t>AA-</t>
  </si>
  <si>
    <t>IPCA+</t>
  </si>
  <si>
    <t>Operação de crédito com a incorporadora EXTO, que tem como lastro unidades prontas de diversos empreendimentos em regiões valorizadas de São Paulo, como Vila Madalena, Vila Romana, Perdizes entre outros. A operação conta com alienação fiduciária das matrículas das unidades. Além disso, o excedente dos recebíveis nas vendas das unidades poderão ser utilizados para amortizar antecipadamente a operação - "Cash Sweep".</t>
  </si>
  <si>
    <t>Residencial</t>
  </si>
  <si>
    <t>CDI+</t>
  </si>
  <si>
    <t>20L0739373</t>
  </si>
  <si>
    <t>Estoque</t>
  </si>
  <si>
    <t>A</t>
  </si>
  <si>
    <t>True Sec</t>
  </si>
  <si>
    <t>A-</t>
  </si>
  <si>
    <t>21F0927565</t>
  </si>
  <si>
    <t>Pré</t>
  </si>
  <si>
    <t>Cotas Emitidas (Início Mês)</t>
  </si>
  <si>
    <t>Cotas Emitidas (Fim Mês)</t>
  </si>
  <si>
    <t>Cota a Mercado</t>
  </si>
  <si>
    <t>PL / cota</t>
  </si>
  <si>
    <t>DRE Gerencial</t>
  </si>
  <si>
    <t>Início</t>
  </si>
  <si>
    <t>(+) Receitas</t>
  </si>
  <si>
    <t>Juros (CRI)</t>
  </si>
  <si>
    <t>Liquidez</t>
  </si>
  <si>
    <t>(-) Despesas</t>
  </si>
  <si>
    <t>Despesas do Fundo</t>
  </si>
  <si>
    <t>(=) FFO | Funds from Operations</t>
  </si>
  <si>
    <t>Receitas Não-Recorrentes CRIs</t>
  </si>
  <si>
    <t>Despesas Não-Recorrentes</t>
  </si>
  <si>
    <t>(=) Resultado Final</t>
  </si>
  <si>
    <t>Reservas</t>
  </si>
  <si>
    <t>Rendimento Novos Cotistas</t>
  </si>
  <si>
    <t>(=) Rendimento Distribuído</t>
  </si>
  <si>
    <t>Rendimento / Cota (R$ / cota)</t>
  </si>
  <si>
    <t>Abertura da Distribuição</t>
  </si>
  <si>
    <t>Receita CRIs</t>
  </si>
  <si>
    <t>Receitas Não-Recorrentes</t>
  </si>
  <si>
    <t>Total Distribuído</t>
  </si>
  <si>
    <t>Loteamento</t>
  </si>
  <si>
    <t>Opea</t>
  </si>
  <si>
    <t>Virgo</t>
  </si>
  <si>
    <t>Taxa MTM
(% a.a.)</t>
  </si>
  <si>
    <t>Montante MTM (R$)</t>
  </si>
  <si>
    <t>Carteira Pulv.</t>
  </si>
  <si>
    <t>Locação Mult.</t>
  </si>
  <si>
    <t>Core</t>
  </si>
  <si>
    <t>Taxa Investida (% a.a.)</t>
  </si>
  <si>
    <t>Montante
Curva (R$)</t>
  </si>
  <si>
    <t>Participação da
RBR no CRI*</t>
  </si>
  <si>
    <t>Participação do Fundo no CRI</t>
  </si>
  <si>
    <t>Quantidade Emitida</t>
  </si>
  <si>
    <t>Quantidade Integralizada</t>
  </si>
  <si>
    <t>Posição do Fundo</t>
  </si>
  <si>
    <t>Duration
(anos)</t>
  </si>
  <si>
    <t>*pode incluir o investimento no CRI por outros veículos geridos pela RBR</t>
  </si>
  <si>
    <t>Financ. Obra</t>
  </si>
  <si>
    <t>CRI Setin Perdizes</t>
  </si>
  <si>
    <t>Operação de crédito com a incorporadora Setin, que tem como lastro unidades residenciais prontas de médio-alto padrão localizadas no bairro de Perdizes em São Paulo. A operação conta com garantia corporativa, aval do sócio, fundo de reserva e alienação fiduciária das matrículas das unidades, com LTV máximo de 70%.</t>
  </si>
  <si>
    <t>22G0663573</t>
  </si>
  <si>
    <t>CRI Landsol</t>
  </si>
  <si>
    <t>Operação de financiamento e desenvolvimento de obras em lotes residenciais. A emissão é lastreada em uma debênture emitida pela loteadora Cemara, companhia que atua majoritariamente no interior de São Paulo. A operação conta com a alienação fiduciária das matriculas dos lotes, alienação fiduciária de quotas, cessão fiduciária de futuros recebíveis e fundos de reserva e despesas.</t>
  </si>
  <si>
    <t>BBB</t>
  </si>
  <si>
    <t>22H1582777</t>
  </si>
  <si>
    <t>CRI Seed</t>
  </si>
  <si>
    <t>Operação de financiamento ao desenvolvimento de seis empreendimentos, sendo casas de alto padrão localizado em regiões privilegiadas na cidade de São Paulo/SP. A emissão é lastreada em notas comerciais emitidas pela SPE de cada projeto. A operação conta com fiança, alienação de quotas das SPEs, cessão fiduciária dos recebíveis, alienação fiduciária dos imóveis e fundo de reserva.</t>
  </si>
  <si>
    <t>CRI Setin SP</t>
  </si>
  <si>
    <t>Operação de aquisição de terrenos localizados em regiões estratégicas de São Paulo – Rua Pamplona no bairro Jardins e Rua Vergueiro no bairro Vila Mariana. A operação conta com garantia de alienação fiduciária dos terrenos, alienação fiduciária da quotas das SPE´s e garantia corporativa da Setin.</t>
  </si>
  <si>
    <t>20A0977074</t>
  </si>
  <si>
    <t>Tabelas de Sensibilidade do Retorno da Carteira de CRI</t>
  </si>
  <si>
    <t>Disclaimer
* As tabelas apresentadas a seguir, são referentes apenas à rentabilidade da carteira de CRI e não consideram a alocação em caixa, FIIs e outros.</t>
  </si>
  <si>
    <t>Taxa equivalente* da carteira
de CRI em IPCA+</t>
  </si>
  <si>
    <t>Taxa equivalente* da carteira
de CRI em CDI+</t>
  </si>
  <si>
    <t>Preço Mercado</t>
  </si>
  <si>
    <t>Carteira CRI
(IPCA+)</t>
  </si>
  <si>
    <t>Carteira CRI (IPCA+)
(-) Tx Adm.</t>
  </si>
  <si>
    <t>Carteira CRI
(CDI+)</t>
  </si>
  <si>
    <t>Carteira CRI (CDI+)
(-) Tx Adm.</t>
  </si>
  <si>
    <t/>
  </si>
  <si>
    <t>Alocação em CRI (%PL)</t>
  </si>
  <si>
    <t>Alocação CRIs CDI (% PL)</t>
  </si>
  <si>
    <t>Alocação CRIs IPCA (%PL)</t>
  </si>
  <si>
    <t>Alocação em Caixa</t>
  </si>
  <si>
    <t>Aquisição</t>
  </si>
  <si>
    <t>MTM</t>
  </si>
  <si>
    <t>CRIs CDI+</t>
  </si>
  <si>
    <t>CRIs IPCA+</t>
  </si>
  <si>
    <t>Duration (Carteira)</t>
  </si>
  <si>
    <t>¹ Tx. Adm considera taxa de administração e taxa de gestão</t>
  </si>
  <si>
    <t>Ágio / Deságio sobre PL</t>
  </si>
  <si>
    <t>(sobre cota a mercado)</t>
  </si>
  <si>
    <t>Último DY Anualizado</t>
  </si>
  <si>
    <t>A seguir é possível fazer o input de premissas como preferir. Note que é necessário recalcular a planilha para observar os resultados.
As nossas premissas seguem a metodologia explicada abaixo.</t>
  </si>
  <si>
    <t>Premissas - Input</t>
  </si>
  <si>
    <t>Premissas</t>
  </si>
  <si>
    <t>CDI +</t>
  </si>
  <si>
    <t>CDI</t>
  </si>
  <si>
    <t>IPCA +</t>
  </si>
  <si>
    <t>IPCA</t>
  </si>
  <si>
    <t>IGPM +</t>
  </si>
  <si>
    <t>IGPM</t>
  </si>
  <si>
    <t>Dados Cota</t>
  </si>
  <si>
    <t>Data Ref</t>
  </si>
  <si>
    <t>input manual todo mês</t>
  </si>
  <si>
    <t>Cota PL</t>
  </si>
  <si>
    <t>Cota Mercado</t>
  </si>
  <si>
    <t>DY Últimos 12 meses (sobre cota a mercado)</t>
  </si>
  <si>
    <t>input manual todo mês (não vigente)</t>
  </si>
  <si>
    <t>Último DY Anualizado (sobre cota a mercado)</t>
  </si>
  <si>
    <t>Taxa Adm</t>
  </si>
  <si>
    <t>Taxa Gest</t>
  </si>
  <si>
    <t>Taxa Adm + Gest</t>
  </si>
  <si>
    <t>PL</t>
  </si>
  <si>
    <t>Alocação</t>
  </si>
  <si>
    <t>Nominal</t>
  </si>
  <si>
    <t>Percentual</t>
  </si>
  <si>
    <t>CRI</t>
  </si>
  <si>
    <t>Compromissadas</t>
  </si>
  <si>
    <t>CRIs Táticos</t>
  </si>
  <si>
    <t>Cx.</t>
  </si>
  <si>
    <t>FII</t>
  </si>
  <si>
    <t>LCI</t>
  </si>
  <si>
    <t>CRIs CDI</t>
  </si>
  <si>
    <t>CRIs IPCA</t>
  </si>
  <si>
    <t>CRIs IGPM</t>
  </si>
  <si>
    <t>Duration</t>
  </si>
  <si>
    <t>Step tabela</t>
  </si>
  <si>
    <t>Data base cálculos</t>
  </si>
  <si>
    <t>Categoria</t>
  </si>
  <si>
    <t>Taxa Aquisição</t>
  </si>
  <si>
    <t>Taxa MTM</t>
  </si>
  <si>
    <t>Nominal Aquis</t>
  </si>
  <si>
    <t>Nominal MTM</t>
  </si>
  <si>
    <t>Alocação da carteira</t>
  </si>
  <si>
    <t>Taxa carteira</t>
  </si>
  <si>
    <t>Carteira total</t>
  </si>
  <si>
    <t>Variação ajustada pela Duration</t>
  </si>
  <si>
    <t>Variação vs PL</t>
  </si>
  <si>
    <t>Carteira Aquis Nominal</t>
  </si>
  <si>
    <t>Carteira MTM Nominal</t>
  </si>
  <si>
    <t>Carteira Aquis CDI+</t>
  </si>
  <si>
    <t>Carteira Aquis IPCA+</t>
  </si>
  <si>
    <t>Carteira MTM CDI+</t>
  </si>
  <si>
    <t>Carteira MTM IPCA+</t>
  </si>
  <si>
    <t>Carteira CDI+ (-) Tx Adm.</t>
  </si>
  <si>
    <t>Carteira IPCA+ (-) Tx Adm.</t>
  </si>
  <si>
    <t>CRI MOS Jardins e Pinheiros</t>
  </si>
  <si>
    <t>Operação de desenvolvimento imobiliário de dois projeto residenciais localizados em regiões premium  – Bairro do Jardins e Pinheiros, SP. Os empreendimentos serão desenvolvidos pela Incorporadora MOS que é focada em produtos de alto padrão. A operação conta com alienação fiduciária do terreno, alienação fiduciária de quotas da SPE, cessão fiduciária de futuros direitos creditórios, aval dos sócios altamente capitalizados e fundos de reserva.</t>
  </si>
  <si>
    <t>22L1575688</t>
  </si>
  <si>
    <t>ICVM 160</t>
  </si>
  <si>
    <t>CRIs Pré</t>
  </si>
  <si>
    <t>-</t>
  </si>
  <si>
    <t>Metodologia
(i) como projeção do CDI em 2023, foi utilizado o FRA na duration mais próxima de um ano, calculado pelo preço de fechamento do Derivativo de Juros Futuros do DI no dia 28/02/2023; 
(ii) como projeção do IPCA em 2023, a inflação implícita divulgada pela ANBIMA em 28/02/2023</t>
  </si>
  <si>
    <t>20I0904073</t>
  </si>
  <si>
    <t>Operação de crédito voltada para antecipação de contratos de locação  lastreada em recebíveis de empreendimento residencial localizado na Vila Madalena - SP.
A operação conta com Alienação Fiduciaria de Imóvel, visitas ao ativo garantia e monitoramento de evolução de obra. A empresa realiza o desenvolvimento imobiliário, aquisição e gestão de imóveis para locação residencial.</t>
  </si>
  <si>
    <t>CRI Mora</t>
  </si>
  <si>
    <t>18I0295172</t>
  </si>
  <si>
    <t>Operação lastreada em Carteira Pulv. de contratos de compra e venda de lotes residenciais. A operação utiliza-se dos recebíveis da Carteira Pulv. para pagamento de principal de juros, além de alienação fiduciária dos ativos, coobrigação da cedente, subordinação de 30%, aval corporativo da holding operacional do grupo e fiança dos sócios.</t>
  </si>
  <si>
    <t>CRI Longitude</t>
  </si>
  <si>
    <t>22D1289606</t>
  </si>
  <si>
    <t>Operação de crédito para aquisição e retrofit de um projeto residencial performado localizado no bairro de Cerqueira César em São Paulo. A devedora, Yuca, é pioneira no segmento de coliving.  A operação conta com alienação fiduciária do terreno, alienação fiduciária de quotas da SPE, cessão fiduciária de futuros direitos creditórios e fundos de reserva e despesas.</t>
  </si>
  <si>
    <t>CRI Yuca Augusta II</t>
  </si>
  <si>
    <t>22G1225383</t>
  </si>
  <si>
    <t>Operação de crédito de reembolso de terreno e posterior desenvolvimento imobiliário de um projeto residencial localizado em bairro nobre de São Bernardo do Campo. O empreendimento está 100% vendido e em fase de obra. A devedora é a incorporadora Patriani, uma das principais empresas que atuam na região do ABC paulista.  A operação conta com alienação fiduciária do terreno, alienação fiduciária de quotas da SPE, cessão fiduciária de futuros direitos creditórios, aval e fundos de reserva e despesas.</t>
  </si>
  <si>
    <t>CRI Patriani</t>
  </si>
  <si>
    <t>22D1289605</t>
  </si>
  <si>
    <t>CRI Yuca Augusta I</t>
  </si>
  <si>
    <t>21L1281680</t>
  </si>
  <si>
    <t>Operação de crédito para antecipação de resultados de 6 empreendimentos da Yuny, todos em desenvolvimento e localizados em São Paulo. A empresa tem sólida experiência no mercado residencial há 25 anos e tem mais de 84 empreendimentos já entregues. A operação conta com alienação fiduciária de quotas e cessão fiduciária de dividendos dos projetos, além de fiança da empresa e dos sócios.</t>
  </si>
  <si>
    <t>CRI Yuny</t>
  </si>
  <si>
    <t>RPRI11 - RBR Premium Recebíveis Imobiliários</t>
  </si>
  <si>
    <t>Receita FIIs + Liquidez</t>
  </si>
  <si>
    <r>
      <rPr>
        <i/>
        <sz val="10"/>
        <color rgb="FF585856"/>
        <rFont val="Open Sans"/>
        <family val="2"/>
      </rPr>
      <t>Dividend Yield</t>
    </r>
    <r>
      <rPr>
        <sz val="10"/>
        <color rgb="FF585856"/>
        <rFont val="Open Sans"/>
        <family val="2"/>
      </rPr>
      <t xml:space="preserve"> sobre cota PL (Mensal)</t>
    </r>
  </si>
  <si>
    <r>
      <rPr>
        <i/>
        <sz val="10"/>
        <color rgb="FF585856"/>
        <rFont val="Open Sans"/>
        <family val="2"/>
      </rPr>
      <t>Dividend Yield sobre cota PL</t>
    </r>
    <r>
      <rPr>
        <sz val="10"/>
        <color rgb="FF585856"/>
        <rFont val="Open Sans"/>
        <family val="2"/>
      </rPr>
      <t xml:space="preserve"> (Anualizado)</t>
    </r>
  </si>
  <si>
    <r>
      <rPr>
        <i/>
        <sz val="10"/>
        <color rgb="FF585856"/>
        <rFont val="Open Sans"/>
        <family val="2"/>
      </rPr>
      <t>Dividend Yield</t>
    </r>
    <r>
      <rPr>
        <sz val="10"/>
        <color rgb="FF585856"/>
        <rFont val="Open Sans"/>
        <family val="2"/>
      </rPr>
      <t xml:space="preserve"> sobre cota a mercado (Mensal)</t>
    </r>
  </si>
  <si>
    <r>
      <rPr>
        <i/>
        <sz val="10"/>
        <color rgb="FF585856"/>
        <rFont val="Open Sans"/>
        <family val="2"/>
      </rPr>
      <t>Dividend Yield sobre cota a mercado</t>
    </r>
    <r>
      <rPr>
        <sz val="10"/>
        <color rgb="FF585856"/>
        <rFont val="Open Sans"/>
        <family val="2"/>
      </rPr>
      <t xml:space="preserve"> (Anualizado)</t>
    </r>
  </si>
  <si>
    <t>Resultado RPRI11 (R$)</t>
  </si>
  <si>
    <t>Planilha de Fundamentos | Resultado</t>
  </si>
  <si>
    <t>22L1369863, 22L1379419</t>
  </si>
  <si>
    <t>CRI Paes &amp; Gregori Itaim</t>
  </si>
  <si>
    <t>Operação de aquisição de terreno e desenvolvimento imobiliário de um projeto residencial localizado no Itaim Bibi, bairro nobre de São Paulo – SP. O empreendimento será desenvolvido pela Incorporadora Paes &amp; Gregori, com perfil de produto alto padrão. A operação conta com alienação fiduciária do terreno, alienação fiduciária de quotas da SPE, cessão fiduciária de futuros direitos creditórios, aval e fundos de reserva, de liquidez e despesas.</t>
  </si>
  <si>
    <t>AA</t>
  </si>
  <si>
    <t>23B0430541</t>
  </si>
  <si>
    <t>CVM 160</t>
  </si>
  <si>
    <t>CRI C-Sul</t>
  </si>
  <si>
    <t xml:space="preserve">Trata-se de operação lastreada em contratos de compra e venda de loteamento do projeto C-Sul, de alto padrão localizado nos arredores de Belo Horizonte - MG e um dos maiores projetos de desenvolvimento sustentável da América Latina. A operação conta com alienação fiduciária dos lotes, obrigação de recompra para eventuais créditos inadimplentes (conforme regra de recompra), garantia pessoal dos acionistas. </t>
  </si>
  <si>
    <t>18C0860204</t>
  </si>
  <si>
    <t>Planeta Sec</t>
  </si>
  <si>
    <t>Operação de desenvolvimento de um empreendimento de alto padrão localizado em região privilegiada de Campinas/SP. A emissão é lastreada em uma debênture emitida pela loteadora Lote 5, companhia que atua majoritariamente no interior de São Paulo. A operação conta com fiança, alienação de quotas, cessão fiduciária dos recebíveis e alienação fiduciária das matrículas dos lotes. Além da remuneração, a operação tem um “prêmio” (kicker) sobre as vendas das garantias.</t>
  </si>
  <si>
    <t>CRI Yuny II IPCA</t>
  </si>
  <si>
    <t>Operação de crédito para antecipação de resultados de 3 empreendimentos da Yuny, todos em desenvolvimento e localizados em São Paulo. A empresa tem sólida experiência no mercado residencial há 25 anos e tem mais de 84 empreendimentos já entregues. A operação conta com alienação fiduciária de quotas e cessão fiduciária de dividendos dos projetos, além de fiança da empresa e dos sócios.</t>
  </si>
  <si>
    <t xml:space="preserve"> (28/04)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</si>
</sst>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(* #,##0_);_(* \(#,##0\);_(* &quot;-&quot;_);_(@_)"/>
    <numFmt numFmtId="167" formatCode="_(* #,##0.00_);_(* \(#,##0.00\);_(* &quot;-&quot;_);_(@_)"/>
    <numFmt numFmtId="168" formatCode="0.0"/>
    <numFmt numFmtId="169" formatCode="[$-416]mmm\-yy;@"/>
    <numFmt numFmtId="170" formatCode="_(* #,##0.00_);_(* \(#,##0.00\);_(* &quot;-&quot;??_);_(@_)"/>
    <numFmt numFmtId="171" formatCode="_(* #,##0_);_(* \(#,##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Open Sans"/>
      <family val="2"/>
    </font>
    <font>
      <b/>
      <sz val="10"/>
      <color theme="0"/>
      <name val="Open Sans"/>
      <family val="2"/>
    </font>
    <font>
      <b/>
      <i/>
      <sz val="10"/>
      <color theme="0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10"/>
      <color rgb="FF585856"/>
      <name val="Open Sans"/>
      <family val="2"/>
    </font>
    <font>
      <sz val="10"/>
      <color rgb="FF005192"/>
      <name val="Open Sans"/>
      <family val="2"/>
    </font>
    <font>
      <sz val="10"/>
      <color rgb="FF585856"/>
      <name val="Open Sans"/>
      <family val="2"/>
    </font>
    <font>
      <b/>
      <sz val="10"/>
      <color rgb="FF1A2C4C"/>
      <name val="Open Sans"/>
      <family val="2"/>
    </font>
    <font>
      <sz val="8"/>
      <color theme="0"/>
      <name val="Open Sans"/>
      <family val="2"/>
    </font>
    <font>
      <i/>
      <sz val="9"/>
      <color theme="1"/>
      <name val="Open Sans"/>
      <family val="2"/>
    </font>
    <font>
      <b/>
      <sz val="10"/>
      <color theme="1"/>
      <name val="Open Sans"/>
      <family val="2"/>
    </font>
    <font>
      <sz val="10"/>
      <color theme="1"/>
      <name val="Calibri"/>
      <family val="2"/>
      <scheme val="minor"/>
    </font>
    <font>
      <b/>
      <sz val="10"/>
      <color rgb="FFFFFFFF"/>
      <name val="Open Sans"/>
      <family val="2"/>
    </font>
    <font>
      <sz val="11"/>
      <color rgb="FFFF0000"/>
      <name val="Open Sans"/>
      <family val="2"/>
    </font>
    <font>
      <sz val="10"/>
      <color theme="1"/>
      <name val="Calibri"/>
      <family val="2"/>
    </font>
    <font>
      <sz val="11"/>
      <color theme="1"/>
      <name val="Open Sans"/>
      <family val="2"/>
    </font>
    <font>
      <sz val="11"/>
      <color rgb="FF000000"/>
      <name val="Open Sans"/>
      <family val="2"/>
    </font>
    <font>
      <sz val="11"/>
      <color theme="1"/>
      <name val="Calibri"/>
      <family val="2"/>
    </font>
    <font>
      <sz val="9"/>
      <name val="Open Sans"/>
      <family val="2"/>
    </font>
    <font>
      <sz val="11"/>
      <name val="Open Sans"/>
      <family val="2"/>
    </font>
    <font>
      <b/>
      <sz val="11"/>
      <color theme="1"/>
      <name val="Open Sans"/>
      <family val="2"/>
    </font>
    <font>
      <sz val="11"/>
      <color rgb="FF0000FF"/>
      <name val="Open Sans"/>
      <family val="2"/>
    </font>
    <font>
      <i/>
      <sz val="10"/>
      <color theme="1"/>
      <name val="Open Sans"/>
      <family val="2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rgb="FFA6A6A6"/>
      <name val="Calibri"/>
      <family val="2"/>
    </font>
    <font>
      <i/>
      <sz val="10"/>
      <color rgb="FF585856"/>
      <name val="Open Sans"/>
      <family val="2"/>
    </font>
  </fonts>
  <fills count="21">
    <fill>
      <patternFill patternType="none"/>
    </fill>
    <fill>
      <patternFill patternType="gray125"/>
    </fill>
    <fill>
      <patternFill patternType="lightGrid">
        <fgColor auto="1"/>
        <bgColor rgb="FF1A2C4C"/>
      </patternFill>
    </fill>
    <fill>
      <patternFill patternType="lightGrid">
        <fgColor theme="1"/>
        <bgColor rgb="FF1A2C4C"/>
      </patternFill>
    </fill>
    <fill>
      <patternFill patternType="solid">
        <fgColor rgb="FF005192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1A2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1F0F7"/>
        <bgColor indexed="64"/>
      </patternFill>
    </fill>
    <fill>
      <patternFill patternType="solid">
        <fgColor rgb="FF1A2C4C"/>
        <bgColor rgb="FF000000"/>
      </patternFill>
    </fill>
    <fill>
      <patternFill patternType="solid">
        <fgColor rgb="FF58585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8CBAD"/>
        <bgColor rgb="FF000000"/>
      </patternFill>
    </fill>
  </fills>
  <borders count="17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thin">
        <color rgb="FF1A2C4C"/>
      </left>
      <right/>
      <top style="thin">
        <color rgb="FF1A2C4C"/>
      </top>
      <bottom/>
      <diagonal/>
    </border>
    <border>
      <left/>
      <right/>
      <top style="thin">
        <color rgb="FF1A2C4C"/>
      </top>
      <bottom/>
      <diagonal/>
    </border>
    <border>
      <left style="thin">
        <color rgb="FF1A2C4C"/>
      </left>
      <right/>
      <top/>
      <bottom style="dotted">
        <color rgb="FF585856"/>
      </bottom>
      <diagonal/>
    </border>
    <border>
      <left/>
      <right/>
      <top/>
      <bottom style="dotted">
        <color rgb="FF585856"/>
      </bottom>
      <diagonal/>
    </border>
    <border>
      <left/>
      <right/>
      <top style="thin">
        <color rgb="FF005192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2" fillId="2" borderId="1" xfId="0" applyFont="1" applyFill="1" applyBorder="1" applyAlignment="1">
      <alignment vertical="center"/>
    </xf>
    <xf numFmtId="17" fontId="4" fillId="3" borderId="1" xfId="0" quotePrefix="1" applyNumberFormat="1" applyFont="1" applyFill="1" applyBorder="1" applyAlignment="1">
      <alignment horizontal="left" vertical="center" indent="1"/>
    </xf>
    <xf numFmtId="17" fontId="4" fillId="3" borderId="0" xfId="0" quotePrefix="1" applyNumberFormat="1" applyFont="1" applyFill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65" fontId="2" fillId="0" borderId="5" xfId="2" applyNumberFormat="1" applyFont="1" applyFill="1" applyBorder="1" applyAlignment="1">
      <alignment horizontal="center" vertical="center"/>
    </xf>
    <xf numFmtId="9" fontId="2" fillId="0" borderId="5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6" borderId="0" xfId="0" applyFont="1" applyFill="1" applyAlignment="1">
      <alignment vertical="center"/>
    </xf>
    <xf numFmtId="17" fontId="6" fillId="6" borderId="0" xfId="0" applyNumberFormat="1" applyFont="1" applyFill="1" applyAlignment="1">
      <alignment horizontal="center" vertical="center"/>
    </xf>
    <xf numFmtId="17" fontId="6" fillId="7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43" fontId="8" fillId="0" borderId="0" xfId="1" applyFont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6" borderId="0" xfId="0" applyFont="1" applyFill="1" applyAlignment="1">
      <alignment horizontal="left" vertical="center" indent="1"/>
    </xf>
    <xf numFmtId="0" fontId="9" fillId="0" borderId="0" xfId="0" applyFont="1" applyAlignment="1">
      <alignment horizontal="left" vertical="center" indent="3"/>
    </xf>
    <xf numFmtId="0" fontId="6" fillId="4" borderId="0" xfId="0" applyFont="1" applyFill="1" applyAlignment="1">
      <alignment horizontal="left" vertical="center" indent="2"/>
    </xf>
    <xf numFmtId="0" fontId="9" fillId="8" borderId="0" xfId="0" applyFont="1" applyFill="1" applyAlignment="1">
      <alignment horizontal="left" vertical="center" indent="2"/>
    </xf>
    <xf numFmtId="0" fontId="9" fillId="0" borderId="0" xfId="0" applyFont="1" applyAlignment="1">
      <alignment vertical="center"/>
    </xf>
    <xf numFmtId="167" fontId="9" fillId="0" borderId="0" xfId="0" applyNumberFormat="1" applyFont="1" applyAlignment="1">
      <alignment vertical="center"/>
    </xf>
    <xf numFmtId="164" fontId="2" fillId="0" borderId="5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0" fontId="2" fillId="0" borderId="5" xfId="2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left" vertical="center" indent="1"/>
    </xf>
    <xf numFmtId="168" fontId="2" fillId="0" borderId="5" xfId="2" applyNumberFormat="1" applyFont="1" applyFill="1" applyBorder="1" applyAlignment="1">
      <alignment horizontal="center" vertical="center"/>
    </xf>
    <xf numFmtId="169" fontId="2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" fontId="4" fillId="3" borderId="0" xfId="0" quotePrefix="1" applyNumberFormat="1" applyFont="1" applyFill="1" applyAlignment="1">
      <alignment horizontal="center" vertical="center"/>
    </xf>
    <xf numFmtId="0" fontId="3" fillId="10" borderId="2" xfId="0" applyFont="1" applyFill="1" applyBorder="1" applyAlignment="1">
      <alignment horizontal="left" vertical="center" indent="1"/>
    </xf>
    <xf numFmtId="0" fontId="3" fillId="10" borderId="3" xfId="0" applyFont="1" applyFill="1" applyBorder="1" applyAlignment="1">
      <alignment horizontal="left" vertical="center" indent="1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0" fillId="11" borderId="0" xfId="0" applyFill="1"/>
    <xf numFmtId="0" fontId="12" fillId="0" borderId="0" xfId="0" applyFont="1" applyAlignment="1">
      <alignment horizontal="left" wrapText="1"/>
    </xf>
    <xf numFmtId="0" fontId="14" fillId="0" borderId="0" xfId="0" applyFont="1"/>
    <xf numFmtId="0" fontId="15" fillId="9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9" borderId="0" xfId="0" applyFont="1" applyFill="1" applyAlignment="1">
      <alignment horizontal="center" vertical="center" wrapText="1"/>
    </xf>
    <xf numFmtId="0" fontId="17" fillId="0" borderId="0" xfId="0" applyFont="1"/>
    <xf numFmtId="0" fontId="18" fillId="11" borderId="0" xfId="0" applyFont="1" applyFill="1" applyAlignment="1">
      <alignment vertical="center" wrapText="1"/>
    </xf>
    <xf numFmtId="0" fontId="19" fillId="0" borderId="0" xfId="0" applyFont="1" applyAlignment="1">
      <alignment vertical="center"/>
    </xf>
    <xf numFmtId="2" fontId="19" fillId="0" borderId="0" xfId="1" applyNumberFormat="1" applyFont="1" applyFill="1" applyBorder="1" applyAlignment="1">
      <alignment horizontal="center" vertical="center"/>
    </xf>
    <xf numFmtId="2" fontId="19" fillId="13" borderId="0" xfId="1" applyNumberFormat="1" applyFont="1" applyFill="1" applyBorder="1" applyAlignment="1">
      <alignment horizontal="center" vertical="center"/>
    </xf>
    <xf numFmtId="2" fontId="19" fillId="0" borderId="7" xfId="1" applyNumberFormat="1" applyFont="1" applyFill="1" applyBorder="1" applyAlignment="1">
      <alignment horizontal="center" vertical="center"/>
    </xf>
    <xf numFmtId="10" fontId="19" fillId="0" borderId="0" xfId="2" applyNumberFormat="1" applyFont="1" applyFill="1" applyBorder="1" applyAlignment="1">
      <alignment horizontal="center" vertical="center"/>
    </xf>
    <xf numFmtId="10" fontId="19" fillId="13" borderId="0" xfId="2" applyNumberFormat="1" applyFont="1" applyFill="1" applyBorder="1" applyAlignment="1">
      <alignment horizontal="center" vertical="center"/>
    </xf>
    <xf numFmtId="10" fontId="19" fillId="0" borderId="7" xfId="2" applyNumberFormat="1" applyFont="1" applyFill="1" applyBorder="1" applyAlignment="1">
      <alignment horizontal="center" vertical="center"/>
    </xf>
    <xf numFmtId="0" fontId="20" fillId="0" borderId="0" xfId="0" applyFont="1"/>
    <xf numFmtId="0" fontId="18" fillId="11" borderId="0" xfId="0" applyFont="1" applyFill="1" applyAlignment="1">
      <alignment vertical="center"/>
    </xf>
    <xf numFmtId="0" fontId="18" fillId="12" borderId="0" xfId="0" applyFont="1" applyFill="1" applyAlignment="1">
      <alignment vertical="center"/>
    </xf>
    <xf numFmtId="10" fontId="18" fillId="12" borderId="0" xfId="0" applyNumberFormat="1" applyFont="1" applyFill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8" fillId="14" borderId="0" xfId="0" applyFont="1" applyFill="1" applyAlignment="1">
      <alignment horizontal="left" vertical="center"/>
    </xf>
    <xf numFmtId="0" fontId="18" fillId="14" borderId="0" xfId="0" applyFont="1" applyFill="1" applyAlignment="1">
      <alignment horizontal="center" vertical="center"/>
    </xf>
    <xf numFmtId="10" fontId="18" fillId="12" borderId="0" xfId="2" applyNumberFormat="1" applyFont="1" applyFill="1" applyAlignment="1">
      <alignment horizontal="center" vertical="center"/>
    </xf>
    <xf numFmtId="0" fontId="18" fillId="14" borderId="0" xfId="0" applyFont="1" applyFill="1" applyAlignment="1">
      <alignment vertical="center"/>
    </xf>
    <xf numFmtId="2" fontId="18" fillId="12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readingOrder="1"/>
    </xf>
    <xf numFmtId="10" fontId="22" fillId="12" borderId="0" xfId="2" applyNumberFormat="1" applyFont="1" applyFill="1" applyAlignment="1">
      <alignment horizontal="center" vertical="center"/>
    </xf>
    <xf numFmtId="0" fontId="0" fillId="0" borderId="0" xfId="0" applyAlignment="1">
      <alignment wrapText="1"/>
    </xf>
    <xf numFmtId="0" fontId="23" fillId="14" borderId="0" xfId="0" applyFont="1" applyFill="1" applyAlignment="1">
      <alignment horizontal="left" vertical="center"/>
    </xf>
    <xf numFmtId="0" fontId="26" fillId="0" borderId="0" xfId="0" applyFont="1"/>
    <xf numFmtId="10" fontId="0" fillId="0" borderId="0" xfId="2" applyNumberFormat="1" applyFont="1" applyBorder="1"/>
    <xf numFmtId="10" fontId="0" fillId="11" borderId="0" xfId="2" applyNumberFormat="1" applyFont="1" applyFill="1"/>
    <xf numFmtId="10" fontId="0" fillId="0" borderId="0" xfId="2" applyNumberFormat="1" applyFont="1"/>
    <xf numFmtId="0" fontId="27" fillId="0" borderId="0" xfId="0" applyFont="1" applyAlignment="1">
      <alignment wrapText="1"/>
    </xf>
    <xf numFmtId="43" fontId="0" fillId="0" borderId="0" xfId="1" applyFont="1"/>
    <xf numFmtId="10" fontId="27" fillId="0" borderId="0" xfId="2" applyNumberFormat="1" applyFont="1"/>
    <xf numFmtId="2" fontId="0" fillId="0" borderId="0" xfId="1" applyNumberFormat="1" applyFont="1" applyAlignment="1">
      <alignment horizontal="center"/>
    </xf>
    <xf numFmtId="2" fontId="0" fillId="17" borderId="0" xfId="1" applyNumberFormat="1" applyFont="1" applyFill="1" applyAlignment="1">
      <alignment horizontal="center"/>
    </xf>
    <xf numFmtId="2" fontId="0" fillId="0" borderId="0" xfId="0" applyNumberFormat="1"/>
    <xf numFmtId="2" fontId="0" fillId="17" borderId="0" xfId="0" applyNumberFormat="1" applyFill="1"/>
    <xf numFmtId="10" fontId="0" fillId="0" borderId="0" xfId="0" applyNumberFormat="1"/>
    <xf numFmtId="0" fontId="20" fillId="0" borderId="8" xfId="0" applyFont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10" fontId="20" fillId="18" borderId="0" xfId="2" applyNumberFormat="1" applyFont="1" applyFill="1" applyBorder="1"/>
    <xf numFmtId="0" fontId="20" fillId="0" borderId="12" xfId="0" applyFont="1" applyBorder="1"/>
    <xf numFmtId="0" fontId="28" fillId="0" borderId="0" xfId="0" applyFont="1"/>
    <xf numFmtId="16" fontId="20" fillId="19" borderId="0" xfId="0" applyNumberFormat="1" applyFont="1" applyFill="1"/>
    <xf numFmtId="2" fontId="20" fillId="19" borderId="0" xfId="0" applyNumberFormat="1" applyFont="1" applyFill="1"/>
    <xf numFmtId="10" fontId="20" fillId="20" borderId="0" xfId="2" applyNumberFormat="1" applyFont="1" applyFill="1" applyBorder="1"/>
    <xf numFmtId="10" fontId="20" fillId="19" borderId="0" xfId="0" applyNumberFormat="1" applyFont="1" applyFill="1"/>
    <xf numFmtId="4" fontId="20" fillId="18" borderId="0" xfId="0" applyNumberFormat="1" applyFont="1" applyFill="1"/>
    <xf numFmtId="170" fontId="20" fillId="18" borderId="0" xfId="1" applyNumberFormat="1" applyFont="1" applyFill="1" applyBorder="1"/>
    <xf numFmtId="10" fontId="20" fillId="0" borderId="0" xfId="2" applyNumberFormat="1" applyFont="1" applyFill="1" applyBorder="1"/>
    <xf numFmtId="2" fontId="20" fillId="18" borderId="0" xfId="0" applyNumberFormat="1" applyFont="1" applyFill="1"/>
    <xf numFmtId="0" fontId="20" fillId="18" borderId="0" xfId="0" applyFont="1" applyFill="1"/>
    <xf numFmtId="0" fontId="20" fillId="20" borderId="0" xfId="0" applyFont="1" applyFill="1"/>
    <xf numFmtId="0" fontId="20" fillId="0" borderId="11" xfId="0" applyFont="1" applyBorder="1" applyAlignment="1">
      <alignment wrapText="1"/>
    </xf>
    <xf numFmtId="0" fontId="20" fillId="0" borderId="13" xfId="0" applyFont="1" applyBorder="1"/>
    <xf numFmtId="10" fontId="20" fillId="18" borderId="14" xfId="2" applyNumberFormat="1" applyFont="1" applyFill="1" applyBorder="1"/>
    <xf numFmtId="0" fontId="20" fillId="0" borderId="14" xfId="0" applyFont="1" applyBorder="1"/>
    <xf numFmtId="0" fontId="20" fillId="0" borderId="15" xfId="0" applyFont="1" applyBorder="1"/>
    <xf numFmtId="4" fontId="6" fillId="4" borderId="0" xfId="0" applyNumberFormat="1" applyFont="1" applyFill="1" applyAlignment="1">
      <alignment horizontal="center" vertical="center"/>
    </xf>
    <xf numFmtId="10" fontId="9" fillId="8" borderId="0" xfId="2" applyNumberFormat="1" applyFont="1" applyFill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167" fontId="7" fillId="5" borderId="0" xfId="0" applyNumberFormat="1" applyFont="1" applyFill="1" applyAlignment="1">
      <alignment vertical="center"/>
    </xf>
    <xf numFmtId="0" fontId="7" fillId="5" borderId="0" xfId="0" applyFont="1" applyFill="1" applyAlignment="1">
      <alignment vertical="center"/>
    </xf>
    <xf numFmtId="167" fontId="9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vertical="center"/>
    </xf>
    <xf numFmtId="10" fontId="5" fillId="7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7" borderId="0" xfId="0" applyNumberFormat="1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166" fontId="7" fillId="11" borderId="0" xfId="0" applyNumberFormat="1" applyFont="1" applyFill="1" applyAlignment="1">
      <alignment vertical="center"/>
    </xf>
    <xf numFmtId="166" fontId="7" fillId="0" borderId="0" xfId="0" applyNumberFormat="1" applyFont="1" applyAlignment="1">
      <alignment horizontal="center" vertical="center"/>
    </xf>
    <xf numFmtId="0" fontId="7" fillId="11" borderId="0" xfId="0" applyFont="1" applyFill="1" applyAlignment="1">
      <alignment horizontal="left" vertical="center" indent="3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2"/>
    </xf>
    <xf numFmtId="0" fontId="7" fillId="11" borderId="0" xfId="0" applyFont="1" applyFill="1" applyAlignment="1">
      <alignment horizontal="left" vertical="center" indent="2"/>
    </xf>
    <xf numFmtId="4" fontId="10" fillId="0" borderId="0" xfId="0" applyNumberFormat="1" applyFont="1" applyAlignment="1">
      <alignment vertical="center"/>
    </xf>
    <xf numFmtId="43" fontId="9" fillId="0" borderId="0" xfId="1" applyFont="1" applyAlignment="1">
      <alignment vertical="center"/>
    </xf>
    <xf numFmtId="43" fontId="8" fillId="0" borderId="0" xfId="1" applyFont="1" applyAlignment="1">
      <alignment vertical="center"/>
    </xf>
    <xf numFmtId="164" fontId="8" fillId="0" borderId="0" xfId="1" applyNumberFormat="1" applyFont="1" applyFill="1" applyAlignment="1">
      <alignment vertical="center"/>
    </xf>
    <xf numFmtId="164" fontId="0" fillId="0" borderId="0" xfId="0" applyNumberFormat="1"/>
    <xf numFmtId="0" fontId="15" fillId="2" borderId="0" xfId="0" applyFont="1" applyFill="1" applyAlignment="1">
      <alignment horizontal="left" vertical="center" indent="1"/>
    </xf>
    <xf numFmtId="0" fontId="15" fillId="2" borderId="16" xfId="0" applyFont="1" applyFill="1" applyBorder="1" applyAlignment="1">
      <alignment horizontal="left" vertical="center" inden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left" vertical="center" indent="1"/>
    </xf>
    <xf numFmtId="165" fontId="2" fillId="0" borderId="0" xfId="2" applyNumberFormat="1" applyFont="1" applyFill="1" applyBorder="1" applyAlignment="1">
      <alignment horizontal="center" vertical="center"/>
    </xf>
    <xf numFmtId="168" fontId="2" fillId="0" borderId="0" xfId="2" applyNumberFormat="1" applyFont="1" applyFill="1" applyBorder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10" fontId="24" fillId="16" borderId="0" xfId="2" applyNumberFormat="1" applyFont="1" applyFill="1" applyAlignment="1">
      <alignment vertical="center"/>
    </xf>
    <xf numFmtId="0" fontId="25" fillId="0" borderId="0" xfId="0" applyFont="1" applyAlignment="1">
      <alignment horizontal="left" vertical="top" wrapText="1"/>
    </xf>
    <xf numFmtId="0" fontId="12" fillId="11" borderId="0" xfId="0" applyFont="1" applyFill="1" applyAlignment="1">
      <alignment horizontal="left" vertical="center" wrapText="1"/>
    </xf>
    <xf numFmtId="0" fontId="13" fillId="11" borderId="0" xfId="0" applyFont="1" applyFill="1" applyAlignment="1">
      <alignment horizontal="center" vertical="center" wrapText="1"/>
    </xf>
    <xf numFmtId="0" fontId="13" fillId="11" borderId="0" xfId="0" applyFont="1" applyFill="1" applyAlignment="1">
      <alignment horizontal="center" vertical="center"/>
    </xf>
    <xf numFmtId="171" fontId="18" fillId="12" borderId="0" xfId="1" applyNumberFormat="1" applyFont="1" applyFill="1" applyAlignment="1">
      <alignment horizontal="right" vertical="center"/>
    </xf>
    <xf numFmtId="10" fontId="18" fillId="12" borderId="0" xfId="0" applyNumberFormat="1" applyFont="1" applyFill="1" applyAlignment="1">
      <alignment horizontal="center" vertical="center"/>
    </xf>
    <xf numFmtId="0" fontId="23" fillId="15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microsoft.com/office/2017/06/relationships/rdRichValue" Target="richData/rdrichvalue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59531</xdr:colOff>
      <xdr:row>1</xdr:row>
      <xdr:rowOff>238124</xdr:rowOff>
    </xdr:from>
    <xdr:ext cx="1105767" cy="270397"/>
    <xdr:pic>
      <xdr:nvPicPr>
        <xdr:cNvPr id="2" name="Picture 2">
          <a:extLst>
            <a:ext uri="{FF2B5EF4-FFF2-40B4-BE49-F238E27FC236}">
              <a16:creationId xmlns:a16="http://schemas.microsoft.com/office/drawing/2014/main" id="{B37647F3-F50B-49D7-9B65-DDCFD930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9741" y="380999"/>
          <a:ext cx="1105767" cy="270397"/>
        </a:xfrm>
        <a:prstGeom prst="rect">
          <a:avLst/>
        </a:prstGeom>
      </xdr:spPr>
    </xdr:pic>
    <xdr:clientData/>
  </xdr:oneCellAnchor>
  <xdr:oneCellAnchor>
    <xdr:from>
      <xdr:col>26</xdr:col>
      <xdr:colOff>59531</xdr:colOff>
      <xdr:row>1</xdr:row>
      <xdr:rowOff>238124</xdr:rowOff>
    </xdr:from>
    <xdr:ext cx="1106402" cy="270397"/>
    <xdr:pic>
      <xdr:nvPicPr>
        <xdr:cNvPr id="3" name="Picture 2">
          <a:extLst>
            <a:ext uri="{FF2B5EF4-FFF2-40B4-BE49-F238E27FC236}">
              <a16:creationId xmlns:a16="http://schemas.microsoft.com/office/drawing/2014/main" id="{1C745D36-3A75-4713-BB21-26D13540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9741" y="380999"/>
          <a:ext cx="1106402" cy="270397"/>
        </a:xfrm>
        <a:prstGeom prst="rect">
          <a:avLst/>
        </a:prstGeom>
      </xdr:spPr>
    </xdr:pic>
    <xdr:clientData/>
  </xdr:oneCellAnchor>
  <xdr:oneCellAnchor>
    <xdr:from>
      <xdr:col>26</xdr:col>
      <xdr:colOff>59531</xdr:colOff>
      <xdr:row>1</xdr:row>
      <xdr:rowOff>238124</xdr:rowOff>
    </xdr:from>
    <xdr:ext cx="1106402" cy="270397"/>
    <xdr:pic>
      <xdr:nvPicPr>
        <xdr:cNvPr id="4" name="Picture 3">
          <a:extLst>
            <a:ext uri="{FF2B5EF4-FFF2-40B4-BE49-F238E27FC236}">
              <a16:creationId xmlns:a16="http://schemas.microsoft.com/office/drawing/2014/main" id="{80655297-B086-4A7B-88E4-407BADEF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39741" y="380999"/>
          <a:ext cx="1106402" cy="2703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3</xdr:row>
      <xdr:rowOff>37781</xdr:rowOff>
    </xdr:from>
    <xdr:ext cx="1117673" cy="278577"/>
    <xdr:pic>
      <xdr:nvPicPr>
        <xdr:cNvPr id="2" name="Picture 1">
          <a:extLst>
            <a:ext uri="{FF2B5EF4-FFF2-40B4-BE49-F238E27FC236}">
              <a16:creationId xmlns:a16="http://schemas.microsoft.com/office/drawing/2014/main" id="{8750AFA5-09DC-4602-9B48-F01D5A0F0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609281"/>
          <a:ext cx="1117673" cy="27857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277244</xdr:colOff>
      <xdr:row>1</xdr:row>
      <xdr:rowOff>197302</xdr:rowOff>
    </xdr:from>
    <xdr:to>
      <xdr:col>32</xdr:col>
      <xdr:colOff>161724</xdr:colOff>
      <xdr:row>3</xdr:row>
      <xdr:rowOff>47254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FC5983-4546-4B72-993C-1125BB478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8619" y="435427"/>
          <a:ext cx="1103680" cy="3262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uza/Datto%20Workplace/RBRAsset/04.%20Cr&#233;dito/02.%20Investimentos/Acompanhamento/Planilh&#227;o/Base%20-%20n&#227;o%20salvar%20em%20cima/Planilh&#227;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ola.ruza/Desktop/Datto%20Workplace/RBRAsset/04.%20Cr&#233;dito/02.%20Investimentos/Acompanhamento/Planilh&#227;o/Base%20-%20n&#227;o%20salvar%20em%20cima/Planilh&#227;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ira"/>
      <sheetName val="MonitorBase"/>
      <sheetName val="Monitor"/>
      <sheetName val="Infos Estáticas"/>
      <sheetName val="Detalhamento_HG"/>
      <sheetName val="Detalhamento_HY"/>
      <sheetName val="Infos Dinâmicas Mensais"/>
      <sheetName val="Posição RBR"/>
      <sheetName val="Integralizações"/>
      <sheetName val="Rel. Mensal HG_1"/>
      <sheetName val="Rel. Mensal HY_1"/>
      <sheetName val="Rel. Mensal SOPP_1"/>
      <sheetName val="Tático+Liquidez_HG"/>
      <sheetName val="Tático+Liquidez_HY"/>
      <sheetName val="Tático+Liquidez_SOPP"/>
      <sheetName val="Garantias"/>
      <sheetName val="Rel. Mensal HG_2"/>
      <sheetName val="Rel. Mensal HY_2"/>
      <sheetName val="Rel. Mensal SOPP_2"/>
      <sheetName val="Resultado HG"/>
      <sheetName val="Resultado HY"/>
      <sheetName val="Resultado SOPP"/>
      <sheetName val="Gráficos HG"/>
      <sheetName val="Gráficos HY"/>
      <sheetName val="Gráficos SOPP"/>
      <sheetName val="Fundamentos - HG_1"/>
      <sheetName val="Fundamentos - HY_1"/>
      <sheetName val="Relatório"/>
      <sheetName val="PL Fundos"/>
      <sheetName val="Cessão Fiduciária Locação"/>
      <sheetName val="PMTs Projetadas"/>
      <sheetName val="Recebíveis"/>
      <sheetName val="Fundo de Reserva"/>
      <sheetName val="Vendas"/>
      <sheetName val="Cálculo de Covenants (2)"/>
      <sheetName val="Cálculo de Covenants"/>
      <sheetName val="Pré-Acompanhamento"/>
      <sheetName val="Auxiliar"/>
      <sheetName val="CDI"/>
      <sheetName val="NTNB"/>
      <sheetName val="Lista de Covenants"/>
      <sheetName val="HY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 Exto"/>
      <sheetName val="Relatório Gafisa"/>
      <sheetName val="MonitorBase"/>
      <sheetName val="Monitor"/>
      <sheetName val="Infos Estáticas"/>
      <sheetName val="Infos Dinâmicas Mensais"/>
      <sheetName val="Posição RBR"/>
      <sheetName val="Compras e Vendas"/>
      <sheetName val="PL Fundos e Histórico"/>
      <sheetName val="Rel. Mensal HG_1"/>
      <sheetName val="Rel. Mensal HY_1"/>
      <sheetName val="Rel. Mensal SOPP_1"/>
      <sheetName val="Tático+Liquidez_HG"/>
      <sheetName val="Tático+Liquidez_HY"/>
      <sheetName val="Tático+Liquidez_SOPP"/>
      <sheetName val="Rel. Mensal HG_2"/>
      <sheetName val="Rel. Mensal HY_2"/>
      <sheetName val="Rel. Mensal SOPP_2"/>
      <sheetName val="Resultado HG"/>
      <sheetName val="Resultado HY"/>
      <sheetName val="Resultado SOPP"/>
      <sheetName val="Gráficos HG"/>
      <sheetName val="Gráficos HY"/>
      <sheetName val="Gráficos SOPP"/>
      <sheetName val="Garantias"/>
      <sheetName val="Recebíveis"/>
      <sheetName val="Fundo de Reserva"/>
      <sheetName val="Vendas"/>
      <sheetName val="Outros Covenants"/>
      <sheetName val="Cálculo de Covenants Móveis"/>
      <sheetName val="Pré-Acompanhamento"/>
      <sheetName val="Lista de Covenants"/>
      <sheetName val="Auxiliar"/>
      <sheetName val="CDI"/>
      <sheetName val="NTNB"/>
      <sheetName val="Feri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</sheetData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057F3-EF5F-4C97-8E83-64FDFD5C20B4}">
  <sheetPr>
    <tabColor theme="4" tint="0.79998168889431442"/>
  </sheetPr>
  <dimension ref="A1:AG23"/>
  <sheetViews>
    <sheetView showGridLines="0" tabSelected="1" zoomScale="85" zoomScaleNormal="85" workbookViewId="0">
      <pane xSplit="2" ySplit="6" topLeftCell="C18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ColWidth="0" defaultRowHeight="18.75" customHeight="1" zeroHeight="1" x14ac:dyDescent="0.25"/>
  <cols>
    <col min="1" max="1" width="3.5703125" style="2" customWidth="1"/>
    <col min="2" max="2" width="43.5703125" style="2" customWidth="1"/>
    <col min="3" max="3" width="111.42578125" style="2" customWidth="1"/>
    <col min="4" max="4" width="19.28515625" style="2" customWidth="1"/>
    <col min="5" max="5" width="30.85546875" style="2" customWidth="1"/>
    <col min="6" max="6" width="17" style="2" bestFit="1" customWidth="1"/>
    <col min="7" max="9" width="16.140625" style="2" customWidth="1"/>
    <col min="10" max="10" width="14.5703125" style="2" customWidth="1"/>
    <col min="11" max="11" width="12.85546875" style="2" customWidth="1"/>
    <col min="12" max="13" width="20.5703125" style="2" customWidth="1"/>
    <col min="14" max="14" width="17.7109375" style="2" customWidth="1"/>
    <col min="15" max="15" width="20.5703125" style="2" customWidth="1"/>
    <col min="16" max="16" width="15.5703125" style="2" customWidth="1"/>
    <col min="17" max="17" width="14.7109375" style="2" bestFit="1" customWidth="1"/>
    <col min="18" max="18" width="19.7109375" style="2" customWidth="1"/>
    <col min="19" max="19" width="12.42578125" style="2" customWidth="1"/>
    <col min="20" max="20" width="17.5703125" style="2" customWidth="1"/>
    <col min="21" max="21" width="21.28515625" style="2" customWidth="1"/>
    <col min="22" max="22" width="17.5703125" style="2" customWidth="1"/>
    <col min="23" max="23" width="28.42578125" style="2" customWidth="1"/>
    <col min="24" max="24" width="18.28515625" style="2" customWidth="1"/>
    <col min="25" max="27" width="24.85546875" style="2" customWidth="1"/>
    <col min="28" max="28" width="3.5703125" style="2" customWidth="1"/>
    <col min="29" max="29" width="9.140625" style="2" hidden="1" customWidth="1"/>
    <col min="30" max="30" width="30.140625" style="2" hidden="1" customWidth="1"/>
    <col min="31" max="31" width="19.28515625" style="2" hidden="1" customWidth="1"/>
    <col min="32" max="33" width="13.28515625" style="2" hidden="1" customWidth="1"/>
    <col min="34" max="16384" width="9.140625" style="2" hidden="1"/>
  </cols>
  <sheetData>
    <row r="1" spans="1:3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ht="18.75" customHeight="1" x14ac:dyDescent="0.25">
      <c r="A2" s="1"/>
      <c r="B2" s="3" t="s">
        <v>188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6"/>
      <c r="Q2" s="4"/>
      <c r="R2" s="4"/>
      <c r="S2" s="4"/>
      <c r="T2" s="1"/>
      <c r="U2" s="1"/>
      <c r="V2" s="1"/>
      <c r="W2" s="1"/>
      <c r="X2" s="1"/>
      <c r="Y2" s="1"/>
      <c r="Z2" s="1"/>
      <c r="AA2" s="1"/>
      <c r="AB2" s="5"/>
    </row>
    <row r="3" spans="1:30" ht="18.75" customHeight="1" x14ac:dyDescent="0.25">
      <c r="A3" s="1"/>
      <c r="B3" s="3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6"/>
      <c r="Q3" s="4"/>
      <c r="R3" s="4"/>
      <c r="S3" s="4"/>
      <c r="T3" s="1"/>
      <c r="U3" s="1"/>
      <c r="V3" s="1"/>
      <c r="W3" s="1"/>
      <c r="X3" s="1"/>
      <c r="Y3" s="1"/>
      <c r="Z3" s="1"/>
      <c r="AA3" s="1"/>
      <c r="AB3" s="5"/>
    </row>
    <row r="4" spans="1:30" ht="18.75" customHeight="1" x14ac:dyDescent="0.25">
      <c r="A4" s="1"/>
      <c r="B4" s="6">
        <v>45017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7"/>
      <c r="Q4" s="7"/>
      <c r="R4" s="7"/>
      <c r="S4" s="7"/>
      <c r="T4" s="1"/>
      <c r="U4" s="1"/>
      <c r="V4" s="1"/>
      <c r="W4" s="1"/>
      <c r="X4" s="1"/>
      <c r="Y4" s="1"/>
      <c r="Z4" s="1"/>
      <c r="AA4" s="1"/>
      <c r="AB4" s="5"/>
    </row>
    <row r="5" spans="1:30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3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0" ht="37.5" customHeight="1" x14ac:dyDescent="0.25">
      <c r="A6" s="1"/>
      <c r="B6" s="38" t="s">
        <v>1</v>
      </c>
      <c r="C6" s="39" t="s">
        <v>2</v>
      </c>
      <c r="D6" s="40" t="s">
        <v>3</v>
      </c>
      <c r="E6" s="40" t="s">
        <v>4</v>
      </c>
      <c r="F6" s="41" t="s">
        <v>6</v>
      </c>
      <c r="G6" s="41" t="s">
        <v>65</v>
      </c>
      <c r="H6" s="41" t="s">
        <v>60</v>
      </c>
      <c r="I6" s="41" t="s">
        <v>66</v>
      </c>
      <c r="J6" s="41" t="s">
        <v>61</v>
      </c>
      <c r="K6" s="41" t="s">
        <v>5</v>
      </c>
      <c r="L6" s="41" t="s">
        <v>67</v>
      </c>
      <c r="M6" s="41" t="s">
        <v>68</v>
      </c>
      <c r="N6" s="41" t="s">
        <v>69</v>
      </c>
      <c r="O6" s="41" t="s">
        <v>70</v>
      </c>
      <c r="P6" s="41" t="s">
        <v>71</v>
      </c>
      <c r="Q6" s="41" t="s">
        <v>72</v>
      </c>
      <c r="R6" s="41" t="s">
        <v>7</v>
      </c>
      <c r="S6" s="41" t="s">
        <v>8</v>
      </c>
      <c r="T6" s="40" t="s">
        <v>9</v>
      </c>
      <c r="U6" s="40" t="s">
        <v>10</v>
      </c>
      <c r="V6" s="40" t="s">
        <v>11</v>
      </c>
      <c r="W6" s="40" t="s">
        <v>12</v>
      </c>
      <c r="X6" s="40" t="s">
        <v>13</v>
      </c>
      <c r="Y6" s="41" t="s">
        <v>14</v>
      </c>
      <c r="Z6" s="41" t="s">
        <v>15</v>
      </c>
      <c r="AA6" s="41" t="s">
        <v>16</v>
      </c>
      <c r="AB6" s="1"/>
    </row>
    <row r="7" spans="1:30" ht="75" customHeight="1" x14ac:dyDescent="0.25">
      <c r="A7" s="1"/>
      <c r="B7" s="8" t="s">
        <v>78</v>
      </c>
      <c r="C7" s="9" t="s">
        <v>79</v>
      </c>
      <c r="D7" s="10" t="s">
        <v>80</v>
      </c>
      <c r="E7" s="11" t="s">
        <v>57</v>
      </c>
      <c r="F7" s="11" t="s">
        <v>23</v>
      </c>
      <c r="G7" s="32">
        <v>9.5000000000000001E-2</v>
      </c>
      <c r="H7" s="32">
        <v>9.5000000000000001E-2</v>
      </c>
      <c r="I7" s="30">
        <v>22249077.177142531</v>
      </c>
      <c r="J7" s="33">
        <v>22536241.161215834</v>
      </c>
      <c r="K7" s="12">
        <v>9.922800142205182E-2</v>
      </c>
      <c r="L7" s="12">
        <v>0.1875</v>
      </c>
      <c r="M7" s="12">
        <v>0.13644375</v>
      </c>
      <c r="N7" s="30">
        <v>160000</v>
      </c>
      <c r="O7" s="30">
        <v>160000</v>
      </c>
      <c r="P7" s="30">
        <v>21831</v>
      </c>
      <c r="Q7" s="34">
        <v>4.4450132510406304</v>
      </c>
      <c r="R7" s="35">
        <v>48442</v>
      </c>
      <c r="S7" s="13">
        <v>0.71688133324864267</v>
      </c>
      <c r="T7" s="10" t="s">
        <v>81</v>
      </c>
      <c r="U7" s="11" t="s">
        <v>20</v>
      </c>
      <c r="V7" s="11" t="s">
        <v>30</v>
      </c>
      <c r="W7" s="11" t="s">
        <v>62</v>
      </c>
      <c r="X7" s="11" t="s">
        <v>64</v>
      </c>
      <c r="Y7" s="13">
        <v>1</v>
      </c>
      <c r="Z7" s="13">
        <v>0</v>
      </c>
      <c r="AA7" s="13">
        <v>0</v>
      </c>
      <c r="AB7" s="1"/>
    </row>
    <row r="8" spans="1:30" ht="75" customHeight="1" x14ac:dyDescent="0.25">
      <c r="A8" s="1"/>
      <c r="B8" s="8" t="s">
        <v>82</v>
      </c>
      <c r="C8" s="9" t="s">
        <v>83</v>
      </c>
      <c r="D8" s="10" t="s">
        <v>19</v>
      </c>
      <c r="E8" s="11" t="s">
        <v>25</v>
      </c>
      <c r="F8" s="11" t="s">
        <v>23</v>
      </c>
      <c r="G8" s="32">
        <v>0.10999996392768872</v>
      </c>
      <c r="H8" s="32">
        <v>0.11024996380744768</v>
      </c>
      <c r="I8" s="30">
        <v>22033797.135789998</v>
      </c>
      <c r="J8" s="33">
        <v>21980873.200000003</v>
      </c>
      <c r="K8" s="12">
        <v>9.678269333136072E-2</v>
      </c>
      <c r="L8" s="12">
        <v>1</v>
      </c>
      <c r="M8" s="12">
        <v>0.6107717934480843</v>
      </c>
      <c r="N8" s="30">
        <v>105000</v>
      </c>
      <c r="O8" s="30">
        <v>36020</v>
      </c>
      <c r="P8" s="30">
        <v>22000</v>
      </c>
      <c r="Q8" s="34">
        <v>2.7012173758196329</v>
      </c>
      <c r="R8" s="35">
        <v>46198</v>
      </c>
      <c r="S8" s="13">
        <v>0.60516715672210175</v>
      </c>
      <c r="T8" s="10" t="s">
        <v>196</v>
      </c>
      <c r="U8" s="11" t="s">
        <v>20</v>
      </c>
      <c r="V8" s="11" t="s">
        <v>58</v>
      </c>
      <c r="W8" s="11" t="s">
        <v>74</v>
      </c>
      <c r="X8" s="11" t="s">
        <v>64</v>
      </c>
      <c r="Y8" s="13">
        <v>1</v>
      </c>
      <c r="Z8" s="13">
        <v>1</v>
      </c>
      <c r="AA8" s="13">
        <v>1</v>
      </c>
      <c r="AB8" s="1"/>
      <c r="AD8" s="113"/>
    </row>
    <row r="9" spans="1:30" ht="75" customHeight="1" x14ac:dyDescent="0.25">
      <c r="A9" s="1"/>
      <c r="B9" s="8" t="s">
        <v>164</v>
      </c>
      <c r="C9" s="9" t="s">
        <v>165</v>
      </c>
      <c r="D9" s="10" t="s">
        <v>19</v>
      </c>
      <c r="E9" s="11" t="s">
        <v>25</v>
      </c>
      <c r="F9" s="11" t="s">
        <v>23</v>
      </c>
      <c r="G9" s="32">
        <v>0.1</v>
      </c>
      <c r="H9" s="32">
        <v>0.1</v>
      </c>
      <c r="I9" s="30">
        <v>21565546.900853999</v>
      </c>
      <c r="J9" s="33">
        <v>21505974.028413393</v>
      </c>
      <c r="K9" s="12">
        <v>9.4691692647776243E-2</v>
      </c>
      <c r="L9" s="12">
        <v>1</v>
      </c>
      <c r="M9" s="12">
        <v>0.3589</v>
      </c>
      <c r="N9" s="30">
        <v>150000</v>
      </c>
      <c r="O9" s="30">
        <v>60000</v>
      </c>
      <c r="P9" s="30">
        <v>21534</v>
      </c>
      <c r="Q9" s="34">
        <v>2.11310208007776</v>
      </c>
      <c r="R9" s="35">
        <v>46017</v>
      </c>
      <c r="S9" s="13">
        <v>0.75</v>
      </c>
      <c r="T9" s="10" t="s">
        <v>166</v>
      </c>
      <c r="U9" s="11" t="s">
        <v>167</v>
      </c>
      <c r="V9" s="11" t="s">
        <v>58</v>
      </c>
      <c r="W9" s="11" t="s">
        <v>74</v>
      </c>
      <c r="X9" s="11" t="s">
        <v>64</v>
      </c>
      <c r="Y9" s="13">
        <v>1</v>
      </c>
      <c r="Z9" s="13">
        <v>1</v>
      </c>
      <c r="AA9" s="13">
        <v>1</v>
      </c>
      <c r="AB9" s="1"/>
      <c r="AD9" s="113"/>
    </row>
    <row r="10" spans="1:30" ht="75" customHeight="1" x14ac:dyDescent="0.25">
      <c r="A10" s="1"/>
      <c r="B10" s="8" t="s">
        <v>17</v>
      </c>
      <c r="C10" s="9" t="s">
        <v>206</v>
      </c>
      <c r="D10" s="10" t="s">
        <v>29</v>
      </c>
      <c r="E10" s="11" t="s">
        <v>57</v>
      </c>
      <c r="F10" s="11" t="s">
        <v>23</v>
      </c>
      <c r="G10" s="32">
        <v>0.11999999999999998</v>
      </c>
      <c r="H10" s="32">
        <v>9.4519999999999993E-2</v>
      </c>
      <c r="I10" s="30">
        <v>21347170.406088151</v>
      </c>
      <c r="J10" s="33">
        <v>21243029.892192811</v>
      </c>
      <c r="K10" s="12">
        <v>9.3533938746574716E-2</v>
      </c>
      <c r="L10" s="12">
        <v>1</v>
      </c>
      <c r="M10" s="12">
        <v>0.18832699619771864</v>
      </c>
      <c r="N10" s="30">
        <v>131500</v>
      </c>
      <c r="O10" s="30">
        <v>131500</v>
      </c>
      <c r="P10" s="30">
        <v>24765</v>
      </c>
      <c r="Q10" s="34">
        <v>1.8787934563956701</v>
      </c>
      <c r="R10" s="35">
        <v>46566</v>
      </c>
      <c r="S10" s="13">
        <v>0.37829287371636039</v>
      </c>
      <c r="T10" s="10" t="s">
        <v>32</v>
      </c>
      <c r="U10" s="11" t="s">
        <v>20</v>
      </c>
      <c r="V10" s="11" t="s">
        <v>58</v>
      </c>
      <c r="W10" s="11" t="s">
        <v>74</v>
      </c>
      <c r="X10" s="11" t="s">
        <v>64</v>
      </c>
      <c r="Y10" s="13">
        <v>1</v>
      </c>
      <c r="Z10" s="13">
        <v>0</v>
      </c>
      <c r="AA10" s="13">
        <v>0</v>
      </c>
      <c r="AB10" s="1"/>
      <c r="AD10" s="113"/>
    </row>
    <row r="11" spans="1:30" ht="75" customHeight="1" x14ac:dyDescent="0.25">
      <c r="A11" s="1"/>
      <c r="B11" s="8" t="s">
        <v>187</v>
      </c>
      <c r="C11" s="9" t="s">
        <v>186</v>
      </c>
      <c r="D11" s="10" t="s">
        <v>29</v>
      </c>
      <c r="E11" s="11" t="s">
        <v>25</v>
      </c>
      <c r="F11" s="11" t="s">
        <v>26</v>
      </c>
      <c r="G11" s="32">
        <v>3.5000000000000003E-2</v>
      </c>
      <c r="H11" s="32">
        <v>3.3099999999999997E-2</v>
      </c>
      <c r="I11" s="30">
        <v>20255857.759709001</v>
      </c>
      <c r="J11" s="33">
        <v>20255032.199980002</v>
      </c>
      <c r="K11" s="12">
        <v>8.918374406652331E-2</v>
      </c>
      <c r="L11" s="12">
        <v>0.9</v>
      </c>
      <c r="M11" s="12">
        <v>0.45400000000000001</v>
      </c>
      <c r="N11" s="30">
        <v>50000</v>
      </c>
      <c r="O11" s="30">
        <v>50000</v>
      </c>
      <c r="P11" s="30">
        <v>22700</v>
      </c>
      <c r="Q11" s="34">
        <v>1.03418600594208</v>
      </c>
      <c r="R11" s="35">
        <v>45649</v>
      </c>
      <c r="S11" s="13">
        <v>0.86806227153901705</v>
      </c>
      <c r="T11" s="10" t="s">
        <v>185</v>
      </c>
      <c r="U11" s="11" t="s">
        <v>20</v>
      </c>
      <c r="V11" s="11" t="s">
        <v>58</v>
      </c>
      <c r="W11" s="11" t="s">
        <v>21</v>
      </c>
      <c r="X11" s="11" t="s">
        <v>64</v>
      </c>
      <c r="Y11" s="13">
        <v>1</v>
      </c>
      <c r="Z11" s="13">
        <v>1</v>
      </c>
      <c r="AA11" s="13">
        <v>1</v>
      </c>
      <c r="AB11" s="1"/>
      <c r="AD11" s="113"/>
    </row>
    <row r="12" spans="1:30" ht="75" customHeight="1" x14ac:dyDescent="0.25">
      <c r="A12" s="1"/>
      <c r="B12" s="8" t="s">
        <v>18</v>
      </c>
      <c r="C12" s="9" t="s">
        <v>24</v>
      </c>
      <c r="D12" s="10" t="s">
        <v>22</v>
      </c>
      <c r="E12" s="11" t="s">
        <v>25</v>
      </c>
      <c r="F12" s="11" t="s">
        <v>26</v>
      </c>
      <c r="G12" s="32">
        <v>0.04</v>
      </c>
      <c r="H12" s="32">
        <v>3.9900000000000005E-2</v>
      </c>
      <c r="I12" s="30">
        <v>19062320.31704421</v>
      </c>
      <c r="J12" s="33">
        <v>19068490.388461996</v>
      </c>
      <c r="K12" s="12">
        <v>8.3959351421876952E-2</v>
      </c>
      <c r="L12" s="12">
        <v>1</v>
      </c>
      <c r="M12" s="12">
        <v>0.4915846153846154</v>
      </c>
      <c r="N12" s="30">
        <v>65000</v>
      </c>
      <c r="O12" s="30">
        <v>65000</v>
      </c>
      <c r="P12" s="30">
        <v>31953</v>
      </c>
      <c r="Q12" s="34">
        <v>1.23681773829537</v>
      </c>
      <c r="R12" s="35">
        <v>46048</v>
      </c>
      <c r="S12" s="13">
        <v>0.55000000000000004</v>
      </c>
      <c r="T12" s="10" t="s">
        <v>27</v>
      </c>
      <c r="U12" s="11" t="s">
        <v>20</v>
      </c>
      <c r="V12" s="11" t="s">
        <v>59</v>
      </c>
      <c r="W12" s="11" t="s">
        <v>28</v>
      </c>
      <c r="X12" s="11" t="s">
        <v>64</v>
      </c>
      <c r="Y12" s="13">
        <v>1</v>
      </c>
      <c r="Z12" s="13">
        <v>1</v>
      </c>
      <c r="AA12" s="13">
        <v>0</v>
      </c>
      <c r="AB12" s="1"/>
      <c r="AD12" s="113"/>
    </row>
    <row r="13" spans="1:30" ht="75" customHeight="1" x14ac:dyDescent="0.25">
      <c r="A13" s="1"/>
      <c r="B13" s="8" t="s">
        <v>207</v>
      </c>
      <c r="C13" s="9" t="s">
        <v>208</v>
      </c>
      <c r="D13" s="10" t="s">
        <v>80</v>
      </c>
      <c r="E13" s="11" t="s">
        <v>25</v>
      </c>
      <c r="F13" s="11" t="s">
        <v>23</v>
      </c>
      <c r="G13" s="32">
        <v>0.11</v>
      </c>
      <c r="H13" s="32">
        <v>0.1103</v>
      </c>
      <c r="I13" s="30">
        <v>17500000</v>
      </c>
      <c r="J13" s="33">
        <v>17500000</v>
      </c>
      <c r="K13" s="12">
        <v>7.7053223404191823E-2</v>
      </c>
      <c r="L13" s="12">
        <v>1</v>
      </c>
      <c r="M13" s="12">
        <v>1</v>
      </c>
      <c r="N13" s="30">
        <v>0</v>
      </c>
      <c r="O13" s="30">
        <v>0</v>
      </c>
      <c r="P13" s="30">
        <v>17500</v>
      </c>
      <c r="Q13" s="34">
        <v>2.5</v>
      </c>
      <c r="R13" s="35">
        <v>46512</v>
      </c>
      <c r="S13" s="13">
        <v>0.66766816892004677</v>
      </c>
      <c r="T13" s="10" t="e" vm="1">
        <v>#VALUE!</v>
      </c>
      <c r="U13" s="11">
        <v>0</v>
      </c>
      <c r="V13" s="11" t="s">
        <v>58</v>
      </c>
      <c r="W13" s="11" t="s">
        <v>21</v>
      </c>
      <c r="X13" s="11" t="s">
        <v>64</v>
      </c>
      <c r="Y13" s="13">
        <v>1</v>
      </c>
      <c r="Z13" s="13">
        <v>1</v>
      </c>
      <c r="AA13" s="13">
        <v>0.63244867300951424</v>
      </c>
      <c r="AB13" s="1"/>
      <c r="AD13" s="113"/>
    </row>
    <row r="14" spans="1:30" ht="75" customHeight="1" x14ac:dyDescent="0.25">
      <c r="A14" s="1"/>
      <c r="B14" s="8" t="s">
        <v>184</v>
      </c>
      <c r="C14" s="9" t="s">
        <v>178</v>
      </c>
      <c r="D14" s="10" t="s">
        <v>31</v>
      </c>
      <c r="E14" s="11" t="s">
        <v>25</v>
      </c>
      <c r="F14" s="11" t="s">
        <v>23</v>
      </c>
      <c r="G14" s="32">
        <v>8.5999999999999993E-2</v>
      </c>
      <c r="H14" s="32">
        <v>7.4100000000000013E-2</v>
      </c>
      <c r="I14" s="30">
        <v>16542891.666754263</v>
      </c>
      <c r="J14" s="33">
        <v>16553454.986311931</v>
      </c>
      <c r="K14" s="12">
        <v>7.288554658123006E-2</v>
      </c>
      <c r="L14" s="12">
        <v>1</v>
      </c>
      <c r="M14" s="12">
        <v>1</v>
      </c>
      <c r="N14" s="30">
        <v>16340</v>
      </c>
      <c r="O14" s="30">
        <v>15846</v>
      </c>
      <c r="P14" s="30">
        <v>15846</v>
      </c>
      <c r="Q14" s="34">
        <v>3.5037111769189102</v>
      </c>
      <c r="R14" s="35">
        <v>46555</v>
      </c>
      <c r="S14" s="13">
        <v>0.75</v>
      </c>
      <c r="T14" s="10" t="s">
        <v>183</v>
      </c>
      <c r="U14" s="11" t="s">
        <v>20</v>
      </c>
      <c r="V14" s="11" t="s">
        <v>58</v>
      </c>
      <c r="W14" s="11" t="s">
        <v>21</v>
      </c>
      <c r="X14" s="11" t="s">
        <v>64</v>
      </c>
      <c r="Y14" s="13">
        <v>1</v>
      </c>
      <c r="Z14" s="13">
        <v>1</v>
      </c>
      <c r="AA14" s="13">
        <v>1</v>
      </c>
      <c r="AB14" s="1"/>
      <c r="AD14" s="113"/>
    </row>
    <row r="15" spans="1:30" ht="75" customHeight="1" x14ac:dyDescent="0.25">
      <c r="A15" s="1"/>
      <c r="B15" s="8" t="s">
        <v>84</v>
      </c>
      <c r="C15" s="9" t="s">
        <v>85</v>
      </c>
      <c r="D15" s="10" t="s">
        <v>19</v>
      </c>
      <c r="E15" s="11" t="s">
        <v>25</v>
      </c>
      <c r="F15" s="11" t="s">
        <v>26</v>
      </c>
      <c r="G15" s="32">
        <v>3.5000000000000003E-2</v>
      </c>
      <c r="H15" s="32">
        <v>3.49E-2</v>
      </c>
      <c r="I15" s="30">
        <v>15570382.625506174</v>
      </c>
      <c r="J15" s="33">
        <v>15569688.999146976</v>
      </c>
      <c r="K15" s="12">
        <v>6.8553984273431984E-2</v>
      </c>
      <c r="L15" s="12">
        <v>1</v>
      </c>
      <c r="M15" s="12">
        <v>0.58332167342941099</v>
      </c>
      <c r="N15" s="30">
        <v>59102</v>
      </c>
      <c r="O15" s="30">
        <v>50029</v>
      </c>
      <c r="P15" s="30">
        <v>29183</v>
      </c>
      <c r="Q15" s="34">
        <v>1.5080884734740601</v>
      </c>
      <c r="R15" s="35">
        <v>45677</v>
      </c>
      <c r="S15" s="13">
        <v>0.748</v>
      </c>
      <c r="T15" s="10" t="s">
        <v>86</v>
      </c>
      <c r="U15" s="11" t="s">
        <v>20</v>
      </c>
      <c r="V15" s="11" t="s">
        <v>58</v>
      </c>
      <c r="W15" s="11" t="s">
        <v>28</v>
      </c>
      <c r="X15" s="11" t="s">
        <v>64</v>
      </c>
      <c r="Y15" s="13">
        <v>1</v>
      </c>
      <c r="Z15" s="13">
        <v>1</v>
      </c>
      <c r="AA15" s="13">
        <v>0</v>
      </c>
      <c r="AB15" s="1"/>
      <c r="AD15" s="113"/>
    </row>
    <row r="16" spans="1:30" ht="75" customHeight="1" x14ac:dyDescent="0.25">
      <c r="A16" s="1"/>
      <c r="B16" s="8" t="s">
        <v>182</v>
      </c>
      <c r="C16" s="9" t="s">
        <v>181</v>
      </c>
      <c r="D16" s="10" t="s">
        <v>80</v>
      </c>
      <c r="E16" s="11" t="s">
        <v>25</v>
      </c>
      <c r="F16" s="11" t="s">
        <v>26</v>
      </c>
      <c r="G16" s="32">
        <v>4.9999999999999996E-2</v>
      </c>
      <c r="H16" s="32">
        <v>4.9999999999999996E-2</v>
      </c>
      <c r="I16" s="30">
        <v>12369338.65050048</v>
      </c>
      <c r="J16" s="33">
        <v>12369338.62999616</v>
      </c>
      <c r="K16" s="12">
        <v>5.4462709303953943E-2</v>
      </c>
      <c r="L16" s="12">
        <v>0.89293515358361775</v>
      </c>
      <c r="M16" s="12">
        <v>0.42156996587030715</v>
      </c>
      <c r="N16" s="30">
        <v>70000</v>
      </c>
      <c r="O16" s="30">
        <v>29300</v>
      </c>
      <c r="P16" s="30">
        <v>12352</v>
      </c>
      <c r="Q16" s="34">
        <v>2.22771711323495</v>
      </c>
      <c r="R16" s="35">
        <v>46259.999999999993</v>
      </c>
      <c r="S16" s="13">
        <v>0.65142128843036817</v>
      </c>
      <c r="T16" s="10" t="s">
        <v>180</v>
      </c>
      <c r="U16" s="11" t="s">
        <v>20</v>
      </c>
      <c r="V16" s="11" t="s">
        <v>58</v>
      </c>
      <c r="W16" s="11" t="s">
        <v>74</v>
      </c>
      <c r="X16" s="11" t="s">
        <v>64</v>
      </c>
      <c r="Y16" s="13">
        <v>1</v>
      </c>
      <c r="Z16" s="13">
        <v>0</v>
      </c>
      <c r="AA16" s="13">
        <v>0</v>
      </c>
      <c r="AB16" s="1"/>
      <c r="AD16" s="113"/>
    </row>
    <row r="17" spans="1:30" ht="75" customHeight="1" x14ac:dyDescent="0.25">
      <c r="A17" s="1"/>
      <c r="B17" s="8" t="s">
        <v>75</v>
      </c>
      <c r="C17" s="9" t="s">
        <v>76</v>
      </c>
      <c r="D17" s="10" t="s">
        <v>19</v>
      </c>
      <c r="E17" s="11" t="s">
        <v>25</v>
      </c>
      <c r="F17" s="11" t="s">
        <v>26</v>
      </c>
      <c r="G17" s="32">
        <v>0.04</v>
      </c>
      <c r="H17" s="32">
        <v>0.04</v>
      </c>
      <c r="I17" s="30">
        <v>11375023.381472619</v>
      </c>
      <c r="J17" s="33">
        <v>11380307.79997438</v>
      </c>
      <c r="K17" s="12">
        <v>5.0107965675422431E-2</v>
      </c>
      <c r="L17" s="12">
        <v>1</v>
      </c>
      <c r="M17" s="12">
        <v>0.2119182107458778</v>
      </c>
      <c r="N17" s="30">
        <v>70000</v>
      </c>
      <c r="O17" s="30">
        <v>65681</v>
      </c>
      <c r="P17" s="30">
        <v>13919</v>
      </c>
      <c r="Q17" s="34">
        <v>1.4187013132773001</v>
      </c>
      <c r="R17" s="35">
        <v>45866</v>
      </c>
      <c r="S17" s="13">
        <v>0.67359999999999998</v>
      </c>
      <c r="T17" s="10" t="s">
        <v>77</v>
      </c>
      <c r="U17" s="11" t="s">
        <v>20</v>
      </c>
      <c r="V17" s="11" t="s">
        <v>58</v>
      </c>
      <c r="W17" s="11" t="s">
        <v>28</v>
      </c>
      <c r="X17" s="11" t="s">
        <v>64</v>
      </c>
      <c r="Y17" s="13">
        <v>1</v>
      </c>
      <c r="Z17" s="13">
        <v>1</v>
      </c>
      <c r="AA17" s="13">
        <v>0</v>
      </c>
      <c r="AB17" s="1"/>
      <c r="AD17" s="113"/>
    </row>
    <row r="18" spans="1:30" ht="75" customHeight="1" x14ac:dyDescent="0.25">
      <c r="A18" s="1"/>
      <c r="B18" s="8" t="s">
        <v>197</v>
      </c>
      <c r="C18" s="9" t="s">
        <v>198</v>
      </c>
      <c r="D18" s="10" t="s">
        <v>199</v>
      </c>
      <c r="E18" s="11" t="s">
        <v>25</v>
      </c>
      <c r="F18" s="11" t="s">
        <v>23</v>
      </c>
      <c r="G18" s="32">
        <v>9.8000000000000004E-2</v>
      </c>
      <c r="H18" s="32">
        <v>9.8000000000000004E-2</v>
      </c>
      <c r="I18" s="30">
        <v>9129035.4005082492</v>
      </c>
      <c r="J18" s="33">
        <v>9098099.3299592994</v>
      </c>
      <c r="K18" s="12">
        <v>4.0059307441421818E-2</v>
      </c>
      <c r="L18" s="12">
        <v>1</v>
      </c>
      <c r="M18" s="12">
        <v>0.98010752688172043</v>
      </c>
      <c r="N18" s="30">
        <v>40000</v>
      </c>
      <c r="O18" s="30">
        <v>9300</v>
      </c>
      <c r="P18" s="30">
        <v>9115</v>
      </c>
      <c r="Q18" s="34">
        <v>2.50263221995551</v>
      </c>
      <c r="R18" s="35">
        <v>46197</v>
      </c>
      <c r="S18" s="13">
        <v>0.5890184943180703</v>
      </c>
      <c r="T18" s="10" t="s">
        <v>200</v>
      </c>
      <c r="U18" s="11" t="s">
        <v>201</v>
      </c>
      <c r="V18" s="11" t="s">
        <v>58</v>
      </c>
      <c r="W18" s="11" t="s">
        <v>74</v>
      </c>
      <c r="X18" s="11" t="s">
        <v>64</v>
      </c>
      <c r="Y18" s="13">
        <v>1</v>
      </c>
      <c r="Z18" s="13">
        <v>1</v>
      </c>
      <c r="AA18" s="13">
        <v>1</v>
      </c>
      <c r="AB18" s="1"/>
      <c r="AD18" s="113"/>
    </row>
    <row r="19" spans="1:30" ht="75" customHeight="1" x14ac:dyDescent="0.25">
      <c r="A19" s="1"/>
      <c r="B19" s="8" t="s">
        <v>179</v>
      </c>
      <c r="C19" s="9" t="s">
        <v>178</v>
      </c>
      <c r="D19" s="10" t="s">
        <v>31</v>
      </c>
      <c r="E19" s="11" t="s">
        <v>25</v>
      </c>
      <c r="F19" s="11" t="s">
        <v>23</v>
      </c>
      <c r="G19" s="32">
        <v>0.09</v>
      </c>
      <c r="H19" s="32">
        <v>8.1325000000000008E-2</v>
      </c>
      <c r="I19" s="30">
        <v>7743474.808087199</v>
      </c>
      <c r="J19" s="33">
        <v>7746307.2072745124</v>
      </c>
      <c r="K19" s="12">
        <v>3.4107310845692809E-2</v>
      </c>
      <c r="L19" s="12">
        <v>1</v>
      </c>
      <c r="M19" s="12">
        <v>1</v>
      </c>
      <c r="N19" s="30">
        <v>7860</v>
      </c>
      <c r="O19" s="30">
        <v>7410</v>
      </c>
      <c r="P19" s="30">
        <v>7410</v>
      </c>
      <c r="Q19" s="34">
        <v>3.4781374816995498</v>
      </c>
      <c r="R19" s="35">
        <v>46555</v>
      </c>
      <c r="S19" s="13">
        <v>0.75</v>
      </c>
      <c r="T19" s="10" t="s">
        <v>177</v>
      </c>
      <c r="U19" s="11" t="s">
        <v>20</v>
      </c>
      <c r="V19" s="11" t="s">
        <v>58</v>
      </c>
      <c r="W19" s="11" t="s">
        <v>21</v>
      </c>
      <c r="X19" s="11" t="s">
        <v>64</v>
      </c>
      <c r="Y19" s="13">
        <v>1</v>
      </c>
      <c r="Z19" s="13">
        <v>1</v>
      </c>
      <c r="AA19" s="13">
        <v>0</v>
      </c>
      <c r="AB19" s="1"/>
      <c r="AD19" s="113"/>
    </row>
    <row r="20" spans="1:30" ht="75" customHeight="1" x14ac:dyDescent="0.25">
      <c r="A20" s="1"/>
      <c r="B20" s="8" t="s">
        <v>176</v>
      </c>
      <c r="C20" s="9" t="s">
        <v>175</v>
      </c>
      <c r="D20" s="10" t="s">
        <v>31</v>
      </c>
      <c r="E20" s="11" t="s">
        <v>57</v>
      </c>
      <c r="F20" s="11" t="s">
        <v>23</v>
      </c>
      <c r="G20" s="32">
        <v>9.5000000000000001E-2</v>
      </c>
      <c r="H20" s="32">
        <v>9.5100000000000004E-2</v>
      </c>
      <c r="I20" s="30">
        <v>4004234.7242399999</v>
      </c>
      <c r="J20" s="33">
        <v>3957265.3065333338</v>
      </c>
      <c r="K20" s="12">
        <v>1.7424002727655461E-2</v>
      </c>
      <c r="L20" s="12">
        <v>1</v>
      </c>
      <c r="M20" s="12">
        <v>1</v>
      </c>
      <c r="N20" s="30">
        <v>8000</v>
      </c>
      <c r="O20" s="30">
        <v>8000</v>
      </c>
      <c r="P20" s="30">
        <v>8000</v>
      </c>
      <c r="Q20" s="34">
        <v>2.84809413584204</v>
      </c>
      <c r="R20" s="35">
        <v>48515</v>
      </c>
      <c r="S20" s="13">
        <v>0.43286534485151773</v>
      </c>
      <c r="T20" s="10" t="s">
        <v>174</v>
      </c>
      <c r="U20" s="11" t="s">
        <v>20</v>
      </c>
      <c r="V20" s="11" t="s">
        <v>30</v>
      </c>
      <c r="W20" s="11" t="s">
        <v>62</v>
      </c>
      <c r="X20" s="11" t="s">
        <v>64</v>
      </c>
      <c r="Y20" s="13">
        <v>1</v>
      </c>
      <c r="Z20" s="13">
        <v>0</v>
      </c>
      <c r="AA20" s="13">
        <v>0</v>
      </c>
      <c r="AB20" s="1"/>
      <c r="AD20" s="113"/>
    </row>
    <row r="21" spans="1:30" ht="75" customHeight="1" x14ac:dyDescent="0.25">
      <c r="A21" s="1"/>
      <c r="B21" s="8" t="s">
        <v>173</v>
      </c>
      <c r="C21" s="9" t="s">
        <v>172</v>
      </c>
      <c r="D21" s="10" t="s">
        <v>31</v>
      </c>
      <c r="E21" s="11" t="s">
        <v>25</v>
      </c>
      <c r="F21" s="11" t="s">
        <v>23</v>
      </c>
      <c r="G21" s="32">
        <v>9.5000000000000001E-2</v>
      </c>
      <c r="H21" s="32">
        <v>9.3800000000000008E-2</v>
      </c>
      <c r="I21" s="30">
        <v>3801799.0789060001</v>
      </c>
      <c r="J21" s="33">
        <v>3920517.9200000004</v>
      </c>
      <c r="K21" s="12">
        <v>1.7262202465708427E-2</v>
      </c>
      <c r="L21" s="12">
        <v>1</v>
      </c>
      <c r="M21" s="12">
        <v>1</v>
      </c>
      <c r="N21" s="30">
        <v>5292</v>
      </c>
      <c r="O21" s="30">
        <v>3176</v>
      </c>
      <c r="P21" s="30">
        <v>3176</v>
      </c>
      <c r="Q21" s="34">
        <v>4.9354595543994702</v>
      </c>
      <c r="R21" s="35">
        <v>47744</v>
      </c>
      <c r="S21" s="13">
        <v>0.41413933321416124</v>
      </c>
      <c r="T21" s="10" t="s">
        <v>171</v>
      </c>
      <c r="U21" s="11" t="s">
        <v>20</v>
      </c>
      <c r="V21" s="11" t="s">
        <v>59</v>
      </c>
      <c r="W21" s="11" t="s">
        <v>63</v>
      </c>
      <c r="X21" s="11" t="s">
        <v>64</v>
      </c>
      <c r="Y21" s="13">
        <v>1</v>
      </c>
      <c r="Z21" s="13">
        <v>1</v>
      </c>
      <c r="AA21" s="13">
        <v>0</v>
      </c>
      <c r="AB21" s="1"/>
      <c r="AD21" s="113"/>
    </row>
    <row r="22" spans="1:30" ht="75" customHeight="1" x14ac:dyDescent="0.25">
      <c r="A22" s="1"/>
      <c r="B22" s="113" t="s">
        <v>202</v>
      </c>
      <c r="C22" s="137" t="s">
        <v>203</v>
      </c>
      <c r="D22" s="138" t="s">
        <v>29</v>
      </c>
      <c r="E22" s="139" t="s">
        <v>57</v>
      </c>
      <c r="F22" s="139" t="s">
        <v>23</v>
      </c>
      <c r="G22" s="140">
        <v>9.4600000000000004E-2</v>
      </c>
      <c r="H22" s="140">
        <v>9.4299999999999995E-2</v>
      </c>
      <c r="I22" s="141">
        <v>2919836.0935487999</v>
      </c>
      <c r="J22" s="142">
        <v>2019890.0600009998</v>
      </c>
      <c r="K22" s="143">
        <v>8.8936594311521972E-3</v>
      </c>
      <c r="L22" s="143">
        <v>0.45333333333333331</v>
      </c>
      <c r="M22" s="143">
        <v>0.45333333333333325</v>
      </c>
      <c r="N22" s="141">
        <v>450</v>
      </c>
      <c r="O22" s="141">
        <v>450</v>
      </c>
      <c r="P22" s="141">
        <v>204</v>
      </c>
      <c r="Q22" s="144">
        <v>1.9670120662902499</v>
      </c>
      <c r="R22" s="145">
        <v>46588</v>
      </c>
      <c r="S22" s="146">
        <v>0.70003482006956197</v>
      </c>
      <c r="T22" s="138" t="s">
        <v>204</v>
      </c>
      <c r="U22" s="139" t="s">
        <v>20</v>
      </c>
      <c r="V22" s="139" t="s">
        <v>205</v>
      </c>
      <c r="W22" s="139" t="s">
        <v>62</v>
      </c>
      <c r="X22" s="139" t="s">
        <v>64</v>
      </c>
      <c r="Y22" s="146">
        <v>0</v>
      </c>
      <c r="Z22" s="146">
        <v>0</v>
      </c>
      <c r="AA22" s="146">
        <v>0</v>
      </c>
      <c r="AB22" s="1"/>
      <c r="AD22" s="113"/>
    </row>
    <row r="23" spans="1:30" ht="18.75" customHeight="1" x14ac:dyDescent="0.25">
      <c r="A23" s="42"/>
      <c r="B23" s="43" t="s">
        <v>73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4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D23" s="113"/>
    </row>
  </sheetData>
  <autoFilter ref="B6:AA23" xr:uid="{AE838F93-8894-4C33-8792-B356FB233D76}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7E0A6-C0AD-4E50-8768-FD6283CF1B5D}">
  <sheetPr>
    <tabColor theme="4" tint="0.79998168889431442"/>
  </sheetPr>
  <dimension ref="A2:W43"/>
  <sheetViews>
    <sheetView showGridLines="0" zoomScaleNormal="100" workbookViewId="0"/>
  </sheetViews>
  <sheetFormatPr defaultColWidth="9.140625" defaultRowHeight="18.75" customHeight="1" x14ac:dyDescent="0.25"/>
  <cols>
    <col min="1" max="1" width="3.5703125" style="14" customWidth="1"/>
    <col min="2" max="2" width="49.28515625" style="14" customWidth="1"/>
    <col min="3" max="7" width="15.140625" style="14" customWidth="1"/>
    <col min="8" max="8" width="13.7109375" style="14" customWidth="1"/>
    <col min="9" max="9" width="13.5703125" style="14" customWidth="1"/>
    <col min="10" max="11" width="12.28515625" style="14" bestFit="1" customWidth="1"/>
    <col min="12" max="17" width="12.28515625" style="14" customWidth="1"/>
    <col min="18" max="18" width="0.85546875" style="14" customWidth="1"/>
    <col min="19" max="19" width="13.5703125" style="14" bestFit="1" customWidth="1"/>
    <col min="20" max="20" width="9.140625" style="14"/>
    <col min="21" max="21" width="23.85546875" style="14" bestFit="1" customWidth="1"/>
    <col min="22" max="22" width="13.85546875" style="14" bestFit="1" customWidth="1"/>
    <col min="23" max="16384" width="9.140625" style="14"/>
  </cols>
  <sheetData>
    <row r="2" spans="1:23" s="2" customFormat="1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3" s="2" customFormat="1" ht="18.75" customHeight="1" x14ac:dyDescent="0.25">
      <c r="A3" s="1"/>
      <c r="B3" s="136" t="s">
        <v>188</v>
      </c>
      <c r="C3" s="135"/>
      <c r="D3" s="135"/>
      <c r="E3" s="135"/>
      <c r="F3" s="135"/>
      <c r="G3" s="135"/>
      <c r="H3" s="135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3" s="2" customFormat="1" ht="18.75" customHeight="1" x14ac:dyDescent="0.25">
      <c r="A4" s="1"/>
      <c r="B4" s="3" t="s">
        <v>195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3" s="2" customFormat="1" ht="18.75" customHeight="1" x14ac:dyDescent="0.25">
      <c r="A5" s="1"/>
      <c r="B5" s="6">
        <v>45017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3" s="2" customFormat="1" ht="18.7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" spans="1:23" ht="18.75" customHeight="1" x14ac:dyDescent="0.25">
      <c r="B8" s="15"/>
      <c r="C8" s="16">
        <v>45017</v>
      </c>
      <c r="D8" s="16">
        <v>44986</v>
      </c>
      <c r="E8" s="16">
        <v>44958</v>
      </c>
      <c r="F8" s="16">
        <v>44927</v>
      </c>
      <c r="G8" s="16">
        <v>44896</v>
      </c>
      <c r="H8" s="16">
        <v>44866</v>
      </c>
      <c r="I8" s="16">
        <v>44835</v>
      </c>
      <c r="J8" s="16">
        <v>44805</v>
      </c>
      <c r="K8" s="16">
        <v>44774</v>
      </c>
      <c r="L8" s="16">
        <v>44743</v>
      </c>
      <c r="M8" s="16">
        <v>44713</v>
      </c>
      <c r="N8" s="16">
        <v>44682</v>
      </c>
      <c r="O8" s="16">
        <v>44652</v>
      </c>
      <c r="P8" s="16">
        <v>44621</v>
      </c>
      <c r="Q8" s="16">
        <v>44593</v>
      </c>
      <c r="R8"/>
      <c r="S8" s="16" t="s">
        <v>39</v>
      </c>
      <c r="W8" s="117"/>
    </row>
    <row r="9" spans="1:23" ht="18.75" customHeight="1" x14ac:dyDescent="0.25">
      <c r="B9" s="18" t="s">
        <v>34</v>
      </c>
      <c r="C9" s="133">
        <v>2241755</v>
      </c>
      <c r="D9" s="133">
        <v>2241755</v>
      </c>
      <c r="E9" s="133">
        <v>2241755</v>
      </c>
      <c r="F9" s="133">
        <v>2241755</v>
      </c>
      <c r="G9" s="133">
        <v>2241755</v>
      </c>
      <c r="H9" s="133">
        <v>2241755</v>
      </c>
      <c r="I9" s="133">
        <v>2241755</v>
      </c>
      <c r="J9" s="133">
        <v>2241755</v>
      </c>
      <c r="K9" s="133">
        <v>2241755</v>
      </c>
      <c r="L9" s="133">
        <v>2241755</v>
      </c>
      <c r="M9" s="133">
        <v>1804035</v>
      </c>
      <c r="N9" s="133">
        <v>1376039</v>
      </c>
      <c r="O9" s="133">
        <v>772881</v>
      </c>
      <c r="P9" s="133">
        <v>637004</v>
      </c>
      <c r="Q9" s="133">
        <v>158999</v>
      </c>
      <c r="R9"/>
      <c r="S9" s="134"/>
    </row>
    <row r="10" spans="1:23" ht="18.75" customHeight="1" x14ac:dyDescent="0.25">
      <c r="B10" s="18" t="s">
        <v>35</v>
      </c>
      <c r="C10" s="133">
        <v>2241755</v>
      </c>
      <c r="D10" s="133">
        <v>2241755</v>
      </c>
      <c r="E10" s="133">
        <v>2241755</v>
      </c>
      <c r="F10" s="133">
        <v>2241755</v>
      </c>
      <c r="G10" s="133">
        <v>2241755</v>
      </c>
      <c r="H10" s="133">
        <v>2241755</v>
      </c>
      <c r="I10" s="133">
        <v>2241755</v>
      </c>
      <c r="J10" s="133">
        <v>2241755</v>
      </c>
      <c r="K10" s="133">
        <v>2241755</v>
      </c>
      <c r="L10" s="133">
        <v>2241755</v>
      </c>
      <c r="M10" s="133">
        <v>1804035</v>
      </c>
      <c r="N10" s="133">
        <v>1376039</v>
      </c>
      <c r="O10" s="133">
        <v>772881</v>
      </c>
      <c r="P10" s="133">
        <v>637004</v>
      </c>
      <c r="Q10" s="133">
        <v>158999</v>
      </c>
      <c r="R10"/>
      <c r="S10"/>
    </row>
    <row r="11" spans="1:23" ht="18.75" customHeight="1" x14ac:dyDescent="0.25">
      <c r="B11" s="18" t="s">
        <v>36</v>
      </c>
      <c r="C11" s="132">
        <v>94.37</v>
      </c>
      <c r="D11" s="132">
        <v>98.42</v>
      </c>
      <c r="E11" s="132">
        <v>92.8</v>
      </c>
      <c r="F11" s="132">
        <v>93.4</v>
      </c>
      <c r="G11" s="132">
        <v>97.49</v>
      </c>
      <c r="H11" s="132">
        <v>94.06</v>
      </c>
      <c r="I11" s="132">
        <v>96.51</v>
      </c>
      <c r="J11" s="132">
        <v>98.95</v>
      </c>
      <c r="K11" s="132">
        <v>99.45</v>
      </c>
      <c r="L11" s="132">
        <v>100.83</v>
      </c>
      <c r="M11" s="19" t="s">
        <v>169</v>
      </c>
      <c r="N11" s="19" t="s">
        <v>169</v>
      </c>
      <c r="O11" s="19" t="s">
        <v>169</v>
      </c>
      <c r="P11" s="19" t="s">
        <v>169</v>
      </c>
      <c r="Q11" s="19" t="s">
        <v>169</v>
      </c>
      <c r="R11"/>
      <c r="S11" s="19">
        <v>97.49</v>
      </c>
    </row>
    <row r="12" spans="1:23" ht="18.75" customHeight="1" x14ac:dyDescent="0.25">
      <c r="B12" s="18" t="s">
        <v>37</v>
      </c>
      <c r="C12" s="131">
        <v>101.31158039571675</v>
      </c>
      <c r="D12" s="131">
        <v>101.61615841606242</v>
      </c>
      <c r="E12" s="131">
        <v>101.19022139350642</v>
      </c>
      <c r="F12" s="131">
        <v>101.0465687329793</v>
      </c>
      <c r="G12" s="131">
        <v>100.57754743493379</v>
      </c>
      <c r="H12" s="131">
        <v>100.73838189721891</v>
      </c>
      <c r="I12" s="131">
        <v>101.68862788752561</v>
      </c>
      <c r="J12" s="131">
        <v>101.46225225325693</v>
      </c>
      <c r="K12" s="131">
        <v>101.36804680707749</v>
      </c>
      <c r="L12" s="131">
        <v>100.80589192396135</v>
      </c>
      <c r="M12" s="131">
        <v>102.49711416352787</v>
      </c>
      <c r="N12" s="131">
        <v>102.48274676807851</v>
      </c>
      <c r="O12" s="131">
        <v>102.25894175170562</v>
      </c>
      <c r="P12" s="131">
        <v>102.54518119195484</v>
      </c>
      <c r="Q12" s="131">
        <v>100.5076852684608</v>
      </c>
      <c r="R12"/>
      <c r="S12"/>
    </row>
    <row r="13" spans="1:23" ht="18.75" customHeight="1" x14ac:dyDescent="0.25">
      <c r="R13" s="20"/>
    </row>
    <row r="14" spans="1:23" ht="18.75" customHeight="1" x14ac:dyDescent="0.25">
      <c r="B14" s="21" t="s">
        <v>38</v>
      </c>
      <c r="C14" s="21"/>
      <c r="D14" s="21"/>
      <c r="E14" s="21"/>
      <c r="F14" s="21"/>
      <c r="G14" s="21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20"/>
      <c r="S14" s="130"/>
    </row>
    <row r="15" spans="1:23" ht="18.7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0"/>
    </row>
    <row r="16" spans="1:23" ht="18.75" customHeight="1" x14ac:dyDescent="0.25">
      <c r="B16" s="22"/>
      <c r="C16" s="22"/>
      <c r="D16" s="22"/>
      <c r="E16" s="22"/>
      <c r="F16" s="22"/>
      <c r="G16" s="22"/>
      <c r="H16" s="22"/>
      <c r="I16" s="22"/>
      <c r="J16" s="23"/>
      <c r="K16" s="23"/>
      <c r="L16" s="23"/>
      <c r="M16" s="23"/>
      <c r="N16" s="23"/>
      <c r="O16" s="23"/>
      <c r="P16" s="23"/>
      <c r="Q16" s="23"/>
      <c r="R16" s="20"/>
    </row>
    <row r="17" spans="2:22" ht="18.75" customHeight="1" x14ac:dyDescent="0.25">
      <c r="B17" s="24" t="s">
        <v>194</v>
      </c>
      <c r="C17" s="16">
        <v>45017</v>
      </c>
      <c r="D17" s="16">
        <v>44986</v>
      </c>
      <c r="E17" s="16">
        <v>44958</v>
      </c>
      <c r="F17" s="16">
        <v>44927</v>
      </c>
      <c r="G17" s="16">
        <v>44896</v>
      </c>
      <c r="H17" s="16">
        <v>44866</v>
      </c>
      <c r="I17" s="16">
        <v>44835</v>
      </c>
      <c r="J17" s="16">
        <v>44805</v>
      </c>
      <c r="K17" s="16">
        <v>44774</v>
      </c>
      <c r="L17" s="16">
        <v>44743</v>
      </c>
      <c r="M17" s="16">
        <v>44713</v>
      </c>
      <c r="N17" s="16">
        <v>44682</v>
      </c>
      <c r="O17" s="16">
        <v>44652</v>
      </c>
      <c r="P17" s="16">
        <v>44621</v>
      </c>
      <c r="Q17" s="16">
        <v>44593</v>
      </c>
      <c r="R17" s="17"/>
      <c r="S17" s="16" t="s">
        <v>39</v>
      </c>
    </row>
    <row r="18" spans="2:22" ht="18.75" customHeight="1" x14ac:dyDescent="0.25">
      <c r="B18" s="129" t="s">
        <v>40</v>
      </c>
      <c r="C18" s="123">
        <v>2852679.6594160004</v>
      </c>
      <c r="D18" s="123">
        <v>3427310.4530099751</v>
      </c>
      <c r="E18" s="123">
        <v>2632660.1878539501</v>
      </c>
      <c r="F18" s="123">
        <v>2958737.6844571005</v>
      </c>
      <c r="G18" s="123">
        <v>2944637.0100000002</v>
      </c>
      <c r="H18" s="123">
        <v>2567641.8748303652</v>
      </c>
      <c r="I18" s="123">
        <v>2442337.628814525</v>
      </c>
      <c r="J18" s="123">
        <v>2629722.6772143827</v>
      </c>
      <c r="K18" s="123">
        <v>3257705.1885124077</v>
      </c>
      <c r="L18" s="123">
        <v>2648961.2629624004</v>
      </c>
      <c r="M18" s="123">
        <v>2160297.3471836001</v>
      </c>
      <c r="N18" s="123">
        <v>1807642.24853515</v>
      </c>
      <c r="O18" s="123">
        <v>1229201.2526750253</v>
      </c>
      <c r="P18" s="123">
        <v>449541.93341860001</v>
      </c>
      <c r="Q18" s="123">
        <v>13916.159514575</v>
      </c>
      <c r="R18" s="124"/>
      <c r="S18" s="123">
        <v>27632474.220359888</v>
      </c>
    </row>
    <row r="19" spans="2:22" ht="18.75" customHeight="1" x14ac:dyDescent="0.25">
      <c r="B19" s="25" t="s">
        <v>41</v>
      </c>
      <c r="C19" s="126">
        <v>2729592.4775730004</v>
      </c>
      <c r="D19" s="126">
        <v>3301081.3714050003</v>
      </c>
      <c r="E19" s="126">
        <v>2487820.3915570001</v>
      </c>
      <c r="F19" s="126">
        <v>2768744.8753090003</v>
      </c>
      <c r="G19" s="126">
        <v>2598647.31</v>
      </c>
      <c r="H19" s="126">
        <v>2504057.747457365</v>
      </c>
      <c r="I19" s="126">
        <v>2406854.678785</v>
      </c>
      <c r="J19" s="126">
        <v>2458116.4842062076</v>
      </c>
      <c r="K19" s="126">
        <v>3130265.6677665329</v>
      </c>
      <c r="L19" s="126">
        <v>2292186.4336900003</v>
      </c>
      <c r="M19" s="126">
        <v>1826441.6493239999</v>
      </c>
      <c r="N19" s="126">
        <v>1601556.505594</v>
      </c>
      <c r="O19" s="126">
        <v>1152615.3803177502</v>
      </c>
      <c r="P19" s="126">
        <v>341361.208476</v>
      </c>
      <c r="Q19" s="126">
        <v>0</v>
      </c>
      <c r="R19" s="127"/>
      <c r="S19" s="126">
        <v>25453567.575231742</v>
      </c>
    </row>
    <row r="20" spans="2:22" ht="18.75" customHeight="1" x14ac:dyDescent="0.25">
      <c r="B20" s="25" t="s">
        <v>42</v>
      </c>
      <c r="C20" s="126">
        <v>123087.18184300001</v>
      </c>
      <c r="D20" s="126">
        <v>126229.08160497501</v>
      </c>
      <c r="E20" s="126">
        <v>144839.79629694999</v>
      </c>
      <c r="F20" s="126">
        <v>189992.80914810003</v>
      </c>
      <c r="G20" s="126">
        <v>345989.7</v>
      </c>
      <c r="H20" s="126">
        <v>63584.127373000003</v>
      </c>
      <c r="I20" s="126">
        <v>35482.950029525004</v>
      </c>
      <c r="J20" s="126">
        <v>171606.193008175</v>
      </c>
      <c r="K20" s="126">
        <v>127439.52074587501</v>
      </c>
      <c r="L20" s="126">
        <v>356774.82927240006</v>
      </c>
      <c r="M20" s="126">
        <v>333855.69785960001</v>
      </c>
      <c r="N20" s="126">
        <v>206085.74294115001</v>
      </c>
      <c r="O20" s="126">
        <v>76585.872357275002</v>
      </c>
      <c r="P20" s="126">
        <v>108180.72494259999</v>
      </c>
      <c r="Q20" s="126">
        <v>13916.159514575</v>
      </c>
      <c r="R20" s="127"/>
      <c r="S20" s="126">
        <v>2178906.6451281505</v>
      </c>
    </row>
    <row r="21" spans="2:22" s="122" customFormat="1" ht="18.75" customHeight="1" x14ac:dyDescent="0.25">
      <c r="B21" s="125" t="s">
        <v>43</v>
      </c>
      <c r="C21" s="123">
        <v>-297779.21000000008</v>
      </c>
      <c r="D21" s="123">
        <v>-339724.06</v>
      </c>
      <c r="E21" s="123">
        <v>-265655.5</v>
      </c>
      <c r="F21" s="123">
        <v>-333033.44999999995</v>
      </c>
      <c r="G21" s="123">
        <v>-332263.51</v>
      </c>
      <c r="H21" s="123">
        <v>-283209.531579506</v>
      </c>
      <c r="I21" s="123">
        <v>-277735.69473684212</v>
      </c>
      <c r="J21" s="123">
        <v>-291195.07199999999</v>
      </c>
      <c r="K21" s="123">
        <v>-323044.34000000003</v>
      </c>
      <c r="L21" s="123">
        <v>-279990.09149999998</v>
      </c>
      <c r="M21" s="123">
        <v>-210511.08</v>
      </c>
      <c r="N21" s="123">
        <v>-140971.84</v>
      </c>
      <c r="O21" s="123">
        <v>-94534.58</v>
      </c>
      <c r="P21" s="123">
        <v>-58638.58</v>
      </c>
      <c r="Q21" s="123">
        <v>-31875.25</v>
      </c>
      <c r="R21" s="124"/>
      <c r="S21" s="123">
        <v>-3070772.78</v>
      </c>
    </row>
    <row r="22" spans="2:22" ht="18.75" customHeight="1" x14ac:dyDescent="0.25">
      <c r="B22" s="25" t="s">
        <v>44</v>
      </c>
      <c r="C22" s="126">
        <v>-297779.21000000008</v>
      </c>
      <c r="D22" s="126">
        <v>-339724.06</v>
      </c>
      <c r="E22" s="126">
        <v>-265655.5</v>
      </c>
      <c r="F22" s="126">
        <v>-333033.44999999995</v>
      </c>
      <c r="G22" s="126">
        <v>-332263.51</v>
      </c>
      <c r="H22" s="126">
        <v>-283209.531579506</v>
      </c>
      <c r="I22" s="126">
        <v>-277735.69473684212</v>
      </c>
      <c r="J22" s="126">
        <v>-291195.07199999999</v>
      </c>
      <c r="K22" s="126">
        <v>-323044.34000000003</v>
      </c>
      <c r="L22" s="126">
        <v>-279990.09149999998</v>
      </c>
      <c r="M22" s="126">
        <v>-210511.08</v>
      </c>
      <c r="N22" s="126">
        <v>-140971.84</v>
      </c>
      <c r="O22" s="126">
        <v>-94534.58</v>
      </c>
      <c r="P22" s="126">
        <v>-58638.58</v>
      </c>
      <c r="Q22" s="126">
        <v>-31875.25</v>
      </c>
      <c r="R22" s="127"/>
      <c r="S22" s="126">
        <v>-3070772.78</v>
      </c>
    </row>
    <row r="23" spans="2:22" s="122" customFormat="1" ht="18.75" customHeight="1" x14ac:dyDescent="0.25">
      <c r="B23" s="125" t="s">
        <v>45</v>
      </c>
      <c r="C23" s="123">
        <v>2554900.4494160004</v>
      </c>
      <c r="D23" s="123">
        <v>3087586.3930099751</v>
      </c>
      <c r="E23" s="123">
        <v>2367004.6878539501</v>
      </c>
      <c r="F23" s="123">
        <v>2625704.2344571007</v>
      </c>
      <c r="G23" s="123">
        <v>2612373.5</v>
      </c>
      <c r="H23" s="123">
        <v>2284432.3432508591</v>
      </c>
      <c r="I23" s="123">
        <v>2164601.9340776829</v>
      </c>
      <c r="J23" s="123">
        <v>2338527.6052143825</v>
      </c>
      <c r="K23" s="123">
        <v>2934660.8485124079</v>
      </c>
      <c r="L23" s="123">
        <v>2368971.1714624004</v>
      </c>
      <c r="M23" s="123">
        <v>1949786.2671836</v>
      </c>
      <c r="N23" s="123">
        <v>1666670.4085351499</v>
      </c>
      <c r="O23" s="123">
        <v>1134666.6726750252</v>
      </c>
      <c r="P23" s="123">
        <v>390903.35341859999</v>
      </c>
      <c r="Q23" s="123">
        <v>-17959.090485425</v>
      </c>
      <c r="R23" s="124"/>
      <c r="S23" s="123">
        <v>24561701.440359887</v>
      </c>
    </row>
    <row r="24" spans="2:22" s="122" customFormat="1" ht="18.75" customHeight="1" x14ac:dyDescent="0.25">
      <c r="B24" s="128" t="s">
        <v>46</v>
      </c>
      <c r="C24" s="126">
        <v>63668.094264438172</v>
      </c>
      <c r="D24" s="126">
        <v>157622.6034019393</v>
      </c>
      <c r="E24" s="126">
        <v>24409.011412923031</v>
      </c>
      <c r="F24" s="126">
        <v>504952.39987877884</v>
      </c>
      <c r="G24" s="126">
        <v>-1416.5601212211614</v>
      </c>
      <c r="H24" s="126">
        <v>26498.319626918572</v>
      </c>
      <c r="I24" s="126">
        <v>343.66518435875702</v>
      </c>
      <c r="J24" s="126">
        <v>250729.43752182304</v>
      </c>
      <c r="K24" s="126">
        <v>767529.9636566611</v>
      </c>
      <c r="L24" s="126">
        <v>252365.22818500339</v>
      </c>
      <c r="M24" s="126">
        <v>7429.5712385837396</v>
      </c>
      <c r="N24" s="126">
        <v>7890.9621330089803</v>
      </c>
      <c r="O24" s="126">
        <v>6803.9000896111111</v>
      </c>
      <c r="P24" s="126">
        <v>4487.9299166209321</v>
      </c>
      <c r="Q24" s="126">
        <v>0</v>
      </c>
      <c r="R24" s="127"/>
      <c r="S24" s="126">
        <v>1967631.9597230703</v>
      </c>
      <c r="T24" s="14"/>
    </row>
    <row r="25" spans="2:22" s="122" customFormat="1" ht="18.75" customHeight="1" x14ac:dyDescent="0.25">
      <c r="B25" s="125" t="s">
        <v>48</v>
      </c>
      <c r="C25" s="123">
        <v>2618568.5436804388</v>
      </c>
      <c r="D25" s="123">
        <v>3245208.9964119145</v>
      </c>
      <c r="E25" s="123">
        <v>2391413.6992668733</v>
      </c>
      <c r="F25" s="123">
        <v>3130656.6343358797</v>
      </c>
      <c r="G25" s="123">
        <v>2610956.939878779</v>
      </c>
      <c r="H25" s="123">
        <v>2310930.6628777776</v>
      </c>
      <c r="I25" s="123">
        <v>2164945.5992620415</v>
      </c>
      <c r="J25" s="123">
        <v>2589257.0427362057</v>
      </c>
      <c r="K25" s="123">
        <v>3702190.812169069</v>
      </c>
      <c r="L25" s="123">
        <v>2621336.3996474035</v>
      </c>
      <c r="M25" s="123">
        <v>1957215.8384221836</v>
      </c>
      <c r="N25" s="123">
        <v>1674561.3706681589</v>
      </c>
      <c r="O25" s="123">
        <v>1141470.5727646363</v>
      </c>
      <c r="P25" s="123">
        <v>395391.28333522094</v>
      </c>
      <c r="Q25" s="123">
        <v>-17959.090485425</v>
      </c>
      <c r="R25" s="124"/>
      <c r="S25" s="123">
        <v>26529333.400082957</v>
      </c>
    </row>
    <row r="26" spans="2:22" s="122" customFormat="1" ht="18.75" customHeight="1" x14ac:dyDescent="0.25">
      <c r="B26" s="128" t="s">
        <v>49</v>
      </c>
      <c r="C26" s="126">
        <v>-295712.95631956123</v>
      </c>
      <c r="D26" s="126">
        <v>443015.24641191447</v>
      </c>
      <c r="E26" s="126">
        <v>-298692.3007331267</v>
      </c>
      <c r="F26" s="126">
        <v>440550.6343358797</v>
      </c>
      <c r="G26" s="126">
        <v>415412.31012122094</v>
      </c>
      <c r="H26" s="126">
        <v>491263.08712222299</v>
      </c>
      <c r="I26" s="126">
        <v>413072.65073795849</v>
      </c>
      <c r="J26" s="126">
        <v>-11238.792736205272</v>
      </c>
      <c r="K26" s="126">
        <v>-899997.06216906896</v>
      </c>
      <c r="L26" s="126">
        <v>-267493.64964740351</v>
      </c>
      <c r="M26" s="126">
        <v>5574.2415778161958</v>
      </c>
      <c r="N26" s="126">
        <v>-23314.57066815882</v>
      </c>
      <c r="O26" s="126">
        <v>-214013.3727646363</v>
      </c>
      <c r="P26" s="126">
        <v>-25928.963335220935</v>
      </c>
      <c r="Q26" s="126">
        <v>17959.090485425</v>
      </c>
      <c r="R26" s="127"/>
      <c r="S26" s="126">
        <v>97529.000082962841</v>
      </c>
    </row>
    <row r="27" spans="2:22" s="122" customFormat="1" ht="18.75" customHeight="1" x14ac:dyDescent="0.25">
      <c r="B27" s="125" t="s">
        <v>51</v>
      </c>
      <c r="C27" s="123">
        <v>2914281.5</v>
      </c>
      <c r="D27" s="123">
        <v>2802193.75</v>
      </c>
      <c r="E27" s="123">
        <v>2690106</v>
      </c>
      <c r="F27" s="123">
        <v>2690106</v>
      </c>
      <c r="G27" s="123">
        <v>3026369.25</v>
      </c>
      <c r="H27" s="123">
        <v>2802193.7500000005</v>
      </c>
      <c r="I27" s="123">
        <v>2578018.25</v>
      </c>
      <c r="J27" s="123">
        <v>2578018.2500000005</v>
      </c>
      <c r="K27" s="123">
        <v>2802193.75</v>
      </c>
      <c r="L27" s="123">
        <v>2353842.75</v>
      </c>
      <c r="M27" s="123">
        <v>1962790.0799999998</v>
      </c>
      <c r="N27" s="123">
        <v>1651246.8</v>
      </c>
      <c r="O27" s="123">
        <v>927457.2</v>
      </c>
      <c r="P27" s="123">
        <v>369462.32</v>
      </c>
      <c r="Q27" s="123">
        <v>0</v>
      </c>
      <c r="R27" s="124"/>
      <c r="S27" s="123">
        <v>26626862.400165919</v>
      </c>
    </row>
    <row r="28" spans="2:22" ht="18.75" customHeight="1" x14ac:dyDescent="0.25">
      <c r="B28" s="26" t="s">
        <v>52</v>
      </c>
      <c r="C28" s="121">
        <v>1.3</v>
      </c>
      <c r="D28" s="121">
        <v>1.25</v>
      </c>
      <c r="E28" s="121">
        <v>1.2</v>
      </c>
      <c r="F28" s="121">
        <v>1.2</v>
      </c>
      <c r="G28" s="121">
        <v>1.35</v>
      </c>
      <c r="H28" s="121">
        <v>1.2500000000000002</v>
      </c>
      <c r="I28" s="111">
        <v>1.1499999999999999</v>
      </c>
      <c r="J28" s="111">
        <v>1.1500000000000001</v>
      </c>
      <c r="K28" s="111">
        <v>1.25</v>
      </c>
      <c r="L28" s="111">
        <v>1.05</v>
      </c>
      <c r="M28" s="111">
        <v>1.0879999999999999</v>
      </c>
      <c r="N28" s="111">
        <v>1.2</v>
      </c>
      <c r="O28" s="111">
        <v>1.2</v>
      </c>
      <c r="P28" s="111">
        <v>0.57999999999999996</v>
      </c>
      <c r="Q28" s="111">
        <v>0</v>
      </c>
      <c r="R28" s="120">
        <v>9.9179999999999993</v>
      </c>
      <c r="S28" s="111">
        <v>13.668000000000001</v>
      </c>
      <c r="T28" s="119"/>
      <c r="U28" s="119"/>
      <c r="V28" s="119"/>
    </row>
    <row r="29" spans="2:22" ht="18.75" customHeight="1" x14ac:dyDescent="0.25">
      <c r="B29" s="27" t="s">
        <v>193</v>
      </c>
      <c r="C29" s="112">
        <v>0.17842467326251277</v>
      </c>
      <c r="D29" s="112">
        <v>0.16351817254379086</v>
      </c>
      <c r="E29" s="112">
        <v>0.16669820198428154</v>
      </c>
      <c r="F29" s="112">
        <v>0.16555057258827377</v>
      </c>
      <c r="G29" s="112">
        <v>0.17942952684495328</v>
      </c>
      <c r="H29" s="112">
        <v>0.17166091215370227</v>
      </c>
      <c r="I29" s="112">
        <v>0.15274395092446125</v>
      </c>
      <c r="J29" s="112">
        <v>0.14873366096642959</v>
      </c>
      <c r="K29" s="112">
        <v>0.16170590558333009</v>
      </c>
      <c r="L29" s="112">
        <v>0.13237436526579893</v>
      </c>
      <c r="M29" s="112" t="s">
        <v>169</v>
      </c>
      <c r="N29" s="112" t="s">
        <v>169</v>
      </c>
      <c r="O29" s="112" t="s">
        <v>169</v>
      </c>
      <c r="P29" s="112" t="s">
        <v>169</v>
      </c>
      <c r="Q29" s="112" t="s">
        <v>169</v>
      </c>
      <c r="R29" s="118"/>
      <c r="S29" s="112"/>
    </row>
    <row r="30" spans="2:22" ht="18.75" customHeight="1" x14ac:dyDescent="0.25">
      <c r="B30" s="27" t="s">
        <v>192</v>
      </c>
      <c r="C30" s="112">
        <v>1.3775564268305507E-2</v>
      </c>
      <c r="D30" s="112">
        <v>1.270067059540736E-2</v>
      </c>
      <c r="E30" s="112">
        <v>1.2931034482758674E-2</v>
      </c>
      <c r="F30" s="112">
        <v>1.2847965738758127E-2</v>
      </c>
      <c r="G30" s="112">
        <v>1.3847574110165128E-2</v>
      </c>
      <c r="H30" s="112">
        <v>1.3289389751222735E-2</v>
      </c>
      <c r="I30" s="112">
        <v>1.1915863641073443E-2</v>
      </c>
      <c r="J30" s="112">
        <v>1.1622031328954119E-2</v>
      </c>
      <c r="K30" s="112">
        <v>1.2569130216188995E-2</v>
      </c>
      <c r="L30" s="112">
        <v>1.0413567390657574E-2</v>
      </c>
      <c r="M30" s="112" t="s">
        <v>169</v>
      </c>
      <c r="N30" s="112" t="s">
        <v>169</v>
      </c>
      <c r="O30" s="112" t="s">
        <v>169</v>
      </c>
      <c r="P30" s="112" t="s">
        <v>169</v>
      </c>
      <c r="Q30" s="112" t="s">
        <v>169</v>
      </c>
      <c r="R30" s="118"/>
      <c r="S30" s="112"/>
    </row>
    <row r="31" spans="2:22" ht="18.75" customHeight="1" x14ac:dyDescent="0.25">
      <c r="B31" s="27" t="s">
        <v>191</v>
      </c>
      <c r="C31" s="112">
        <v>0.16532600221613247</v>
      </c>
      <c r="D31" s="112">
        <v>0.15802246668575948</v>
      </c>
      <c r="E31" s="112">
        <v>0.15196486011722143</v>
      </c>
      <c r="F31" s="112">
        <v>0.15219520318312041</v>
      </c>
      <c r="G31" s="112">
        <v>0.17350892857446909</v>
      </c>
      <c r="H31" s="112">
        <v>0.15949470339108029</v>
      </c>
      <c r="I31" s="112">
        <v>0.14447585287774078</v>
      </c>
      <c r="J31" s="112">
        <v>0.1448185529728272</v>
      </c>
      <c r="K31" s="112">
        <v>0.15843584984066128</v>
      </c>
      <c r="L31" s="112">
        <v>0.1324078582744368</v>
      </c>
      <c r="M31" s="112">
        <v>0.13508539012875631</v>
      </c>
      <c r="N31" s="112">
        <v>0.14992322312988526</v>
      </c>
      <c r="O31" s="112">
        <v>0.15027280900047701</v>
      </c>
      <c r="P31" s="112">
        <v>7.0024234301128807E-2</v>
      </c>
      <c r="Q31" s="112" t="s">
        <v>169</v>
      </c>
      <c r="R31" s="118"/>
      <c r="S31" s="112"/>
    </row>
    <row r="32" spans="2:22" ht="18.75" customHeight="1" x14ac:dyDescent="0.25">
      <c r="B32" s="27" t="s">
        <v>190</v>
      </c>
      <c r="C32" s="112">
        <v>1.2831701913268656E-2</v>
      </c>
      <c r="D32" s="112">
        <v>1.2301193230331853E-2</v>
      </c>
      <c r="E32" s="112">
        <v>1.1858853389928425E-2</v>
      </c>
      <c r="F32" s="112">
        <v>1.1875712506092651E-2</v>
      </c>
      <c r="G32" s="112">
        <v>1.3422478817882721E-2</v>
      </c>
      <c r="H32" s="112">
        <v>1.2408378777369444E-2</v>
      </c>
      <c r="I32" s="112">
        <v>1.130903252300719E-2</v>
      </c>
      <c r="J32" s="112">
        <v>1.133426446250696E-2</v>
      </c>
      <c r="K32" s="112">
        <v>1.2331302016492351E-2</v>
      </c>
      <c r="L32" s="112">
        <v>1.0416057831143632E-2</v>
      </c>
      <c r="M32" s="112">
        <v>1.0614933004495786E-2</v>
      </c>
      <c r="N32" s="112">
        <v>1.1709288029873255E-2</v>
      </c>
      <c r="O32" s="112">
        <v>1.1734915103206456E-2</v>
      </c>
      <c r="P32" s="112">
        <v>5.6560434460035669E-3</v>
      </c>
      <c r="Q32" s="112" t="s">
        <v>169</v>
      </c>
      <c r="R32" s="118"/>
      <c r="S32" s="112"/>
    </row>
    <row r="33" spans="2:23" ht="18.75" customHeight="1" x14ac:dyDescent="0.25">
      <c r="R33" s="20"/>
    </row>
    <row r="34" spans="2:23" ht="18.75" customHeight="1" x14ac:dyDescent="0.25">
      <c r="B34" s="21" t="s">
        <v>53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0"/>
    </row>
    <row r="35" spans="2:23" ht="18.75" customHeight="1" x14ac:dyDescent="0.25">
      <c r="B35" s="15"/>
      <c r="C35" s="16">
        <v>45017</v>
      </c>
      <c r="D35" s="16">
        <v>44986</v>
      </c>
      <c r="E35" s="16">
        <v>44958</v>
      </c>
      <c r="F35" s="16">
        <v>44927</v>
      </c>
      <c r="G35" s="16">
        <v>44896</v>
      </c>
      <c r="H35" s="16">
        <v>44866</v>
      </c>
      <c r="I35" s="16">
        <v>44835</v>
      </c>
      <c r="J35" s="16">
        <v>44805</v>
      </c>
      <c r="K35" s="16">
        <v>44774</v>
      </c>
      <c r="L35" s="16">
        <v>44743</v>
      </c>
      <c r="M35" s="16">
        <v>44713</v>
      </c>
      <c r="N35" s="16">
        <v>44682</v>
      </c>
      <c r="O35" s="16">
        <v>44652</v>
      </c>
      <c r="P35" s="16">
        <v>44621</v>
      </c>
      <c r="Q35" s="16">
        <v>44593</v>
      </c>
      <c r="R35"/>
      <c r="S35"/>
      <c r="W35" s="117"/>
    </row>
    <row r="36" spans="2:23" ht="18.75" customHeight="1" x14ac:dyDescent="0.25">
      <c r="B36" s="28" t="s">
        <v>54</v>
      </c>
      <c r="C36" s="29">
        <v>1.2176140914475491</v>
      </c>
      <c r="D36" s="29">
        <v>1.4725433294026333</v>
      </c>
      <c r="E36" s="29">
        <v>1.109764622609072</v>
      </c>
      <c r="F36" s="29">
        <v>1.2350791568699524</v>
      </c>
      <c r="G36" s="29">
        <v>1.1594451242459647</v>
      </c>
      <c r="H36" s="29">
        <v>1.1170077673329</v>
      </c>
      <c r="I36" s="29">
        <v>1.0736475122326035</v>
      </c>
      <c r="J36" s="29">
        <v>1.096514331051434</v>
      </c>
      <c r="K36" s="29">
        <v>1.3963460180824991</v>
      </c>
      <c r="L36" s="29">
        <v>1.0224964073638736</v>
      </c>
      <c r="M36" s="29">
        <v>1.0124202963490176</v>
      </c>
      <c r="N36" s="29">
        <v>1.1638888909355041</v>
      </c>
      <c r="O36" s="29">
        <v>1.4913232183450624</v>
      </c>
      <c r="P36" s="29">
        <v>0.53588550225116327</v>
      </c>
      <c r="Q36" s="29">
        <v>0</v>
      </c>
      <c r="S36" s="29"/>
    </row>
    <row r="37" spans="2:23" ht="18.75" customHeight="1" x14ac:dyDescent="0.25">
      <c r="B37" s="28" t="s">
        <v>189</v>
      </c>
      <c r="C37" s="29">
        <v>5.4906616397866856E-2</v>
      </c>
      <c r="D37" s="29">
        <v>5.6308152141949057E-2</v>
      </c>
      <c r="E37" s="29">
        <v>6.4610002563594143E-2</v>
      </c>
      <c r="F37" s="29">
        <v>8.4751816834622892E-2</v>
      </c>
      <c r="G37" s="29">
        <v>0.1457057422174145</v>
      </c>
      <c r="H37" s="29">
        <v>2.8363548814656376E-2</v>
      </c>
      <c r="I37" s="29">
        <v>1.5828201578461966E-2</v>
      </c>
      <c r="J37" s="29">
        <v>7.6549932088107314E-2</v>
      </c>
      <c r="K37" s="29">
        <v>5.6848103716005988E-2</v>
      </c>
      <c r="L37" s="29">
        <v>0.15914978633811458</v>
      </c>
      <c r="M37" s="29">
        <v>0.18506054364776736</v>
      </c>
      <c r="N37" s="29">
        <v>0.14976737064948742</v>
      </c>
      <c r="O37" s="29">
        <v>9.9091415570152455E-2</v>
      </c>
      <c r="P37" s="29">
        <v>0.16982738717904439</v>
      </c>
      <c r="Q37" s="29">
        <v>8.7523566277618092E-2</v>
      </c>
      <c r="S37" s="29"/>
    </row>
    <row r="38" spans="2:23" ht="18.75" customHeight="1" x14ac:dyDescent="0.25">
      <c r="B38" s="28" t="s">
        <v>55</v>
      </c>
      <c r="C38" s="116">
        <v>2.8401004688040472E-2</v>
      </c>
      <c r="D38" s="116">
        <v>7.0312145351271352E-2</v>
      </c>
      <c r="E38" s="116">
        <v>1.0888349267838382E-2</v>
      </c>
      <c r="F38" s="116">
        <v>0.22524870018301682</v>
      </c>
      <c r="G38" s="116">
        <v>-6.3189783059306717E-4</v>
      </c>
      <c r="H38" s="116">
        <v>1.1820345946331589E-2</v>
      </c>
      <c r="I38" s="116">
        <v>1.5330184804260814E-4</v>
      </c>
      <c r="J38" s="29">
        <v>0.11184515592552399</v>
      </c>
      <c r="K38" s="29">
        <v>0.34237905732636309</v>
      </c>
      <c r="L38" s="29">
        <v>0.11257484791380119</v>
      </c>
      <c r="M38" s="29">
        <v>4.118307703888084E-3</v>
      </c>
      <c r="N38" s="29">
        <v>5.7345483180411168E-3</v>
      </c>
      <c r="O38" s="29">
        <v>8.8032958367602662E-3</v>
      </c>
      <c r="P38" s="29">
        <v>7.0453716407132957E-3</v>
      </c>
      <c r="Q38" s="29">
        <v>0</v>
      </c>
      <c r="S38" s="29"/>
    </row>
    <row r="39" spans="2:23" ht="18.75" customHeight="1" x14ac:dyDescent="0.25">
      <c r="B39" s="28" t="s">
        <v>44</v>
      </c>
      <c r="C39" s="29">
        <v>-0.1328330749792016</v>
      </c>
      <c r="D39" s="29">
        <v>-0.15154379492852699</v>
      </c>
      <c r="E39" s="29">
        <v>-0.11850336009064327</v>
      </c>
      <c r="F39" s="29">
        <v>-0.1485592537989209</v>
      </c>
      <c r="G39" s="29">
        <v>-0.1414634456040022</v>
      </c>
      <c r="H39" s="29">
        <v>-0.12633384628539068</v>
      </c>
      <c r="I39" s="29">
        <v>-0.12389208220204355</v>
      </c>
      <c r="J39" s="29">
        <v>-0.12989602878102199</v>
      </c>
      <c r="K39" s="29">
        <v>-0.14410332083568456</v>
      </c>
      <c r="L39" s="29">
        <v>-0.12489772142807755</v>
      </c>
      <c r="M39" s="29">
        <v>-0.11668902210877283</v>
      </c>
      <c r="N39" s="29">
        <v>-0.10244756144266259</v>
      </c>
      <c r="O39" s="29">
        <v>-0.12231453483783403</v>
      </c>
      <c r="P39" s="29">
        <v>-9.2053707669025625E-2</v>
      </c>
      <c r="Q39" s="29">
        <v>-0.20047453128636028</v>
      </c>
      <c r="S39" s="29"/>
    </row>
    <row r="40" spans="2:23" ht="18.75" customHeight="1" x14ac:dyDescent="0.25">
      <c r="B40" s="28" t="s">
        <v>47</v>
      </c>
      <c r="C40" s="29">
        <v>0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S40" s="29"/>
    </row>
    <row r="41" spans="2:23" ht="18.75" customHeight="1" x14ac:dyDescent="0.25">
      <c r="B41" s="28" t="s">
        <v>49</v>
      </c>
      <c r="C41" s="29">
        <v>-0.13191136244574506</v>
      </c>
      <c r="D41" s="29">
        <v>0.19761983196732671</v>
      </c>
      <c r="E41" s="29">
        <v>-0.13324038565013871</v>
      </c>
      <c r="F41" s="29">
        <v>0.19652042008867146</v>
      </c>
      <c r="G41" s="29">
        <v>0.16194447697121594</v>
      </c>
      <c r="H41" s="29">
        <v>0.21914218419150308</v>
      </c>
      <c r="I41" s="29">
        <v>0.18426306654293556</v>
      </c>
      <c r="J41" s="29">
        <v>-5.0133902840432034E-3</v>
      </c>
      <c r="K41" s="29">
        <v>-0.40146985828918369</v>
      </c>
      <c r="L41" s="29">
        <v>-0.11932332018771163</v>
      </c>
      <c r="M41" s="29">
        <v>3.0898744080997296E-3</v>
      </c>
      <c r="N41" s="29">
        <v>-1.6943248460369816E-2</v>
      </c>
      <c r="O41" s="29">
        <v>-0.27690339491414112</v>
      </c>
      <c r="P41" s="29">
        <v>-4.0704553401895334E-2</v>
      </c>
      <c r="Q41" s="29">
        <v>0.11295096500874219</v>
      </c>
      <c r="S41" s="29"/>
    </row>
    <row r="42" spans="2:23" ht="18.75" customHeight="1" x14ac:dyDescent="0.25">
      <c r="B42" s="28" t="s">
        <v>50</v>
      </c>
      <c r="C42" s="29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S42" s="29"/>
    </row>
    <row r="43" spans="2:23" ht="18.75" customHeight="1" x14ac:dyDescent="0.25">
      <c r="B43" s="115" t="s">
        <v>56</v>
      </c>
      <c r="C43" s="114">
        <v>1.0361772751085097</v>
      </c>
      <c r="D43" s="114">
        <v>1.6452396639346536</v>
      </c>
      <c r="E43" s="114">
        <v>0.93351922869972248</v>
      </c>
      <c r="F43" s="114">
        <v>1.5930408401773426</v>
      </c>
      <c r="G43" s="114">
        <v>1.3249999999999997</v>
      </c>
      <c r="H43" s="114">
        <v>1.2500000000000002</v>
      </c>
      <c r="I43" s="114">
        <v>1.1499999999999999</v>
      </c>
      <c r="J43" s="114">
        <v>1.1500000000000001</v>
      </c>
      <c r="K43" s="114">
        <v>1.25</v>
      </c>
      <c r="L43" s="114">
        <v>1.0500000000000003</v>
      </c>
      <c r="M43" s="114">
        <v>1.0880000000000001</v>
      </c>
      <c r="N43" s="114">
        <v>1.2000000000000002</v>
      </c>
      <c r="O43" s="114">
        <v>1.2000000000000002</v>
      </c>
      <c r="P43" s="114">
        <v>0.57999999999999985</v>
      </c>
      <c r="Q43" s="114">
        <v>0</v>
      </c>
      <c r="S43" s="29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0AFC-451F-44A2-8EC2-1ADC7C724352}">
  <sheetPr>
    <tabColor theme="4" tint="0.79998168889431442"/>
  </sheetPr>
  <dimension ref="A1:AG55"/>
  <sheetViews>
    <sheetView showGridLines="0" zoomScaleNormal="100" workbookViewId="0"/>
  </sheetViews>
  <sheetFormatPr defaultRowHeight="15" x14ac:dyDescent="0.25"/>
  <cols>
    <col min="2" max="2" width="27.5703125" customWidth="1"/>
    <col min="3" max="4" width="12.42578125" customWidth="1"/>
    <col min="5" max="5" width="6.28515625" customWidth="1"/>
    <col min="6" max="6" width="0.28515625" customWidth="1"/>
    <col min="7" max="7" width="6" customWidth="1"/>
    <col min="8" max="8" width="24.28515625" customWidth="1"/>
    <col min="9" max="9" width="17.7109375" customWidth="1"/>
    <col min="10" max="10" width="3.5703125" customWidth="1"/>
    <col min="11" max="11" width="17.28515625" customWidth="1"/>
    <col min="12" max="12" width="20.7109375" customWidth="1"/>
    <col min="13" max="13" width="3.5703125" customWidth="1"/>
    <col min="14" max="14" width="17.28515625" customWidth="1"/>
    <col min="15" max="15" width="20.7109375" customWidth="1"/>
  </cols>
  <sheetData>
    <row r="1" spans="1:33" s="2" customFormat="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s="2" customFormat="1" ht="18.75" customHeight="1" x14ac:dyDescent="0.25">
      <c r="A2" s="1"/>
      <c r="B2" s="3" t="s">
        <v>188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6"/>
      <c r="T2" s="4"/>
      <c r="U2" s="4"/>
      <c r="V2" s="4"/>
      <c r="W2" s="1"/>
      <c r="X2" s="1"/>
      <c r="Y2" s="1"/>
      <c r="Z2" s="1"/>
      <c r="AA2" s="1"/>
      <c r="AB2" s="1"/>
      <c r="AC2" s="1"/>
      <c r="AD2" s="1"/>
      <c r="AE2" s="5"/>
      <c r="AF2" s="1"/>
      <c r="AG2" s="1"/>
    </row>
    <row r="3" spans="1:33" s="2" customFormat="1" ht="18.75" customHeight="1" x14ac:dyDescent="0.25">
      <c r="A3" s="1"/>
      <c r="B3" s="3" t="s">
        <v>87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36"/>
      <c r="T3" s="4"/>
      <c r="U3" s="4"/>
      <c r="V3" s="4"/>
      <c r="W3" s="1"/>
      <c r="X3" s="1"/>
      <c r="Y3" s="1"/>
      <c r="Z3" s="1"/>
      <c r="AA3" s="1"/>
      <c r="AB3" s="1"/>
      <c r="AC3" s="1"/>
      <c r="AD3" s="1"/>
      <c r="AE3" s="5"/>
      <c r="AF3" s="1"/>
      <c r="AG3" s="1"/>
    </row>
    <row r="4" spans="1:33" s="2" customFormat="1" ht="18.75" customHeight="1" x14ac:dyDescent="0.25">
      <c r="A4" s="1"/>
      <c r="B4" s="6">
        <v>45017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37"/>
      <c r="T4" s="7"/>
      <c r="U4" s="7"/>
      <c r="V4" s="7"/>
      <c r="W4" s="1"/>
      <c r="X4" s="1"/>
      <c r="Y4" s="1"/>
      <c r="Z4" s="1"/>
      <c r="AA4" s="1"/>
      <c r="AB4" s="1"/>
      <c r="AC4" s="1"/>
      <c r="AD4" s="1"/>
      <c r="AE4" s="5"/>
      <c r="AF4" s="1"/>
      <c r="AG4" s="1"/>
    </row>
    <row r="5" spans="1:33" s="2" customFormat="1" ht="18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3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7" spans="1:33" s="45" customFormat="1" ht="54.75" customHeight="1" x14ac:dyDescent="0.25">
      <c r="B7" s="149" t="s">
        <v>88</v>
      </c>
      <c r="C7" s="149"/>
      <c r="D7" s="149"/>
      <c r="E7" s="149"/>
      <c r="F7" s="149"/>
      <c r="G7" s="149"/>
      <c r="H7" s="149"/>
    </row>
    <row r="8" spans="1:33" ht="13.5" customHeight="1" x14ac:dyDescent="0.3">
      <c r="B8" s="46"/>
      <c r="C8" s="46"/>
      <c r="D8" s="46"/>
      <c r="E8" s="46"/>
      <c r="F8" s="46"/>
      <c r="G8" s="46"/>
      <c r="H8" s="46"/>
    </row>
    <row r="9" spans="1:33" ht="48" customHeight="1" x14ac:dyDescent="0.3">
      <c r="B9" s="46"/>
      <c r="C9" s="46"/>
      <c r="D9" s="46"/>
      <c r="E9" s="46"/>
      <c r="F9" s="46"/>
      <c r="G9" s="46"/>
      <c r="H9" s="46"/>
      <c r="K9" s="150" t="s">
        <v>89</v>
      </c>
      <c r="L9" s="151"/>
      <c r="M9" s="47"/>
      <c r="N9" s="150" t="s">
        <v>90</v>
      </c>
      <c r="O9" s="151"/>
    </row>
    <row r="11" spans="1:33" ht="47.25" customHeight="1" x14ac:dyDescent="0.25">
      <c r="F11" s="48"/>
      <c r="G11" s="49"/>
      <c r="H11" s="50"/>
      <c r="I11" s="48" t="s">
        <v>91</v>
      </c>
      <c r="J11" s="49"/>
      <c r="K11" s="51" t="s">
        <v>92</v>
      </c>
      <c r="L11" s="51" t="s">
        <v>93</v>
      </c>
      <c r="M11" s="52"/>
      <c r="N11" s="51" t="s">
        <v>94</v>
      </c>
      <c r="O11" s="51" t="s">
        <v>95</v>
      </c>
    </row>
    <row r="12" spans="1:33" ht="18.75" x14ac:dyDescent="0.25">
      <c r="B12" s="53" t="str">
        <f ca="1">"PL"&amp;aux!I11</f>
        <v>PL (28/04)</v>
      </c>
      <c r="C12" s="152">
        <f ca="1">aux!I23</f>
        <v>227115741.91</v>
      </c>
      <c r="D12" s="152"/>
      <c r="F12" s="48"/>
      <c r="G12" s="49"/>
      <c r="H12" s="54" t="s">
        <v>96</v>
      </c>
      <c r="I12" s="55" cm="1">
        <f t="array" aca="1" ref="I12:I25" ca="1">aux!J64:J77</f>
        <v>88.5</v>
      </c>
      <c r="J12" s="55"/>
      <c r="K12" s="58" cm="1">
        <f t="array" aca="1" ref="K12:K25" ca="1">aux!L96:L109</f>
        <v>0.17137296391885148</v>
      </c>
      <c r="L12" s="58" cm="1">
        <f t="array" aca="1" ref="L12:L25" ca="1">aux!L112:L125</f>
        <v>0.15537296391885147</v>
      </c>
      <c r="M12" s="61"/>
      <c r="N12" s="58" cm="1">
        <f t="array" aca="1" ref="N12:N25" ca="1">aux!K96:K109</f>
        <v>8.7220958972716645E-2</v>
      </c>
      <c r="O12" s="58" cm="1">
        <f t="array" aca="1" ref="O12:O25" ca="1">aux!K112:K125</f>
        <v>7.1220958972716644E-2</v>
      </c>
    </row>
    <row r="13" spans="1:33" ht="18.75" x14ac:dyDescent="0.25">
      <c r="B13" s="62" t="s">
        <v>97</v>
      </c>
      <c r="C13" s="63"/>
      <c r="D13" s="64">
        <f ca="1">aux!J26</f>
        <v>0.99818933378602448</v>
      </c>
      <c r="F13" s="48"/>
      <c r="G13" s="49"/>
      <c r="H13" s="54" t="s">
        <v>96</v>
      </c>
      <c r="I13" s="56">
        <f ca="1"/>
        <v>89.5</v>
      </c>
      <c r="J13" s="55"/>
      <c r="K13" s="59">
        <f ca="1"/>
        <v>0.16547081027993027</v>
      </c>
      <c r="L13" s="59">
        <f ca="1"/>
        <v>0.14947081027993026</v>
      </c>
      <c r="M13" s="61"/>
      <c r="N13" s="59">
        <f ca="1"/>
        <v>8.1742818929391614E-2</v>
      </c>
      <c r="O13" s="59">
        <f ca="1"/>
        <v>6.5742818929391614E-2</v>
      </c>
    </row>
    <row r="14" spans="1:33" ht="18.75" x14ac:dyDescent="0.25">
      <c r="B14" s="62" t="s">
        <v>98</v>
      </c>
      <c r="C14" s="63"/>
      <c r="D14" s="64">
        <f ca="1">aux!J32</f>
        <v>0.34626775474120869</v>
      </c>
      <c r="F14" s="48"/>
      <c r="G14" s="49"/>
      <c r="H14" s="54" t="s">
        <v>96</v>
      </c>
      <c r="I14" s="55">
        <f ca="1"/>
        <v>90.5</v>
      </c>
      <c r="J14" s="55"/>
      <c r="K14" s="58">
        <f ca="1"/>
        <v>0.15969909097557111</v>
      </c>
      <c r="L14" s="58">
        <f ca="1"/>
        <v>0.1436990909755711</v>
      </c>
      <c r="M14" s="61"/>
      <c r="N14" s="58">
        <f ca="1"/>
        <v>7.6385742754427444E-2</v>
      </c>
      <c r="O14" s="58">
        <f ca="1"/>
        <v>6.0385742754427443E-2</v>
      </c>
    </row>
    <row r="15" spans="1:33" ht="18.75" x14ac:dyDescent="0.25">
      <c r="B15" s="62" t="s">
        <v>99</v>
      </c>
      <c r="C15" s="63"/>
      <c r="D15" s="64">
        <f ca="1">aux!J33</f>
        <v>0.65192157904481618</v>
      </c>
      <c r="F15" s="48"/>
      <c r="G15" s="49"/>
      <c r="H15" s="54" t="s">
        <v>96</v>
      </c>
      <c r="I15" s="56">
        <f ca="1"/>
        <v>91.5</v>
      </c>
      <c r="J15" s="55"/>
      <c r="K15" s="59">
        <f ca="1"/>
        <v>0.15405352947021389</v>
      </c>
      <c r="L15" s="59">
        <f ca="1"/>
        <v>0.13805352947021388</v>
      </c>
      <c r="M15" s="61"/>
      <c r="N15" s="59">
        <f ca="1"/>
        <v>7.1145761140664288E-2</v>
      </c>
      <c r="O15" s="59">
        <f ca="1"/>
        <v>5.5145761140664287E-2</v>
      </c>
    </row>
    <row r="16" spans="1:33" ht="18.75" x14ac:dyDescent="0.25">
      <c r="F16" s="48"/>
      <c r="G16" s="49"/>
      <c r="H16" s="54" t="s">
        <v>96</v>
      </c>
      <c r="I16" s="55">
        <f ca="1"/>
        <v>92.5</v>
      </c>
      <c r="J16" s="55"/>
      <c r="K16" s="58">
        <f ca="1"/>
        <v>0.14853003415956723</v>
      </c>
      <c r="L16" s="58">
        <f ca="1"/>
        <v>0.13253003415956721</v>
      </c>
      <c r="M16" s="61"/>
      <c r="N16" s="58">
        <f ca="1"/>
        <v>6.6019076426658385E-2</v>
      </c>
      <c r="O16" s="58">
        <f ca="1"/>
        <v>5.0019076426658385E-2</v>
      </c>
    </row>
    <row r="17" spans="2:15" ht="19.5" thickBot="1" x14ac:dyDescent="0.3">
      <c r="B17" s="62" t="s">
        <v>100</v>
      </c>
      <c r="C17" s="63"/>
      <c r="D17" s="64">
        <f ca="1">aux!J29</f>
        <v>1.8106632615671335E-3</v>
      </c>
      <c r="F17" s="48"/>
      <c r="G17" s="49"/>
      <c r="H17" s="54" t="s">
        <v>96</v>
      </c>
      <c r="I17" s="56">
        <f ca="1"/>
        <v>93.5</v>
      </c>
      <c r="J17" s="55"/>
      <c r="K17" s="59">
        <f ca="1"/>
        <v>0.14312468848123383</v>
      </c>
      <c r="L17" s="59">
        <f ca="1"/>
        <v>0.12712468848123382</v>
      </c>
      <c r="M17" s="61"/>
      <c r="N17" s="59">
        <f ca="1"/>
        <v>6.1002053417765101E-2</v>
      </c>
      <c r="O17" s="59">
        <f ca="1"/>
        <v>4.50020534177651E-2</v>
      </c>
    </row>
    <row r="18" spans="2:15" ht="19.5" thickBot="1" x14ac:dyDescent="0.3">
      <c r="F18" s="48"/>
      <c r="G18" s="49"/>
      <c r="H18" s="65" t="str">
        <f ca="1">"Cota Mercado "&amp;aux!I11</f>
        <v>Cota Mercado  (28/04)</v>
      </c>
      <c r="I18" s="57">
        <f ca="1"/>
        <v>94.5</v>
      </c>
      <c r="J18" s="57"/>
      <c r="K18" s="60">
        <f ca="1"/>
        <v>0.13783374165323581</v>
      </c>
      <c r="L18" s="60">
        <f ca="1"/>
        <v>0.12183374165323581</v>
      </c>
      <c r="M18" s="57"/>
      <c r="N18" s="60">
        <f ca="1"/>
        <v>5.6091210790012225E-2</v>
      </c>
      <c r="O18" s="60">
        <f ca="1"/>
        <v>4.0091210790012224E-2</v>
      </c>
    </row>
    <row r="19" spans="2:15" ht="18.75" x14ac:dyDescent="0.25">
      <c r="B19" s="66" t="str">
        <f ca="1">"Carteira"&amp;aux!I11</f>
        <v>Carteira (28/04)</v>
      </c>
      <c r="C19" s="67" t="s">
        <v>101</v>
      </c>
      <c r="D19" s="67" t="s">
        <v>102</v>
      </c>
      <c r="F19" s="48"/>
      <c r="G19" s="49"/>
      <c r="H19" s="54" t="s">
        <v>96</v>
      </c>
      <c r="I19" s="56">
        <f ca="1"/>
        <v>95.5</v>
      </c>
      <c r="J19" s="55"/>
      <c r="K19" s="59">
        <f ca="1"/>
        <v>0.13265359999441029</v>
      </c>
      <c r="L19" s="59">
        <f ca="1"/>
        <v>0.11665359999441029</v>
      </c>
      <c r="M19" s="61"/>
      <c r="N19" s="59">
        <f ca="1"/>
        <v>5.1283213034044817E-2</v>
      </c>
      <c r="O19" s="59">
        <f ca="1"/>
        <v>3.5283213034044816E-2</v>
      </c>
    </row>
    <row r="20" spans="2:15" ht="18.75" x14ac:dyDescent="0.25">
      <c r="B20" s="62" t="s">
        <v>103</v>
      </c>
      <c r="C20" s="68" cm="1">
        <f t="array" aca="1" ref="C20:D21" ca="1">aux!I44:J45</f>
        <v>3.929516524331686E-2</v>
      </c>
      <c r="D20" s="68">
        <f ca="1"/>
        <v>3.8761761700056047E-2</v>
      </c>
      <c r="F20" s="48"/>
      <c r="G20" s="49"/>
      <c r="H20" s="54" t="s">
        <v>96</v>
      </c>
      <c r="I20" s="55">
        <f ca="1"/>
        <v>96.5</v>
      </c>
      <c r="J20" s="55"/>
      <c r="K20" s="58">
        <f ca="1"/>
        <v>0.12758081878447225</v>
      </c>
      <c r="L20" s="58">
        <f ca="1"/>
        <v>0.11158081878447225</v>
      </c>
      <c r="M20" s="61"/>
      <c r="N20" s="58">
        <f ca="1"/>
        <v>4.6574862899962488E-2</v>
      </c>
      <c r="O20" s="58">
        <f ca="1"/>
        <v>3.0574862899962488E-2</v>
      </c>
    </row>
    <row r="21" spans="2:15" ht="18.75" x14ac:dyDescent="0.25">
      <c r="B21" s="62" t="s">
        <v>104</v>
      </c>
      <c r="C21" s="68">
        <f ca="1"/>
        <v>0.10222396117605673</v>
      </c>
      <c r="D21" s="68">
        <f ca="1"/>
        <v>9.6823323261719038E-2</v>
      </c>
      <c r="F21" s="48"/>
      <c r="G21" s="49"/>
      <c r="H21" s="54"/>
      <c r="I21" s="56">
        <f ca="1"/>
        <v>97.5</v>
      </c>
      <c r="J21" s="55"/>
      <c r="K21" s="59">
        <f ca="1"/>
        <v>0.12261209462499467</v>
      </c>
      <c r="L21" s="59">
        <f ca="1"/>
        <v>0.10661209462499467</v>
      </c>
      <c r="M21" s="61"/>
      <c r="N21" s="59">
        <f ca="1"/>
        <v>4.1963094307092552E-2</v>
      </c>
      <c r="O21" s="59">
        <f ca="1"/>
        <v>2.5963094307092552E-2</v>
      </c>
    </row>
    <row r="22" spans="2:15" ht="19.5" thickBot="1" x14ac:dyDescent="0.3">
      <c r="F22" s="48"/>
      <c r="G22" s="49"/>
      <c r="H22" s="54" t="s">
        <v>96</v>
      </c>
      <c r="I22" s="55">
        <f ca="1"/>
        <v>98.5</v>
      </c>
      <c r="J22" s="55"/>
      <c r="K22" s="58">
        <f ca="1"/>
        <v>0.11774425826570933</v>
      </c>
      <c r="L22" s="58">
        <f ca="1"/>
        <v>0.10174425826570933</v>
      </c>
      <c r="M22" s="61"/>
      <c r="N22" s="58">
        <f ca="1"/>
        <v>3.7444965685651033E-2</v>
      </c>
      <c r="O22" s="58">
        <f ca="1"/>
        <v>2.1444965685651032E-2</v>
      </c>
    </row>
    <row r="23" spans="2:15" ht="19.5" thickBot="1" x14ac:dyDescent="0.3">
      <c r="B23" s="69" t="s">
        <v>105</v>
      </c>
      <c r="C23" s="63"/>
      <c r="D23" s="70">
        <f ca="1">aux!I37</f>
        <v>2.3937381445728518</v>
      </c>
      <c r="F23" s="48"/>
      <c r="G23" s="49"/>
      <c r="H23" s="65" t="str">
        <f ca="1">"Cota PL "&amp;aux!I11</f>
        <v>Cota PL  (28/04)</v>
      </c>
      <c r="I23" s="57">
        <f ca="1"/>
        <v>99.5</v>
      </c>
      <c r="J23" s="57"/>
      <c r="K23" s="60">
        <f ca="1"/>
        <v>0.11297426786339493</v>
      </c>
      <c r="L23" s="60">
        <f ca="1"/>
        <v>9.6974267863394928E-2</v>
      </c>
      <c r="M23" s="57"/>
      <c r="N23" s="60">
        <f ca="1"/>
        <v>3.3017653719917162E-2</v>
      </c>
      <c r="O23" s="60">
        <f ca="1"/>
        <v>1.7017653719917161E-2</v>
      </c>
    </row>
    <row r="24" spans="2:15" ht="18.75" x14ac:dyDescent="0.25">
      <c r="B24" s="71"/>
      <c r="C24" s="71"/>
      <c r="D24" s="72"/>
      <c r="F24" s="48"/>
      <c r="G24" s="49"/>
      <c r="H24" s="54" t="s">
        <v>96</v>
      </c>
      <c r="I24" s="55">
        <f ca="1"/>
        <v>100.5</v>
      </c>
      <c r="J24" s="55"/>
      <c r="K24" s="58">
        <f ca="1"/>
        <v>0.10829920264321569</v>
      </c>
      <c r="L24" s="58">
        <f ca="1"/>
        <v>9.2299202643215686E-2</v>
      </c>
      <c r="M24" s="61"/>
      <c r="N24" s="58">
        <f ca="1"/>
        <v>2.8678447464943968E-2</v>
      </c>
      <c r="O24" s="58">
        <f ca="1"/>
        <v>1.2678447464943968E-2</v>
      </c>
    </row>
    <row r="25" spans="2:15" ht="18.75" x14ac:dyDescent="0.25">
      <c r="B25" s="62" t="str">
        <f ca="1">"Cota PL"&amp;aux!I11</f>
        <v>Cota PL (28/04)</v>
      </c>
      <c r="C25" s="63"/>
      <c r="D25" s="70">
        <f ca="1">aux!I13</f>
        <v>101.31158039571675</v>
      </c>
      <c r="F25" s="48"/>
      <c r="G25" s="49"/>
      <c r="H25" s="54" t="s">
        <v>96</v>
      </c>
      <c r="I25" s="56">
        <f ca="1"/>
        <v>101.5</v>
      </c>
      <c r="J25" s="55"/>
      <c r="K25" s="59">
        <f ca="1"/>
        <v>0.10371625693476427</v>
      </c>
      <c r="L25" s="59">
        <f ca="1"/>
        <v>8.7716256934764272E-2</v>
      </c>
      <c r="M25" s="61"/>
      <c r="N25" s="59">
        <f ca="1"/>
        <v>2.4424742811054223E-2</v>
      </c>
      <c r="O25" s="59">
        <f ca="1"/>
        <v>8.4247428110542227E-3</v>
      </c>
    </row>
    <row r="26" spans="2:15" ht="18.75" x14ac:dyDescent="0.25">
      <c r="B26" s="62" t="str">
        <f ca="1">"Cota Mercado"&amp;aux!I11</f>
        <v>Cota Mercado (28/04)</v>
      </c>
      <c r="C26" s="63"/>
      <c r="D26" s="70">
        <f ca="1">aux!I14</f>
        <v>94.37</v>
      </c>
      <c r="F26" s="48"/>
      <c r="G26" s="49"/>
    </row>
    <row r="27" spans="2:15" ht="18.75" x14ac:dyDescent="0.25">
      <c r="B27" s="62" t="s">
        <v>107</v>
      </c>
      <c r="C27" s="63"/>
      <c r="D27" s="74">
        <f ca="1">(D26-D25)/D25</f>
        <v>-6.8517146496021072E-2</v>
      </c>
      <c r="F27" s="48"/>
      <c r="G27" s="49"/>
      <c r="I27" s="73" t="s">
        <v>106</v>
      </c>
      <c r="J27" s="73"/>
    </row>
    <row r="28" spans="2:15" ht="16.5" x14ac:dyDescent="0.25">
      <c r="F28" s="48"/>
      <c r="G28" s="49"/>
    </row>
    <row r="29" spans="2:15" ht="16.5" x14ac:dyDescent="0.25">
      <c r="F29" s="48"/>
      <c r="G29" s="49"/>
    </row>
    <row r="30" spans="2:15" ht="18.75" x14ac:dyDescent="0.25">
      <c r="B30" s="53" t="s">
        <v>109</v>
      </c>
      <c r="C30" s="63"/>
      <c r="D30" s="153">
        <f ca="1">aux!I17</f>
        <v>0.17054175325393151</v>
      </c>
      <c r="F30" s="48"/>
      <c r="G30" s="49"/>
    </row>
    <row r="31" spans="2:15" ht="18.75" x14ac:dyDescent="0.25">
      <c r="B31" s="53" t="s">
        <v>108</v>
      </c>
      <c r="C31" s="63"/>
      <c r="D31" s="153"/>
      <c r="F31" s="48"/>
      <c r="G31" s="49"/>
    </row>
    <row r="32" spans="2:15" s="75" customFormat="1" ht="16.5" x14ac:dyDescent="0.25">
      <c r="B32"/>
      <c r="C32"/>
      <c r="D32"/>
      <c r="F32" s="48"/>
      <c r="G32" s="49"/>
    </row>
    <row r="33" spans="2:7" ht="127.5" customHeight="1" x14ac:dyDescent="0.25">
      <c r="B33" s="154" t="s">
        <v>110</v>
      </c>
      <c r="C33" s="154"/>
      <c r="D33" s="154"/>
      <c r="F33" s="48"/>
      <c r="G33" s="49"/>
    </row>
    <row r="34" spans="2:7" ht="16.5" x14ac:dyDescent="0.25">
      <c r="F34" s="48"/>
      <c r="G34" s="49"/>
    </row>
    <row r="35" spans="2:7" ht="18.75" x14ac:dyDescent="0.25">
      <c r="B35" s="76" t="s">
        <v>111</v>
      </c>
      <c r="C35" s="67"/>
      <c r="D35" s="67"/>
      <c r="F35" s="48"/>
      <c r="G35" s="49"/>
    </row>
    <row r="36" spans="2:7" ht="18.75" x14ac:dyDescent="0.25">
      <c r="B36" s="62" t="str" cm="1">
        <f t="array" aca="1" ref="B36:B37" ca="1">aux!H44:H45&amp;" (E)"</f>
        <v>CDI + (E)</v>
      </c>
      <c r="C36" s="147"/>
      <c r="D36" s="147">
        <v>0.1337350810896285</v>
      </c>
      <c r="F36" s="48"/>
      <c r="G36" s="49"/>
    </row>
    <row r="37" spans="2:7" ht="18.75" customHeight="1" x14ac:dyDescent="0.25">
      <c r="B37" s="62" t="str">
        <f ca="1"/>
        <v>IPCA + (E)</v>
      </c>
      <c r="C37" s="147"/>
      <c r="D37" s="147">
        <v>5.2287E-2</v>
      </c>
      <c r="F37" s="48"/>
      <c r="G37" s="49"/>
    </row>
    <row r="38" spans="2:7" ht="15" customHeight="1" x14ac:dyDescent="0.25">
      <c r="F38" s="48"/>
      <c r="G38" s="49"/>
    </row>
    <row r="39" spans="2:7" ht="123" customHeight="1" x14ac:dyDescent="0.25">
      <c r="B39" s="148" t="s">
        <v>170</v>
      </c>
      <c r="C39" s="148"/>
      <c r="D39" s="148"/>
      <c r="F39" s="48"/>
      <c r="G39" s="49"/>
    </row>
    <row r="40" spans="2:7" ht="16.5" x14ac:dyDescent="0.25">
      <c r="B40" s="148"/>
      <c r="C40" s="148"/>
      <c r="D40" s="148"/>
      <c r="F40" s="48"/>
      <c r="G40" s="49"/>
    </row>
    <row r="41" spans="2:7" ht="16.5" x14ac:dyDescent="0.25">
      <c r="B41" s="148"/>
      <c r="C41" s="148"/>
      <c r="D41" s="148"/>
      <c r="F41" s="48"/>
      <c r="G41" s="49"/>
    </row>
    <row r="42" spans="2:7" ht="16.5" x14ac:dyDescent="0.25">
      <c r="B42" s="148"/>
      <c r="C42" s="148"/>
      <c r="D42" s="148"/>
      <c r="F42" s="48"/>
      <c r="G42" s="49"/>
    </row>
    <row r="43" spans="2:7" ht="16.5" x14ac:dyDescent="0.25">
      <c r="B43" s="148"/>
      <c r="C43" s="148"/>
      <c r="D43" s="148"/>
      <c r="F43" s="48"/>
      <c r="G43" s="49"/>
    </row>
    <row r="44" spans="2:7" ht="16.5" customHeight="1" x14ac:dyDescent="0.25">
      <c r="B44" s="148"/>
      <c r="C44" s="148"/>
      <c r="D44" s="148"/>
      <c r="F44" s="48"/>
      <c r="G44" s="49"/>
    </row>
    <row r="45" spans="2:7" ht="16.5" x14ac:dyDescent="0.25">
      <c r="B45" s="148"/>
      <c r="C45" s="148"/>
      <c r="D45" s="148"/>
      <c r="F45" s="48"/>
      <c r="G45" s="49"/>
    </row>
    <row r="46" spans="2:7" ht="15" customHeight="1" x14ac:dyDescent="0.25">
      <c r="B46" s="148"/>
      <c r="C46" s="148"/>
      <c r="D46" s="148"/>
      <c r="F46" s="48"/>
    </row>
    <row r="47" spans="2:7" ht="15" customHeight="1" x14ac:dyDescent="0.25">
      <c r="B47" s="148"/>
      <c r="C47" s="148"/>
      <c r="D47" s="148"/>
      <c r="F47" s="48"/>
    </row>
    <row r="48" spans="2:7" ht="15" customHeight="1" x14ac:dyDescent="0.25">
      <c r="B48" s="148"/>
      <c r="C48" s="148"/>
      <c r="D48" s="148"/>
      <c r="F48" s="48"/>
    </row>
    <row r="49" spans="2:6" ht="15" customHeight="1" x14ac:dyDescent="0.25">
      <c r="B49" s="148"/>
      <c r="C49" s="148"/>
      <c r="D49" s="148"/>
      <c r="F49" s="48"/>
    </row>
    <row r="50" spans="2:6" ht="15" customHeight="1" x14ac:dyDescent="0.25">
      <c r="F50" s="48"/>
    </row>
    <row r="51" spans="2:6" ht="15" customHeight="1" x14ac:dyDescent="0.25">
      <c r="F51" s="48"/>
    </row>
    <row r="52" spans="2:6" ht="16.5" x14ac:dyDescent="0.25">
      <c r="F52" s="48"/>
    </row>
    <row r="53" spans="2:6" ht="16.5" x14ac:dyDescent="0.25">
      <c r="F53" s="48"/>
    </row>
    <row r="54" spans="2:6" ht="15" customHeight="1" x14ac:dyDescent="0.25"/>
    <row r="55" spans="2:6" ht="16.5" customHeight="1" x14ac:dyDescent="0.25"/>
  </sheetData>
  <mergeCells count="7">
    <mergeCell ref="B39:D49"/>
    <mergeCell ref="B7:H7"/>
    <mergeCell ref="K9:L9"/>
    <mergeCell ref="N9:O9"/>
    <mergeCell ref="C12:D12"/>
    <mergeCell ref="D30:D31"/>
    <mergeCell ref="B33:D3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A801E-F617-4E57-BA52-A934EE396BF1}">
  <dimension ref="G4:M125"/>
  <sheetViews>
    <sheetView workbookViewId="0">
      <selection activeCell="K59" sqref="K59"/>
    </sheetView>
  </sheetViews>
  <sheetFormatPr defaultRowHeight="15" x14ac:dyDescent="0.25"/>
  <cols>
    <col min="7" max="7" width="10.42578125" customWidth="1"/>
    <col min="8" max="8" width="19.42578125" customWidth="1"/>
    <col min="9" max="9" width="17.42578125" customWidth="1"/>
    <col min="10" max="10" width="17.5703125" customWidth="1"/>
    <col min="11" max="11" width="18.42578125" customWidth="1"/>
    <col min="12" max="12" width="18" customWidth="1"/>
    <col min="13" max="13" width="20.42578125" customWidth="1"/>
  </cols>
  <sheetData>
    <row r="4" spans="7:12" ht="15.75" thickBot="1" x14ac:dyDescent="0.3"/>
    <row r="5" spans="7:12" x14ac:dyDescent="0.25">
      <c r="G5" s="75"/>
      <c r="H5" s="89" t="s">
        <v>112</v>
      </c>
      <c r="I5" s="90">
        <v>2022</v>
      </c>
      <c r="J5" s="90">
        <v>2023</v>
      </c>
      <c r="K5" s="90">
        <v>2026</v>
      </c>
      <c r="L5" s="91"/>
    </row>
    <row r="6" spans="7:12" x14ac:dyDescent="0.25">
      <c r="G6" s="77" t="s">
        <v>113</v>
      </c>
      <c r="H6" s="92" t="s">
        <v>114</v>
      </c>
      <c r="I6" s="93">
        <v>0</v>
      </c>
      <c r="J6" s="93">
        <v>0.1337350810896285</v>
      </c>
      <c r="K6" s="93">
        <v>0.11956432633241665</v>
      </c>
      <c r="L6" s="94"/>
    </row>
    <row r="7" spans="7:12" x14ac:dyDescent="0.25">
      <c r="G7" s="77" t="s">
        <v>115</v>
      </c>
      <c r="H7" s="92" t="s">
        <v>116</v>
      </c>
      <c r="I7" s="93">
        <v>0</v>
      </c>
      <c r="J7" s="93">
        <v>5.2287E-2</v>
      </c>
      <c r="K7" s="93">
        <v>6.0007000000000005E-2</v>
      </c>
      <c r="L7" s="94"/>
    </row>
    <row r="8" spans="7:12" x14ac:dyDescent="0.25">
      <c r="G8" s="77" t="s">
        <v>117</v>
      </c>
      <c r="H8" s="92" t="s">
        <v>118</v>
      </c>
      <c r="I8" s="93">
        <v>0</v>
      </c>
      <c r="J8" s="93">
        <v>3.0300000000000001E-2</v>
      </c>
      <c r="K8" s="93">
        <v>0.04</v>
      </c>
      <c r="L8" s="94"/>
    </row>
    <row r="9" spans="7:12" x14ac:dyDescent="0.25">
      <c r="G9" s="77"/>
      <c r="H9" s="92"/>
      <c r="I9" s="93"/>
      <c r="J9" s="93"/>
      <c r="K9" s="93"/>
      <c r="L9" s="94"/>
    </row>
    <row r="10" spans="7:12" x14ac:dyDescent="0.25">
      <c r="H10" s="92"/>
      <c r="I10" s="61"/>
      <c r="J10" s="61"/>
      <c r="K10" s="61"/>
      <c r="L10" s="94"/>
    </row>
    <row r="11" spans="7:12" x14ac:dyDescent="0.25">
      <c r="H11" s="92" t="s">
        <v>119</v>
      </c>
      <c r="I11" s="95" t="s">
        <v>209</v>
      </c>
      <c r="J11" s="61"/>
      <c r="K11" s="61"/>
      <c r="L11" s="94"/>
    </row>
    <row r="12" spans="7:12" x14ac:dyDescent="0.25">
      <c r="H12" s="92" t="s">
        <v>120</v>
      </c>
      <c r="I12" s="96">
        <v>45044</v>
      </c>
      <c r="J12" s="61" t="s">
        <v>121</v>
      </c>
      <c r="K12" s="61"/>
      <c r="L12" s="94"/>
    </row>
    <row r="13" spans="7:12" x14ac:dyDescent="0.25">
      <c r="H13" s="92" t="s">
        <v>122</v>
      </c>
      <c r="I13" s="97">
        <v>101.31158039571675</v>
      </c>
      <c r="J13" s="61" t="s">
        <v>121</v>
      </c>
      <c r="K13" s="61"/>
      <c r="L13" s="94"/>
    </row>
    <row r="14" spans="7:12" x14ac:dyDescent="0.25">
      <c r="H14" s="92" t="s">
        <v>123</v>
      </c>
      <c r="I14" s="97">
        <v>94.37</v>
      </c>
      <c r="J14" s="61" t="s">
        <v>121</v>
      </c>
      <c r="K14" s="61"/>
      <c r="L14" s="94"/>
    </row>
    <row r="15" spans="7:12" x14ac:dyDescent="0.25">
      <c r="H15" s="92"/>
      <c r="I15" s="61"/>
      <c r="J15" s="61"/>
      <c r="K15" s="61"/>
      <c r="L15" s="94"/>
    </row>
    <row r="16" spans="7:12" x14ac:dyDescent="0.25">
      <c r="H16" s="92" t="s">
        <v>124</v>
      </c>
      <c r="I16" s="98" t="s">
        <v>169</v>
      </c>
      <c r="J16" s="61" t="s">
        <v>125</v>
      </c>
      <c r="K16" s="61"/>
      <c r="L16" s="94"/>
    </row>
    <row r="17" spans="8:12" x14ac:dyDescent="0.25">
      <c r="H17" s="92" t="s">
        <v>126</v>
      </c>
      <c r="I17" s="98">
        <v>0.17054175325393151</v>
      </c>
      <c r="J17" s="61" t="s">
        <v>121</v>
      </c>
      <c r="K17" s="61"/>
      <c r="L17" s="94"/>
    </row>
    <row r="18" spans="8:12" x14ac:dyDescent="0.25">
      <c r="H18" s="92"/>
      <c r="I18" s="61"/>
      <c r="J18" s="61"/>
      <c r="K18" s="61"/>
      <c r="L18" s="94"/>
    </row>
    <row r="19" spans="8:12" x14ac:dyDescent="0.25">
      <c r="H19" s="92" t="s">
        <v>127</v>
      </c>
      <c r="I19" s="99">
        <v>0</v>
      </c>
      <c r="J19" s="61"/>
      <c r="K19" s="61"/>
      <c r="L19" s="94"/>
    </row>
    <row r="20" spans="8:12" x14ac:dyDescent="0.25">
      <c r="H20" s="92" t="s">
        <v>128</v>
      </c>
      <c r="I20" s="99">
        <v>1.6E-2</v>
      </c>
      <c r="J20" s="61"/>
      <c r="K20" s="61"/>
      <c r="L20" s="94"/>
    </row>
    <row r="21" spans="8:12" x14ac:dyDescent="0.25">
      <c r="H21" s="92" t="s">
        <v>129</v>
      </c>
      <c r="I21" s="99">
        <v>1.6E-2</v>
      </c>
      <c r="J21" s="61"/>
      <c r="K21" s="61"/>
      <c r="L21" s="94"/>
    </row>
    <row r="22" spans="8:12" x14ac:dyDescent="0.25">
      <c r="H22" s="92"/>
      <c r="I22" s="61"/>
      <c r="J22" s="61"/>
      <c r="K22" s="61"/>
      <c r="L22" s="94"/>
    </row>
    <row r="23" spans="8:12" x14ac:dyDescent="0.25">
      <c r="H23" s="92" t="s">
        <v>130</v>
      </c>
      <c r="I23" s="100">
        <v>227115741.91</v>
      </c>
      <c r="J23" s="61"/>
      <c r="K23" s="61"/>
      <c r="L23" s="94"/>
    </row>
    <row r="24" spans="8:12" x14ac:dyDescent="0.25">
      <c r="H24" s="92"/>
      <c r="I24" s="61"/>
      <c r="J24" s="61"/>
      <c r="K24" s="61"/>
      <c r="L24" s="94"/>
    </row>
    <row r="25" spans="8:12" x14ac:dyDescent="0.25">
      <c r="H25" s="92" t="s">
        <v>131</v>
      </c>
      <c r="I25" s="61" t="s">
        <v>132</v>
      </c>
      <c r="J25" s="61" t="s">
        <v>133</v>
      </c>
      <c r="K25" s="61"/>
      <c r="L25" s="94"/>
    </row>
    <row r="26" spans="8:12" x14ac:dyDescent="0.25">
      <c r="H26" s="92" t="s">
        <v>134</v>
      </c>
      <c r="I26" s="101">
        <v>226704511.10946158</v>
      </c>
      <c r="J26" s="102">
        <v>0.99818933378602448</v>
      </c>
      <c r="K26" s="61"/>
      <c r="L26" s="94"/>
    </row>
    <row r="27" spans="8:12" x14ac:dyDescent="0.25">
      <c r="H27" s="92" t="s">
        <v>135</v>
      </c>
      <c r="I27" s="101">
        <v>0</v>
      </c>
      <c r="J27" s="102">
        <v>0</v>
      </c>
      <c r="K27" s="61"/>
      <c r="L27" s="94"/>
    </row>
    <row r="28" spans="8:12" x14ac:dyDescent="0.25">
      <c r="H28" s="92" t="s">
        <v>136</v>
      </c>
      <c r="I28" s="101">
        <v>0</v>
      </c>
      <c r="J28" s="102">
        <v>0</v>
      </c>
      <c r="K28" s="61"/>
      <c r="L28" s="94"/>
    </row>
    <row r="29" spans="8:12" x14ac:dyDescent="0.25">
      <c r="H29" s="92" t="s">
        <v>137</v>
      </c>
      <c r="I29" s="101">
        <v>411230.12999999989</v>
      </c>
      <c r="J29" s="102">
        <v>1.8106632615671335E-3</v>
      </c>
      <c r="K29" s="61"/>
      <c r="L29" s="94"/>
    </row>
    <row r="30" spans="8:12" x14ac:dyDescent="0.25">
      <c r="H30" s="92" t="s">
        <v>138</v>
      </c>
      <c r="I30" s="101">
        <v>0</v>
      </c>
      <c r="J30" s="102">
        <v>0</v>
      </c>
      <c r="K30" s="61"/>
      <c r="L30" s="94"/>
    </row>
    <row r="31" spans="8:12" x14ac:dyDescent="0.25">
      <c r="H31" s="92" t="s">
        <v>139</v>
      </c>
      <c r="I31" s="101"/>
      <c r="J31" s="102">
        <v>0</v>
      </c>
      <c r="K31" s="61"/>
      <c r="L31" s="94"/>
    </row>
    <row r="32" spans="8:12" x14ac:dyDescent="0.25">
      <c r="H32" s="92" t="s">
        <v>140</v>
      </c>
      <c r="I32" s="101">
        <v>78642858.017559528</v>
      </c>
      <c r="J32" s="102">
        <v>0.34626775474120869</v>
      </c>
      <c r="K32" s="61"/>
      <c r="L32" s="94"/>
    </row>
    <row r="33" spans="8:12" x14ac:dyDescent="0.25">
      <c r="H33" s="92" t="s">
        <v>141</v>
      </c>
      <c r="I33" s="101">
        <v>148061653.09190214</v>
      </c>
      <c r="J33" s="102">
        <v>0.65192157904481618</v>
      </c>
      <c r="K33" s="61"/>
      <c r="L33" s="94"/>
    </row>
    <row r="34" spans="8:12" x14ac:dyDescent="0.25">
      <c r="H34" s="92" t="s">
        <v>142</v>
      </c>
      <c r="I34" s="101">
        <v>0</v>
      </c>
      <c r="J34" s="102">
        <v>0</v>
      </c>
      <c r="K34" s="61"/>
      <c r="L34" s="94"/>
    </row>
    <row r="35" spans="8:12" x14ac:dyDescent="0.25">
      <c r="H35" s="92" t="s">
        <v>168</v>
      </c>
      <c r="I35" s="101">
        <v>0</v>
      </c>
      <c r="J35" s="102">
        <v>0</v>
      </c>
      <c r="K35" s="61"/>
      <c r="L35" s="94"/>
    </row>
    <row r="36" spans="8:12" x14ac:dyDescent="0.25">
      <c r="H36" s="92"/>
      <c r="I36" s="61"/>
      <c r="J36" s="61"/>
      <c r="K36" s="61"/>
      <c r="L36" s="94"/>
    </row>
    <row r="37" spans="8:12" x14ac:dyDescent="0.25">
      <c r="H37" s="92" t="s">
        <v>143</v>
      </c>
      <c r="I37" s="103">
        <v>2.3937381445728518</v>
      </c>
      <c r="J37" s="61"/>
      <c r="K37" s="61"/>
      <c r="L37" s="94"/>
    </row>
    <row r="38" spans="8:12" x14ac:dyDescent="0.25">
      <c r="H38" s="92"/>
      <c r="I38" s="61"/>
      <c r="J38" s="61"/>
      <c r="K38" s="61"/>
      <c r="L38" s="94"/>
    </row>
    <row r="39" spans="8:12" x14ac:dyDescent="0.25">
      <c r="H39" s="92" t="s">
        <v>144</v>
      </c>
      <c r="I39" s="104">
        <v>1</v>
      </c>
      <c r="J39" s="61"/>
      <c r="K39" s="61"/>
      <c r="L39" s="94"/>
    </row>
    <row r="40" spans="8:12" x14ac:dyDescent="0.25">
      <c r="H40" s="92"/>
      <c r="I40" s="61"/>
      <c r="J40" s="61"/>
      <c r="K40" s="61"/>
      <c r="L40" s="94"/>
    </row>
    <row r="41" spans="8:12" x14ac:dyDescent="0.25">
      <c r="H41" s="92" t="s">
        <v>145</v>
      </c>
      <c r="I41" s="105">
        <v>2023</v>
      </c>
      <c r="J41" s="61"/>
      <c r="K41" s="61"/>
      <c r="L41" s="94"/>
    </row>
    <row r="42" spans="8:12" x14ac:dyDescent="0.25">
      <c r="H42" s="92"/>
      <c r="I42" s="61"/>
      <c r="J42" s="61"/>
      <c r="K42" s="61"/>
      <c r="L42" s="94"/>
    </row>
    <row r="43" spans="8:12" x14ac:dyDescent="0.25">
      <c r="H43" s="92" t="s">
        <v>146</v>
      </c>
      <c r="I43" s="61" t="s">
        <v>147</v>
      </c>
      <c r="J43" s="61" t="s">
        <v>148</v>
      </c>
      <c r="K43" s="61"/>
      <c r="L43" s="94"/>
    </row>
    <row r="44" spans="8:12" x14ac:dyDescent="0.25">
      <c r="H44" s="106" t="s">
        <v>113</v>
      </c>
      <c r="I44" s="93">
        <v>3.929516524331686E-2</v>
      </c>
      <c r="J44" s="93">
        <v>3.8761761700056047E-2</v>
      </c>
      <c r="K44" s="61"/>
      <c r="L44" s="94"/>
    </row>
    <row r="45" spans="8:12" x14ac:dyDescent="0.25">
      <c r="H45" s="106" t="s">
        <v>115</v>
      </c>
      <c r="I45" s="93">
        <v>0.10222396117605673</v>
      </c>
      <c r="J45" s="93">
        <v>9.6823323261719038E-2</v>
      </c>
      <c r="K45" s="61"/>
      <c r="L45" s="94"/>
    </row>
    <row r="46" spans="8:12" x14ac:dyDescent="0.25">
      <c r="H46" s="92" t="s">
        <v>117</v>
      </c>
      <c r="I46" s="93">
        <v>0</v>
      </c>
      <c r="J46" s="93">
        <v>0</v>
      </c>
      <c r="K46" s="61"/>
      <c r="L46" s="94"/>
    </row>
    <row r="47" spans="8:12" ht="15.75" thickBot="1" x14ac:dyDescent="0.3">
      <c r="H47" s="107" t="s">
        <v>33</v>
      </c>
      <c r="I47" s="108">
        <v>0</v>
      </c>
      <c r="J47" s="108">
        <v>0</v>
      </c>
      <c r="K47" s="109"/>
      <c r="L47" s="110"/>
    </row>
    <row r="49" spans="8:13" x14ac:dyDescent="0.25">
      <c r="H49" s="45" t="s">
        <v>114</v>
      </c>
      <c r="I49" s="79">
        <f ca="1">Sensibilidade!D36</f>
        <v>0.1337350810896285</v>
      </c>
    </row>
    <row r="50" spans="8:13" x14ac:dyDescent="0.25">
      <c r="H50" s="45" t="s">
        <v>116</v>
      </c>
      <c r="I50" s="79">
        <f ca="1">Sensibilidade!D37</f>
        <v>5.2287E-2</v>
      </c>
    </row>
    <row r="51" spans="8:13" x14ac:dyDescent="0.25">
      <c r="H51" s="45" t="s">
        <v>118</v>
      </c>
      <c r="I51" s="79"/>
      <c r="M51" s="78"/>
    </row>
    <row r="52" spans="8:13" x14ac:dyDescent="0.25">
      <c r="H52" s="45"/>
      <c r="I52" s="79"/>
      <c r="M52" s="78"/>
    </row>
    <row r="53" spans="8:13" x14ac:dyDescent="0.25">
      <c r="M53" s="78"/>
    </row>
    <row r="54" spans="8:13" x14ac:dyDescent="0.25">
      <c r="H54" t="s">
        <v>146</v>
      </c>
      <c r="I54" t="s">
        <v>149</v>
      </c>
      <c r="J54" t="s">
        <v>150</v>
      </c>
      <c r="K54" t="s">
        <v>151</v>
      </c>
      <c r="M54" s="78"/>
    </row>
    <row r="55" spans="8:13" x14ac:dyDescent="0.25">
      <c r="H55" s="75" t="s">
        <v>113</v>
      </c>
      <c r="I55" s="80">
        <f t="shared" ref="I55:J57" ca="1" si="0">+(1+I44)*(1+$I49)-1</f>
        <v>0.17828538844319075</v>
      </c>
      <c r="J55" s="80">
        <f t="shared" ca="1" si="0"/>
        <v>0.1776806501338184</v>
      </c>
      <c r="K55" s="80">
        <f ca="1">J32/J26</f>
        <v>0.34689586736801969</v>
      </c>
    </row>
    <row r="56" spans="8:13" x14ac:dyDescent="0.25">
      <c r="H56" s="75" t="s">
        <v>115</v>
      </c>
      <c r="I56" s="80">
        <f t="shared" ca="1" si="0"/>
        <v>0.15985594543406911</v>
      </c>
      <c r="J56" s="80">
        <f t="shared" ca="1" si="0"/>
        <v>0.15417292436510444</v>
      </c>
      <c r="K56" s="80">
        <f ca="1">J33/J26</f>
        <v>0.65310413263198075</v>
      </c>
    </row>
    <row r="57" spans="8:13" x14ac:dyDescent="0.25">
      <c r="H57" t="s">
        <v>117</v>
      </c>
      <c r="I57" s="80">
        <f t="shared" ca="1" si="0"/>
        <v>0</v>
      </c>
      <c r="J57" s="80">
        <f t="shared" ca="1" si="0"/>
        <v>0</v>
      </c>
      <c r="K57" s="80">
        <f ca="1">J34/J26</f>
        <v>0</v>
      </c>
    </row>
    <row r="58" spans="8:13" x14ac:dyDescent="0.25">
      <c r="H58" t="s">
        <v>33</v>
      </c>
      <c r="I58" s="80">
        <f ca="1">I47</f>
        <v>0</v>
      </c>
      <c r="J58" s="80">
        <f ca="1">J47</f>
        <v>0</v>
      </c>
      <c r="K58" s="80">
        <f ca="1">J35/J26</f>
        <v>0</v>
      </c>
    </row>
    <row r="60" spans="8:13" x14ac:dyDescent="0.25">
      <c r="H60" t="s">
        <v>152</v>
      </c>
      <c r="I60" t="s">
        <v>149</v>
      </c>
      <c r="J60" t="s">
        <v>150</v>
      </c>
    </row>
    <row r="61" spans="8:13" x14ac:dyDescent="0.25">
      <c r="H61" t="s">
        <v>153</v>
      </c>
      <c r="I61" s="80">
        <f ca="1">SUMPRODUCT(I55:I58,$K$55:$K$58)</f>
        <v>0.16624904305182792</v>
      </c>
      <c r="J61" s="80">
        <f ca="1">SUMPRODUCT(J55:J58,$K$55:$K$58)</f>
        <v>0.16232765728549209</v>
      </c>
    </row>
    <row r="63" spans="8:13" x14ac:dyDescent="0.25">
      <c r="H63" t="s">
        <v>154</v>
      </c>
      <c r="I63" s="81" t="s">
        <v>155</v>
      </c>
      <c r="J63" s="75" t="s">
        <v>91</v>
      </c>
      <c r="K63" t="s">
        <v>156</v>
      </c>
      <c r="L63" t="s">
        <v>157</v>
      </c>
    </row>
    <row r="64" spans="8:13" x14ac:dyDescent="0.25">
      <c r="H64" s="82">
        <f ca="1">1- I64/$I$37</f>
        <v>1.0604759633457805</v>
      </c>
      <c r="I64" s="83">
        <f t="shared" ref="I64:I69" ca="1" si="1">(J64-$I$13)/J64</f>
        <v>-0.1447636202905847</v>
      </c>
      <c r="J64" s="84">
        <f ca="1">J65-$I$39</f>
        <v>88.5</v>
      </c>
      <c r="K64" s="80">
        <f t="shared" ref="K64:K77" ca="1" si="2">(1+$I$61) * ($H64) - 1</f>
        <v>0.23677907743148197</v>
      </c>
      <c r="L64" s="80">
        <f t="shared" ref="L64:L77" ca="1" si="3">(1+$J$61) * ($H64) - 1</f>
        <v>0.23262054208327654</v>
      </c>
    </row>
    <row r="65" spans="8:12" x14ac:dyDescent="0.25">
      <c r="H65" s="82">
        <f t="shared" ref="H65:H77" ca="1" si="4">1- I65/$I$37</f>
        <v>1.0551325823229594</v>
      </c>
      <c r="I65" s="83">
        <f t="shared" ca="1" si="1"/>
        <v>-0.13197296531527089</v>
      </c>
      <c r="J65" s="84">
        <f t="shared" ref="J65:J69" ca="1" si="5">J66-$I$39</f>
        <v>89.5</v>
      </c>
      <c r="K65" s="80">
        <f t="shared" ca="1" si="2"/>
        <v>0.23054736442695556</v>
      </c>
      <c r="L65" s="80">
        <f t="shared" ca="1" si="3"/>
        <v>0.22640978253703703</v>
      </c>
    </row>
    <row r="66" spans="8:12" x14ac:dyDescent="0.25">
      <c r="H66" s="82">
        <f t="shared" ca="1" si="4"/>
        <v>1.0499072870685984</v>
      </c>
      <c r="I66" s="83">
        <f t="shared" ca="1" si="1"/>
        <v>-0.11946497674825134</v>
      </c>
      <c r="J66" s="84">
        <f t="shared" ca="1" si="5"/>
        <v>90.5</v>
      </c>
      <c r="K66" s="80">
        <f t="shared" ca="1" si="2"/>
        <v>0.22445336883689371</v>
      </c>
      <c r="L66" s="80">
        <f t="shared" ca="1" si="3"/>
        <v>0.22033627734541072</v>
      </c>
    </row>
    <row r="67" spans="8:12" x14ac:dyDescent="0.25">
      <c r="H67" s="82">
        <f t="shared" ca="1" si="4"/>
        <v>1.0447962059181577</v>
      </c>
      <c r="I67" s="83">
        <f t="shared" ca="1" si="1"/>
        <v>-0.10723038683843437</v>
      </c>
      <c r="J67" s="84">
        <f t="shared" ca="1" si="5"/>
        <v>91.5</v>
      </c>
      <c r="K67" s="80">
        <f t="shared" ca="1" si="2"/>
        <v>0.21849257533623212</v>
      </c>
      <c r="L67" s="80">
        <f t="shared" ca="1" si="3"/>
        <v>0.21439552636562298</v>
      </c>
    </row>
    <row r="68" spans="8:12" x14ac:dyDescent="0.25">
      <c r="H68" s="82">
        <f t="shared" ca="1" si="4"/>
        <v>1.0397956346304293</v>
      </c>
      <c r="I68" s="83">
        <f t="shared" ca="1" si="1"/>
        <v>-9.5260328602343194E-2</v>
      </c>
      <c r="J68" s="84">
        <f t="shared" ca="1" si="5"/>
        <v>92.5</v>
      </c>
      <c r="K68" s="80">
        <f t="shared" ca="1" si="2"/>
        <v>0.21266066385720639</v>
      </c>
      <c r="L68" s="80">
        <f t="shared" ca="1" si="3"/>
        <v>0.20858322405566843</v>
      </c>
    </row>
    <row r="69" spans="8:12" x14ac:dyDescent="0.25">
      <c r="H69" s="82">
        <f t="shared" ca="1" si="4"/>
        <v>1.0349020274344172</v>
      </c>
      <c r="I69" s="83">
        <f t="shared" ca="1" si="1"/>
        <v>-8.3546314392692472E-2</v>
      </c>
      <c r="J69" s="84">
        <f t="shared" ca="1" si="5"/>
        <v>93.5</v>
      </c>
      <c r="K69" s="80">
        <f t="shared" ca="1" si="2"/>
        <v>0.20695349914778571</v>
      </c>
      <c r="L69" s="80">
        <f t="shared" ca="1" si="3"/>
        <v>0.20289524906785217</v>
      </c>
    </row>
    <row r="70" spans="8:12" x14ac:dyDescent="0.25">
      <c r="H70" s="82">
        <f t="shared" ca="1" si="4"/>
        <v>1.0301119886446697</v>
      </c>
      <c r="I70" s="83">
        <f ca="1">(J70-$I$13)/J70</f>
        <v>-7.2080215827690433E-2</v>
      </c>
      <c r="J70" s="85">
        <f ca="1">ROUND(I14*2,0)/2</f>
        <v>94.5</v>
      </c>
      <c r="K70" s="80">
        <f t="shared" ca="1" si="2"/>
        <v>0.20136712099306142</v>
      </c>
      <c r="L70" s="80">
        <f t="shared" ca="1" si="3"/>
        <v>0.19732765450305845</v>
      </c>
    </row>
    <row r="71" spans="8:12" x14ac:dyDescent="0.25">
      <c r="H71" s="82">
        <f t="shared" ca="1" si="4"/>
        <v>1.0254222648033986</v>
      </c>
      <c r="I71" s="83">
        <f t="shared" ref="I71:I77" ca="1" si="6">(J71-$I$13)/J71</f>
        <v>-6.0854244981327181E-2</v>
      </c>
      <c r="J71" s="84">
        <f t="shared" ref="J71:J77" ca="1" si="7">J70+$I$39</f>
        <v>95.5</v>
      </c>
      <c r="K71" s="80">
        <f t="shared" ca="1" si="2"/>
        <v>0.19589773505100183</v>
      </c>
      <c r="L71" s="80">
        <f t="shared" ca="1" si="3"/>
        <v>0.19187665877731797</v>
      </c>
    </row>
    <row r="72" spans="8:12" x14ac:dyDescent="0.25">
      <c r="H72" s="82">
        <f t="shared" ca="1" si="4"/>
        <v>1.0208297373111694</v>
      </c>
      <c r="I72" s="83">
        <f t="shared" ca="1" si="6"/>
        <v>-4.9860936743178715E-2</v>
      </c>
      <c r="J72" s="84">
        <f t="shared" ca="1" si="7"/>
        <v>96.5</v>
      </c>
      <c r="K72" s="80">
        <f t="shared" ca="1" si="2"/>
        <v>0.19054170425800021</v>
      </c>
      <c r="L72" s="80">
        <f t="shared" ca="1" si="3"/>
        <v>0.18653863705625584</v>
      </c>
    </row>
    <row r="73" spans="8:12" x14ac:dyDescent="0.25">
      <c r="H73" s="82">
        <f t="shared" ca="1" si="4"/>
        <v>1.0163314155110885</v>
      </c>
      <c r="I73" s="83">
        <f t="shared" ca="1" si="6"/>
        <v>-3.9093132263761494E-2</v>
      </c>
      <c r="J73" s="84">
        <f t="shared" ca="1" si="7"/>
        <v>97.5</v>
      </c>
      <c r="K73" s="80">
        <f t="shared" ca="1" si="2"/>
        <v>0.18529554076331678</v>
      </c>
      <c r="L73" s="80">
        <f t="shared" ca="1" si="3"/>
        <v>0.18131011321665169</v>
      </c>
    </row>
    <row r="74" spans="8:12" x14ac:dyDescent="0.25">
      <c r="H74" s="82">
        <f t="shared" ca="1" si="4"/>
        <v>1.011924430194258</v>
      </c>
      <c r="I74" s="83">
        <f t="shared" ca="1" si="6"/>
        <v>-2.8543963408291836E-2</v>
      </c>
      <c r="J74" s="84">
        <f t="shared" ca="1" si="7"/>
        <v>98.5</v>
      </c>
      <c r="K74" s="80">
        <f t="shared" ca="1" si="2"/>
        <v>0.18015589835481971</v>
      </c>
      <c r="L74" s="80">
        <f t="shared" ca="1" si="3"/>
        <v>0.17618775229764849</v>
      </c>
    </row>
    <row r="75" spans="8:12" x14ac:dyDescent="0.25">
      <c r="H75" s="82">
        <f t="shared" ca="1" si="4"/>
        <v>1.0076060274968615</v>
      </c>
      <c r="I75" s="83">
        <f t="shared" ca="1" si="6"/>
        <v>-1.8206838147906992E-2</v>
      </c>
      <c r="J75" s="84">
        <f t="shared" ca="1" si="7"/>
        <v>99.5</v>
      </c>
      <c r="K75" s="80">
        <f t="shared" ca="1" si="2"/>
        <v>0.17511956534146855</v>
      </c>
      <c r="L75" s="80">
        <f t="shared" ca="1" si="3"/>
        <v>0.17116835340716818</v>
      </c>
    </row>
    <row r="76" spans="8:12" x14ac:dyDescent="0.25">
      <c r="H76" s="82">
        <f t="shared" ca="1" si="4"/>
        <v>1.0033735631616019</v>
      </c>
      <c r="I76" s="83">
        <f t="shared" ca="1" si="6"/>
        <v>-8.0754268230521977E-3</v>
      </c>
      <c r="J76" s="84">
        <f t="shared" ca="1" si="7"/>
        <v>100.5</v>
      </c>
      <c r="K76" s="80">
        <f t="shared" ca="1" si="2"/>
        <v>0.17018345786072109</v>
      </c>
      <c r="L76" s="80">
        <f t="shared" ca="1" si="3"/>
        <v>0.16624884305182142</v>
      </c>
    </row>
    <row r="77" spans="8:12" x14ac:dyDescent="0.25">
      <c r="H77" s="82">
        <f t="shared" ca="1" si="4"/>
        <v>0.99922449713836725</v>
      </c>
      <c r="I77" s="83">
        <f t="shared" ca="1" si="6"/>
        <v>1.8563507811158052E-3</v>
      </c>
      <c r="J77" s="84">
        <f t="shared" ca="1" si="7"/>
        <v>101.5</v>
      </c>
      <c r="K77" s="80">
        <f t="shared" ca="1" si="2"/>
        <v>0.16534461358156483</v>
      </c>
      <c r="L77" s="80">
        <f t="shared" ca="1" si="3"/>
        <v>0.16142626886111233</v>
      </c>
    </row>
    <row r="79" spans="8:12" x14ac:dyDescent="0.25">
      <c r="H79" s="80" t="str" cm="1">
        <f t="array" aca="1" ref="H79:J93" ca="1">H63:J77</f>
        <v>Variação ajustada pela Duration</v>
      </c>
      <c r="I79" t="str">
        <f ca="1"/>
        <v>Variação vs PL</v>
      </c>
      <c r="J79" t="str">
        <f ca="1"/>
        <v>Preço Mercado</v>
      </c>
      <c r="K79" t="s">
        <v>158</v>
      </c>
      <c r="L79" t="s">
        <v>159</v>
      </c>
    </row>
    <row r="80" spans="8:12" x14ac:dyDescent="0.25">
      <c r="H80" s="80">
        <f ca="1"/>
        <v>1.0604759633457805</v>
      </c>
      <c r="I80" s="80">
        <f ca="1"/>
        <v>-0.1447636202905847</v>
      </c>
      <c r="J80" s="86">
        <f ca="1"/>
        <v>88.5</v>
      </c>
      <c r="K80" s="88">
        <f t="shared" ref="K80:K93" ca="1" si="8">(1+K64)/(1+$I$49)-1</f>
        <v>9.0888954624936069E-2</v>
      </c>
      <c r="L80" s="88">
        <f t="shared" ref="L80:L93" ca="1" si="9">(1+K64)/(1+$I$50)-1</f>
        <v>0.17532486615484366</v>
      </c>
    </row>
    <row r="81" spans="8:12" x14ac:dyDescent="0.25">
      <c r="H81" s="80">
        <f ca="1"/>
        <v>1.0551325823229594</v>
      </c>
      <c r="I81" s="80">
        <f ca="1"/>
        <v>-0.13197296531527089</v>
      </c>
      <c r="J81" s="86">
        <f ca="1"/>
        <v>89.5</v>
      </c>
      <c r="K81" s="88">
        <f t="shared" ca="1" si="8"/>
        <v>8.5392332787551428E-2</v>
      </c>
      <c r="L81" s="88">
        <f t="shared" ca="1" si="9"/>
        <v>0.1694028002122574</v>
      </c>
    </row>
    <row r="82" spans="8:12" x14ac:dyDescent="0.25">
      <c r="H82" s="80">
        <f ca="1"/>
        <v>1.0499072870685984</v>
      </c>
      <c r="I82" s="80">
        <f ca="1"/>
        <v>-0.11946497674825134</v>
      </c>
      <c r="J82" s="86">
        <f ca="1"/>
        <v>90.5</v>
      </c>
      <c r="K82" s="88">
        <f t="shared" ca="1" si="8"/>
        <v>8.0017183255965074E-2</v>
      </c>
      <c r="L82" s="88">
        <f t="shared" ca="1" si="9"/>
        <v>0.16361160865514224</v>
      </c>
    </row>
    <row r="83" spans="8:12" x14ac:dyDescent="0.25">
      <c r="H83" s="80">
        <f ca="1"/>
        <v>1.0447962059181577</v>
      </c>
      <c r="I83" s="80">
        <f ca="1"/>
        <v>-0.10723038683843437</v>
      </c>
      <c r="J83" s="86">
        <f ca="1"/>
        <v>91.5</v>
      </c>
      <c r="K83" s="88">
        <f t="shared" ca="1" si="8"/>
        <v>7.4759523331626498E-2</v>
      </c>
      <c r="L83" s="88">
        <f t="shared" ca="1" si="9"/>
        <v>0.15794700052004074</v>
      </c>
    </row>
    <row r="84" spans="8:12" x14ac:dyDescent="0.25">
      <c r="H84" s="80">
        <f ca="1"/>
        <v>1.0397956346304293</v>
      </c>
      <c r="I84" s="80">
        <f ca="1"/>
        <v>-9.5260328602343194E-2</v>
      </c>
      <c r="J84" s="86">
        <f ca="1"/>
        <v>92.5</v>
      </c>
      <c r="K84" s="88">
        <f t="shared" ca="1" si="8"/>
        <v>6.9615542540787168E-2</v>
      </c>
      <c r="L84" s="88">
        <f t="shared" ca="1" si="9"/>
        <v>0.15240487039867112</v>
      </c>
    </row>
    <row r="85" spans="8:12" x14ac:dyDescent="0.25">
      <c r="H85" s="80">
        <f ca="1"/>
        <v>1.0349020274344172</v>
      </c>
      <c r="I85" s="80">
        <f ca="1"/>
        <v>-8.3546314392692472E-2</v>
      </c>
      <c r="J85" s="86">
        <f ca="1"/>
        <v>93.5</v>
      </c>
      <c r="K85" s="88">
        <f t="shared" ca="1" si="8"/>
        <v>6.4581593424618333E-2</v>
      </c>
      <c r="L85" s="88">
        <f t="shared" ca="1" si="9"/>
        <v>0.14698128851519199</v>
      </c>
    </row>
    <row r="86" spans="8:12" x14ac:dyDescent="0.25">
      <c r="H86" s="80">
        <f ca="1"/>
        <v>1.0301119886446697</v>
      </c>
      <c r="I86" s="80">
        <f ca="1"/>
        <v>-7.2080215827690433E-2</v>
      </c>
      <c r="J86" s="87">
        <f ca="1"/>
        <v>94.5</v>
      </c>
      <c r="K86" s="88">
        <f t="shared" ca="1" si="8"/>
        <v>5.9654182914082643E-2</v>
      </c>
      <c r="L86" s="88">
        <f t="shared" ca="1" si="9"/>
        <v>0.14167249143347904</v>
      </c>
    </row>
    <row r="87" spans="8:12" x14ac:dyDescent="0.25">
      <c r="H87" s="80">
        <f ca="1"/>
        <v>1.0254222648033986</v>
      </c>
      <c r="I87" s="80">
        <f ca="1"/>
        <v>-6.0854244981327181E-2</v>
      </c>
      <c r="J87" s="86">
        <f ca="1"/>
        <v>95.5</v>
      </c>
      <c r="K87" s="88">
        <f t="shared" ca="1" si="8"/>
        <v>5.4829964246699614E-2</v>
      </c>
      <c r="L87" s="88">
        <f t="shared" ca="1" si="9"/>
        <v>0.13647487334824238</v>
      </c>
    </row>
    <row r="88" spans="8:12" x14ac:dyDescent="0.25">
      <c r="H88" s="80">
        <f ca="1"/>
        <v>1.0208297373111694</v>
      </c>
      <c r="I88" s="80">
        <f ca="1"/>
        <v>-4.9860936743178715E-2</v>
      </c>
      <c r="J88" s="86">
        <f ca="1"/>
        <v>96.5</v>
      </c>
      <c r="K88" s="88">
        <f t="shared" ca="1" si="8"/>
        <v>5.0105729385894193E-2</v>
      </c>
      <c r="L88" s="88">
        <f t="shared" ca="1" si="9"/>
        <v>0.13138497791762149</v>
      </c>
    </row>
    <row r="89" spans="8:12" x14ac:dyDescent="0.25">
      <c r="H89" s="80">
        <f ca="1"/>
        <v>1.0163314155110885</v>
      </c>
      <c r="I89" s="80">
        <f ca="1"/>
        <v>-3.9093132263761494E-2</v>
      </c>
      <c r="J89" s="86">
        <f ca="1"/>
        <v>97.5</v>
      </c>
      <c r="K89" s="88">
        <f t="shared" ca="1" si="8"/>
        <v>4.5478401906849042E-2</v>
      </c>
      <c r="L89" s="88">
        <f t="shared" ca="1" si="9"/>
        <v>0.12639949059839828</v>
      </c>
    </row>
    <row r="90" spans="8:12" x14ac:dyDescent="0.25">
      <c r="H90" s="80">
        <f ca="1"/>
        <v>1.011924430194258</v>
      </c>
      <c r="I90" s="80">
        <f ca="1"/>
        <v>-2.8543963408291836E-2</v>
      </c>
      <c r="J90" s="86">
        <f ca="1"/>
        <v>98.5</v>
      </c>
      <c r="K90" s="88">
        <f t="shared" ca="1" si="8"/>
        <v>4.094503031570329E-2</v>
      </c>
      <c r="L90" s="88">
        <f t="shared" ca="1" si="9"/>
        <v>0.1215152314480934</v>
      </c>
    </row>
    <row r="91" spans="8:12" x14ac:dyDescent="0.25">
      <c r="H91" s="80">
        <f ca="1"/>
        <v>1.0076060274968615</v>
      </c>
      <c r="I91" s="80">
        <f ca="1"/>
        <v>-1.8206838147906992E-2</v>
      </c>
      <c r="J91" s="86">
        <f ca="1"/>
        <v>99.5</v>
      </c>
      <c r="K91" s="88">
        <f t="shared" ca="1" si="8"/>
        <v>3.6502781771615922E-2</v>
      </c>
      <c r="L91" s="88">
        <f t="shared" ca="1" si="9"/>
        <v>0.11672914836111126</v>
      </c>
    </row>
    <row r="92" spans="8:12" x14ac:dyDescent="0.25">
      <c r="H92" s="80">
        <f ca="1"/>
        <v>1.0033735631616019</v>
      </c>
      <c r="I92" s="80">
        <f ca="1"/>
        <v>-8.0754268230521977E-3</v>
      </c>
      <c r="J92" s="86">
        <f ca="1"/>
        <v>100.5</v>
      </c>
      <c r="K92" s="88">
        <f t="shared" ca="1" si="8"/>
        <v>3.2148936183629573E-2</v>
      </c>
      <c r="L92" s="88">
        <f t="shared" ca="1" si="9"/>
        <v>0.11203831070869552</v>
      </c>
    </row>
    <row r="93" spans="8:12" x14ac:dyDescent="0.25">
      <c r="H93" s="80">
        <f ca="1"/>
        <v>0.99922449713836725</v>
      </c>
      <c r="I93" s="80">
        <f ca="1"/>
        <v>1.8563507811158052E-3</v>
      </c>
      <c r="J93" s="86">
        <f ca="1"/>
        <v>101.5</v>
      </c>
      <c r="K93" s="88">
        <f t="shared" ca="1" si="8"/>
        <v>2.7880880656490303E-2</v>
      </c>
      <c r="L93" s="88">
        <f t="shared" ca="1" si="9"/>
        <v>0.10743990335484987</v>
      </c>
    </row>
    <row r="95" spans="8:12" x14ac:dyDescent="0.25">
      <c r="H95" t="str" cm="1">
        <f t="array" aca="1" ref="H95:J109" ca="1">H63:J77</f>
        <v>Variação ajustada pela Duration</v>
      </c>
      <c r="I95" t="str">
        <f ca="1"/>
        <v>Variação vs PL</v>
      </c>
      <c r="J95" t="str">
        <f ca="1"/>
        <v>Preço Mercado</v>
      </c>
      <c r="K95" t="s">
        <v>160</v>
      </c>
      <c r="L95" t="s">
        <v>161</v>
      </c>
    </row>
    <row r="96" spans="8:12" x14ac:dyDescent="0.25">
      <c r="H96" s="80">
        <f ca="1"/>
        <v>1.0604759633457805</v>
      </c>
      <c r="I96" s="80">
        <f ca="1"/>
        <v>-0.1447636202905847</v>
      </c>
      <c r="J96" s="86">
        <f ca="1"/>
        <v>88.5</v>
      </c>
      <c r="K96" s="88">
        <f t="shared" ref="K96:K109" ca="1" si="10">(1+L64)/(1+$I$49)-1</f>
        <v>8.7220958972716645E-2</v>
      </c>
      <c r="L96" s="88">
        <f t="shared" ref="L96:L109" ca="1" si="11">(1+L64)/(1+$I$50)-1</f>
        <v>0.17137296391885148</v>
      </c>
    </row>
    <row r="97" spans="8:12" x14ac:dyDescent="0.25">
      <c r="H97" s="80">
        <f ca="1"/>
        <v>1.0551325823229594</v>
      </c>
      <c r="I97" s="80">
        <f ca="1"/>
        <v>-0.13197296531527089</v>
      </c>
      <c r="J97" s="86">
        <f ca="1"/>
        <v>89.5</v>
      </c>
      <c r="K97" s="88">
        <f t="shared" ca="1" si="10"/>
        <v>8.1742818929391614E-2</v>
      </c>
      <c r="L97" s="88">
        <f t="shared" ca="1" si="11"/>
        <v>0.16547081027993027</v>
      </c>
    </row>
    <row r="98" spans="8:12" x14ac:dyDescent="0.25">
      <c r="H98" s="80">
        <f ca="1"/>
        <v>1.0499072870685984</v>
      </c>
      <c r="I98" s="80">
        <f ca="1"/>
        <v>-0.11946497674825134</v>
      </c>
      <c r="J98" s="86">
        <f ca="1"/>
        <v>90.5</v>
      </c>
      <c r="K98" s="88">
        <f t="shared" ca="1" si="10"/>
        <v>7.6385742754427444E-2</v>
      </c>
      <c r="L98" s="88">
        <f t="shared" ca="1" si="11"/>
        <v>0.15969909097557111</v>
      </c>
    </row>
    <row r="99" spans="8:12" x14ac:dyDescent="0.25">
      <c r="H99" s="80">
        <f ca="1"/>
        <v>1.0447962059181577</v>
      </c>
      <c r="I99" s="80">
        <f ca="1"/>
        <v>-0.10723038683843437</v>
      </c>
      <c r="J99" s="86">
        <f ca="1"/>
        <v>91.5</v>
      </c>
      <c r="K99" s="88">
        <f t="shared" ca="1" si="10"/>
        <v>7.1145761140664288E-2</v>
      </c>
      <c r="L99" s="88">
        <f t="shared" ca="1" si="11"/>
        <v>0.15405352947021389</v>
      </c>
    </row>
    <row r="100" spans="8:12" x14ac:dyDescent="0.25">
      <c r="H100" s="80">
        <f ca="1"/>
        <v>1.0397956346304293</v>
      </c>
      <c r="I100" s="80">
        <f ca="1"/>
        <v>-9.5260328602343194E-2</v>
      </c>
      <c r="J100" s="86">
        <f ca="1"/>
        <v>92.5</v>
      </c>
      <c r="K100" s="88">
        <f t="shared" ca="1" si="10"/>
        <v>6.6019076426658385E-2</v>
      </c>
      <c r="L100" s="88">
        <f t="shared" ca="1" si="11"/>
        <v>0.14853003415956723</v>
      </c>
    </row>
    <row r="101" spans="8:12" x14ac:dyDescent="0.25">
      <c r="H101" s="80">
        <f ca="1"/>
        <v>1.0349020274344172</v>
      </c>
      <c r="I101" s="80">
        <f ca="1"/>
        <v>-8.3546314392692472E-2</v>
      </c>
      <c r="J101" s="86">
        <f ca="1"/>
        <v>93.5</v>
      </c>
      <c r="K101" s="88">
        <f t="shared" ca="1" si="10"/>
        <v>6.1002053417765101E-2</v>
      </c>
      <c r="L101" s="88">
        <f t="shared" ca="1" si="11"/>
        <v>0.14312468848123383</v>
      </c>
    </row>
    <row r="102" spans="8:12" x14ac:dyDescent="0.25">
      <c r="H102" s="80">
        <f ca="1"/>
        <v>1.0301119886446697</v>
      </c>
      <c r="I102" s="80">
        <f ca="1"/>
        <v>-7.2080215827690433E-2</v>
      </c>
      <c r="J102" s="87">
        <f ca="1"/>
        <v>94.5</v>
      </c>
      <c r="K102" s="88">
        <f t="shared" ca="1" si="10"/>
        <v>5.6091210790012225E-2</v>
      </c>
      <c r="L102" s="88">
        <f t="shared" ca="1" si="11"/>
        <v>0.13783374165323581</v>
      </c>
    </row>
    <row r="103" spans="8:12" x14ac:dyDescent="0.25">
      <c r="H103" s="80">
        <f ca="1"/>
        <v>1.0254222648033986</v>
      </c>
      <c r="I103" s="80">
        <f ca="1"/>
        <v>-6.0854244981327181E-2</v>
      </c>
      <c r="J103" s="86">
        <f ca="1"/>
        <v>95.5</v>
      </c>
      <c r="K103" s="88">
        <f t="shared" ca="1" si="10"/>
        <v>5.1283213034044817E-2</v>
      </c>
      <c r="L103" s="88">
        <f t="shared" ca="1" si="11"/>
        <v>0.13265359999441029</v>
      </c>
    </row>
    <row r="104" spans="8:12" x14ac:dyDescent="0.25">
      <c r="H104" s="80">
        <f ca="1"/>
        <v>1.0208297373111694</v>
      </c>
      <c r="I104" s="80">
        <f ca="1"/>
        <v>-4.9860936743178715E-2</v>
      </c>
      <c r="J104" s="86">
        <f ca="1"/>
        <v>96.5</v>
      </c>
      <c r="K104" s="88">
        <f t="shared" ca="1" si="10"/>
        <v>4.6574862899962488E-2</v>
      </c>
      <c r="L104" s="88">
        <f t="shared" ca="1" si="11"/>
        <v>0.12758081878447225</v>
      </c>
    </row>
    <row r="105" spans="8:12" x14ac:dyDescent="0.25">
      <c r="H105" s="80">
        <f ca="1"/>
        <v>1.0163314155110885</v>
      </c>
      <c r="I105" s="80">
        <f ca="1"/>
        <v>-3.9093132263761494E-2</v>
      </c>
      <c r="J105" s="86">
        <f ca="1"/>
        <v>97.5</v>
      </c>
      <c r="K105" s="88">
        <f t="shared" ca="1" si="10"/>
        <v>4.1963094307092552E-2</v>
      </c>
      <c r="L105" s="88">
        <f t="shared" ca="1" si="11"/>
        <v>0.12261209462499467</v>
      </c>
    </row>
    <row r="106" spans="8:12" x14ac:dyDescent="0.25">
      <c r="H106" s="80">
        <f ca="1"/>
        <v>1.011924430194258</v>
      </c>
      <c r="I106" s="80">
        <f ca="1"/>
        <v>-2.8543963408291836E-2</v>
      </c>
      <c r="J106" s="86">
        <f ca="1"/>
        <v>98.5</v>
      </c>
      <c r="K106" s="88">
        <f t="shared" ca="1" si="10"/>
        <v>3.7444965685651033E-2</v>
      </c>
      <c r="L106" s="88">
        <f t="shared" ca="1" si="11"/>
        <v>0.11774425826570933</v>
      </c>
    </row>
    <row r="107" spans="8:12" x14ac:dyDescent="0.25">
      <c r="H107" s="80">
        <f ca="1"/>
        <v>1.0076060274968615</v>
      </c>
      <c r="I107" s="80">
        <f ca="1"/>
        <v>-1.8206838147906992E-2</v>
      </c>
      <c r="J107" s="86">
        <f ca="1"/>
        <v>99.5</v>
      </c>
      <c r="K107" s="88">
        <f t="shared" ca="1" si="10"/>
        <v>3.3017653719917162E-2</v>
      </c>
      <c r="L107" s="88">
        <f t="shared" ca="1" si="11"/>
        <v>0.11297426786339493</v>
      </c>
    </row>
    <row r="108" spans="8:12" x14ac:dyDescent="0.25">
      <c r="H108" s="80">
        <f ca="1"/>
        <v>1.0033735631616019</v>
      </c>
      <c r="I108" s="80">
        <f ca="1"/>
        <v>-8.0754268230521977E-3</v>
      </c>
      <c r="J108" s="86">
        <f ca="1"/>
        <v>100.5</v>
      </c>
      <c r="K108" s="88">
        <f t="shared" ca="1" si="10"/>
        <v>2.8678447464943968E-2</v>
      </c>
      <c r="L108" s="88">
        <f t="shared" ca="1" si="11"/>
        <v>0.10829920264321569</v>
      </c>
    </row>
    <row r="109" spans="8:12" x14ac:dyDescent="0.25">
      <c r="H109" s="80">
        <f ca="1"/>
        <v>0.99922449713836725</v>
      </c>
      <c r="I109" s="80">
        <f ca="1"/>
        <v>1.8563507811158052E-3</v>
      </c>
      <c r="J109" s="86">
        <f ca="1"/>
        <v>101.5</v>
      </c>
      <c r="K109" s="88">
        <f t="shared" ca="1" si="10"/>
        <v>2.4424742811054223E-2</v>
      </c>
      <c r="L109" s="88">
        <f t="shared" ca="1" si="11"/>
        <v>0.10371625693476427</v>
      </c>
    </row>
    <row r="111" spans="8:12" x14ac:dyDescent="0.25">
      <c r="H111" t="str" cm="1">
        <f t="array" aca="1" ref="H111:J125" ca="1">H63:J77</f>
        <v>Variação ajustada pela Duration</v>
      </c>
      <c r="I111" t="str">
        <f ca="1"/>
        <v>Variação vs PL</v>
      </c>
      <c r="J111" t="str">
        <f ca="1"/>
        <v>Preço Mercado</v>
      </c>
      <c r="K111" t="s">
        <v>162</v>
      </c>
      <c r="L111" t="s">
        <v>163</v>
      </c>
    </row>
    <row r="112" spans="8:12" x14ac:dyDescent="0.25">
      <c r="H112">
        <f ca="1"/>
        <v>1.0604759633457805</v>
      </c>
      <c r="I112">
        <f ca="1"/>
        <v>-0.1447636202905847</v>
      </c>
      <c r="J112" s="86">
        <f ca="1"/>
        <v>88.5</v>
      </c>
      <c r="K112" s="88">
        <f t="shared" ref="K112:L125" ca="1" si="12">K96-$I$21</f>
        <v>7.1220958972716644E-2</v>
      </c>
      <c r="L112" s="88">
        <f t="shared" ca="1" si="12"/>
        <v>0.15537296391885147</v>
      </c>
    </row>
    <row r="113" spans="8:12" x14ac:dyDescent="0.25">
      <c r="H113">
        <f ca="1"/>
        <v>1.0551325823229594</v>
      </c>
      <c r="I113">
        <f ca="1"/>
        <v>-0.13197296531527089</v>
      </c>
      <c r="J113" s="86">
        <f ca="1"/>
        <v>89.5</v>
      </c>
      <c r="K113" s="88">
        <f t="shared" ca="1" si="12"/>
        <v>6.5742818929391614E-2</v>
      </c>
      <c r="L113" s="88">
        <f t="shared" ca="1" si="12"/>
        <v>0.14947081027993026</v>
      </c>
    </row>
    <row r="114" spans="8:12" x14ac:dyDescent="0.25">
      <c r="H114">
        <f ca="1"/>
        <v>1.0499072870685984</v>
      </c>
      <c r="I114">
        <f ca="1"/>
        <v>-0.11946497674825134</v>
      </c>
      <c r="J114" s="86">
        <f ca="1"/>
        <v>90.5</v>
      </c>
      <c r="K114" s="88">
        <f t="shared" ca="1" si="12"/>
        <v>6.0385742754427443E-2</v>
      </c>
      <c r="L114" s="88">
        <f t="shared" ca="1" si="12"/>
        <v>0.1436990909755711</v>
      </c>
    </row>
    <row r="115" spans="8:12" x14ac:dyDescent="0.25">
      <c r="H115">
        <f ca="1"/>
        <v>1.0447962059181577</v>
      </c>
      <c r="I115">
        <f ca="1"/>
        <v>-0.10723038683843437</v>
      </c>
      <c r="J115" s="86">
        <f ca="1"/>
        <v>91.5</v>
      </c>
      <c r="K115" s="88">
        <f t="shared" ca="1" si="12"/>
        <v>5.5145761140664287E-2</v>
      </c>
      <c r="L115" s="88">
        <f t="shared" ca="1" si="12"/>
        <v>0.13805352947021388</v>
      </c>
    </row>
    <row r="116" spans="8:12" x14ac:dyDescent="0.25">
      <c r="H116">
        <f ca="1"/>
        <v>1.0397956346304293</v>
      </c>
      <c r="I116">
        <f ca="1"/>
        <v>-9.5260328602343194E-2</v>
      </c>
      <c r="J116" s="86">
        <f ca="1"/>
        <v>92.5</v>
      </c>
      <c r="K116" s="88">
        <f t="shared" ca="1" si="12"/>
        <v>5.0019076426658385E-2</v>
      </c>
      <c r="L116" s="88">
        <f t="shared" ca="1" si="12"/>
        <v>0.13253003415956721</v>
      </c>
    </row>
    <row r="117" spans="8:12" x14ac:dyDescent="0.25">
      <c r="H117">
        <f ca="1"/>
        <v>1.0349020274344172</v>
      </c>
      <c r="I117">
        <f ca="1"/>
        <v>-8.3546314392692472E-2</v>
      </c>
      <c r="J117" s="86">
        <f ca="1"/>
        <v>93.5</v>
      </c>
      <c r="K117" s="88">
        <f t="shared" ca="1" si="12"/>
        <v>4.50020534177651E-2</v>
      </c>
      <c r="L117" s="88">
        <f t="shared" ca="1" si="12"/>
        <v>0.12712468848123382</v>
      </c>
    </row>
    <row r="118" spans="8:12" x14ac:dyDescent="0.25">
      <c r="H118">
        <f ca="1"/>
        <v>1.0301119886446697</v>
      </c>
      <c r="I118">
        <f ca="1"/>
        <v>-7.2080215827690433E-2</v>
      </c>
      <c r="J118" s="86">
        <f ca="1"/>
        <v>94.5</v>
      </c>
      <c r="K118" s="88">
        <f t="shared" ca="1" si="12"/>
        <v>4.0091210790012224E-2</v>
      </c>
      <c r="L118" s="88">
        <f t="shared" ca="1" si="12"/>
        <v>0.12183374165323581</v>
      </c>
    </row>
    <row r="119" spans="8:12" x14ac:dyDescent="0.25">
      <c r="H119">
        <f ca="1"/>
        <v>1.0254222648033986</v>
      </c>
      <c r="I119">
        <f ca="1"/>
        <v>-6.0854244981327181E-2</v>
      </c>
      <c r="J119" s="86">
        <f ca="1"/>
        <v>95.5</v>
      </c>
      <c r="K119" s="88">
        <f t="shared" ca="1" si="12"/>
        <v>3.5283213034044816E-2</v>
      </c>
      <c r="L119" s="88">
        <f t="shared" ca="1" si="12"/>
        <v>0.11665359999441029</v>
      </c>
    </row>
    <row r="120" spans="8:12" x14ac:dyDescent="0.25">
      <c r="H120">
        <f ca="1"/>
        <v>1.0208297373111694</v>
      </c>
      <c r="I120">
        <f ca="1"/>
        <v>-4.9860936743178715E-2</v>
      </c>
      <c r="J120" s="86">
        <f ca="1"/>
        <v>96.5</v>
      </c>
      <c r="K120" s="88">
        <f t="shared" ca="1" si="12"/>
        <v>3.0574862899962488E-2</v>
      </c>
      <c r="L120" s="88">
        <f t="shared" ca="1" si="12"/>
        <v>0.11158081878447225</v>
      </c>
    </row>
    <row r="121" spans="8:12" x14ac:dyDescent="0.25">
      <c r="H121">
        <f ca="1"/>
        <v>1.0163314155110885</v>
      </c>
      <c r="I121">
        <f ca="1"/>
        <v>-3.9093132263761494E-2</v>
      </c>
      <c r="J121" s="86">
        <f ca="1"/>
        <v>97.5</v>
      </c>
      <c r="K121" s="88">
        <f t="shared" ca="1" si="12"/>
        <v>2.5963094307092552E-2</v>
      </c>
      <c r="L121" s="88">
        <f t="shared" ca="1" si="12"/>
        <v>0.10661209462499467</v>
      </c>
    </row>
    <row r="122" spans="8:12" x14ac:dyDescent="0.25">
      <c r="H122">
        <f ca="1"/>
        <v>1.011924430194258</v>
      </c>
      <c r="I122">
        <f ca="1"/>
        <v>-2.8543963408291836E-2</v>
      </c>
      <c r="J122" s="86">
        <f ca="1"/>
        <v>98.5</v>
      </c>
      <c r="K122" s="88">
        <f t="shared" ca="1" si="12"/>
        <v>2.1444965685651032E-2</v>
      </c>
      <c r="L122" s="88">
        <f t="shared" ca="1" si="12"/>
        <v>0.10174425826570933</v>
      </c>
    </row>
    <row r="123" spans="8:12" x14ac:dyDescent="0.25">
      <c r="H123">
        <f ca="1"/>
        <v>1.0076060274968615</v>
      </c>
      <c r="I123">
        <f ca="1"/>
        <v>-1.8206838147906992E-2</v>
      </c>
      <c r="J123" s="86">
        <f ca="1"/>
        <v>99.5</v>
      </c>
      <c r="K123" s="88">
        <f t="shared" ca="1" si="12"/>
        <v>1.7017653719917161E-2</v>
      </c>
      <c r="L123" s="88">
        <f t="shared" ca="1" si="12"/>
        <v>9.6974267863394928E-2</v>
      </c>
    </row>
    <row r="124" spans="8:12" x14ac:dyDescent="0.25">
      <c r="H124">
        <f ca="1"/>
        <v>1.0033735631616019</v>
      </c>
      <c r="I124">
        <f ca="1"/>
        <v>-8.0754268230521977E-3</v>
      </c>
      <c r="J124" s="86">
        <f ca="1"/>
        <v>100.5</v>
      </c>
      <c r="K124" s="88">
        <f t="shared" ca="1" si="12"/>
        <v>1.2678447464943968E-2</v>
      </c>
      <c r="L124" s="88">
        <f t="shared" ca="1" si="12"/>
        <v>9.2299202643215686E-2</v>
      </c>
    </row>
    <row r="125" spans="8:12" x14ac:dyDescent="0.25">
      <c r="H125">
        <f ca="1"/>
        <v>0.99922449713836725</v>
      </c>
      <c r="I125">
        <f ca="1"/>
        <v>1.8563507811158052E-3</v>
      </c>
      <c r="J125" s="86">
        <f ca="1"/>
        <v>101.5</v>
      </c>
      <c r="K125" s="88">
        <f t="shared" ca="1" si="12"/>
        <v>8.4247428110542227E-3</v>
      </c>
      <c r="L125" s="88">
        <f t="shared" ca="1" si="12"/>
        <v>8.7716256934764272E-2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F1ED44333645A469AECC2AEEFEE6605" ma:contentTypeVersion="13" ma:contentTypeDescription="Crie um novo documento." ma:contentTypeScope="" ma:versionID="a7673aab6f9df2a609075a6189770bf7">
  <xsd:schema xmlns:xsd="http://www.w3.org/2001/XMLSchema" xmlns:xs="http://www.w3.org/2001/XMLSchema" xmlns:p="http://schemas.microsoft.com/office/2006/metadata/properties" xmlns:ns2="93477490-447c-40b5-9161-7709cf92fcd6" xmlns:ns3="cde9475b-d5d7-4df4-a7a9-2e86df0fc127" targetNamespace="http://schemas.microsoft.com/office/2006/metadata/properties" ma:root="true" ma:fieldsID="bd7384557d9b54f87fbed183db5dd311" ns2:_="" ns3:_="">
    <xsd:import namespace="93477490-447c-40b5-9161-7709cf92fcd6"/>
    <xsd:import namespace="cde9475b-d5d7-4df4-a7a9-2e86df0fc1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77490-447c-40b5-9161-7709cf92fc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1225be19-ce8b-4db1-952c-c17f45b27c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9475b-d5d7-4df4-a7a9-2e86df0fc12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ab9ab8-476c-4285-853f-ca2e3119f1d5}" ma:internalName="TaxCatchAll" ma:showField="CatchAllData" ma:web="cde9475b-d5d7-4df4-a7a9-2e86df0fc1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59B112-5957-4313-8973-927647717C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939235-B105-493B-8A64-1AF3887F0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477490-447c-40b5-9161-7709cf92fcd6"/>
    <ds:schemaRef ds:uri="cde9475b-d5d7-4df4-a7a9-2e86df0fc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Carteira de CRIs</vt:lpstr>
      <vt:lpstr>Resultado PRI</vt:lpstr>
      <vt:lpstr>Sensibilidade</vt:lpstr>
      <vt:lpstr>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Ruza Santos</dc:creator>
  <cp:lastModifiedBy>Thomaz Pougy</cp:lastModifiedBy>
  <dcterms:created xsi:type="dcterms:W3CDTF">2021-07-07T18:58:53Z</dcterms:created>
  <dcterms:modified xsi:type="dcterms:W3CDTF">2023-05-15T14:22:28Z</dcterms:modified>
</cp:coreProperties>
</file>