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EstaPastaDeTrabalho" hidePivotFieldList="1"/>
  <mc:AlternateContent xmlns:mc="http://schemas.openxmlformats.org/markup-compatibility/2006">
    <mc:Choice Requires="x15">
      <x15ac:absPath xmlns:x15ac="http://schemas.microsoft.com/office/spreadsheetml/2010/11/ac" url="https://dasanet-my.sharepoint.com/personal/lais_lobao_dasa_com_br/Documents/RI DASA3/01. Divulgação de Resultados/2024/1T24/6. Planilha dinâmica site/"/>
    </mc:Choice>
  </mc:AlternateContent>
  <xr:revisionPtr revIDLastSave="425" documentId="8_{A5E101A4-8A77-417C-B0FC-D19F025DC86D}" xr6:coauthVersionLast="47" xr6:coauthVersionMax="47" xr10:uidLastSave="{B5A14DE6-7CAA-47FB-B9DC-C6A774663BD9}"/>
  <bookViews>
    <workbookView xWindow="20370" yWindow="-120" windowWidth="29040" windowHeight="15840" tabRatio="602" xr2:uid="{00000000-000D-0000-FFFF-FFFF00000000}"/>
  </bookViews>
  <sheets>
    <sheet name="Contents" sheetId="11" r:id="rId1"/>
    <sheet name="1" sheetId="13" r:id="rId2"/>
    <sheet name="Lista" sheetId="14" state="hidden" r:id="rId3"/>
    <sheet name="2" sheetId="15" r:id="rId4"/>
    <sheet name="3" sheetId="20" r:id="rId5"/>
    <sheet name="4" sheetId="17" r:id="rId6"/>
    <sheet name="5" sheetId="21" r:id="rId7"/>
    <sheet name="6" sheetId="1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8" i="19" l="1"/>
  <c r="R78" i="19"/>
  <c r="S77" i="19"/>
  <c r="R77" i="19"/>
  <c r="S76" i="19"/>
  <c r="R76" i="19"/>
  <c r="S75" i="19"/>
  <c r="R75" i="19"/>
  <c r="S74" i="19"/>
  <c r="R74" i="19"/>
  <c r="S73" i="19"/>
  <c r="R73" i="19"/>
  <c r="S70" i="19"/>
  <c r="R70" i="19"/>
  <c r="S68" i="19"/>
  <c r="R68" i="19"/>
  <c r="S67" i="19"/>
  <c r="R67" i="19"/>
  <c r="S66" i="19"/>
  <c r="R66" i="19"/>
  <c r="S65" i="19"/>
  <c r="R65" i="19"/>
  <c r="S64" i="19"/>
  <c r="R64" i="19"/>
  <c r="S63" i="19"/>
  <c r="R63" i="19"/>
  <c r="S62" i="19"/>
  <c r="R62" i="19"/>
  <c r="S61" i="19"/>
  <c r="R61" i="19"/>
  <c r="S60" i="19"/>
  <c r="R60" i="19"/>
  <c r="S59" i="19"/>
  <c r="R59" i="19"/>
  <c r="S58" i="19"/>
  <c r="R58" i="19"/>
  <c r="S57" i="19"/>
  <c r="R57" i="19"/>
  <c r="S56" i="19"/>
  <c r="R56" i="19"/>
  <c r="S55" i="19"/>
  <c r="R55" i="19"/>
  <c r="S53" i="19"/>
  <c r="R53" i="19"/>
  <c r="S52" i="19"/>
  <c r="R52" i="19"/>
  <c r="S51" i="19"/>
  <c r="R51" i="19"/>
  <c r="S50" i="19"/>
  <c r="R50" i="19"/>
  <c r="S49" i="19"/>
  <c r="R49" i="19"/>
  <c r="S48" i="19"/>
  <c r="R48" i="19"/>
  <c r="S47" i="19"/>
  <c r="R47" i="19"/>
  <c r="S46" i="19"/>
  <c r="R46" i="19"/>
  <c r="S45" i="19"/>
  <c r="R45" i="19"/>
  <c r="S44" i="19"/>
  <c r="R44" i="19"/>
  <c r="S43" i="19"/>
  <c r="R43" i="19"/>
  <c r="S42" i="19"/>
  <c r="R42" i="19"/>
  <c r="S41" i="19"/>
  <c r="R41" i="19"/>
  <c r="S40" i="19"/>
  <c r="R40" i="19"/>
  <c r="S39" i="19"/>
  <c r="R39" i="19"/>
  <c r="S35" i="19"/>
  <c r="R35" i="19"/>
  <c r="S34" i="19"/>
  <c r="R34" i="19"/>
  <c r="S33" i="19"/>
  <c r="R33" i="19"/>
  <c r="S32" i="19"/>
  <c r="R32" i="19"/>
  <c r="S31" i="19"/>
  <c r="R31" i="19"/>
  <c r="S30" i="19"/>
  <c r="R30" i="19"/>
  <c r="S29" i="19"/>
  <c r="R29" i="19"/>
  <c r="S28" i="19"/>
  <c r="R28" i="19"/>
  <c r="S27" i="19"/>
  <c r="R27" i="19"/>
  <c r="S26" i="19"/>
  <c r="R26" i="19"/>
  <c r="S25" i="19"/>
  <c r="R25" i="19"/>
  <c r="S24" i="19"/>
  <c r="R24" i="19"/>
  <c r="S23" i="19"/>
  <c r="R23" i="19"/>
  <c r="S22" i="19"/>
  <c r="R22" i="19"/>
  <c r="S21" i="19"/>
  <c r="R21" i="19"/>
  <c r="S20" i="19"/>
  <c r="R20" i="19"/>
  <c r="S19" i="19"/>
  <c r="R19" i="19"/>
  <c r="S18" i="19"/>
  <c r="R18" i="19"/>
  <c r="S17" i="19"/>
  <c r="R17" i="19"/>
  <c r="S16" i="19"/>
  <c r="R16" i="19"/>
  <c r="S15" i="19"/>
  <c r="R15" i="19"/>
  <c r="S14" i="19"/>
  <c r="R14" i="19"/>
  <c r="S13" i="19"/>
  <c r="R13" i="19"/>
  <c r="S12" i="19"/>
  <c r="R12" i="19"/>
  <c r="S11" i="19"/>
  <c r="R11" i="19"/>
  <c r="S10" i="19"/>
  <c r="R10" i="19"/>
  <c r="S9" i="19"/>
  <c r="R9" i="19"/>
  <c r="O78" i="19"/>
  <c r="O77" i="19"/>
  <c r="O68" i="19"/>
  <c r="O53" i="19"/>
  <c r="O29" i="19"/>
  <c r="O34" i="19" s="1"/>
  <c r="O35" i="19" s="1"/>
  <c r="O18" i="19"/>
  <c r="P23" i="21"/>
  <c r="P21" i="21"/>
  <c r="P18" i="21"/>
  <c r="P15" i="21"/>
  <c r="T23" i="21"/>
  <c r="T21" i="21"/>
  <c r="T18" i="21"/>
  <c r="T17" i="21"/>
  <c r="T16" i="21"/>
  <c r="T15" i="21"/>
  <c r="T14" i="21"/>
  <c r="T13" i="21"/>
  <c r="T12" i="21"/>
  <c r="T11" i="21"/>
  <c r="T10" i="21"/>
  <c r="T9" i="21"/>
  <c r="T8" i="21"/>
  <c r="T7" i="21"/>
  <c r="S23" i="21"/>
  <c r="S21" i="21"/>
  <c r="S18" i="21"/>
  <c r="S17" i="21"/>
  <c r="S16" i="21"/>
  <c r="S15" i="21"/>
  <c r="S14" i="21"/>
  <c r="S13" i="21"/>
  <c r="S12" i="21"/>
  <c r="S11" i="21"/>
  <c r="S10" i="21"/>
  <c r="S9" i="21"/>
  <c r="S8" i="21"/>
  <c r="S7" i="21"/>
  <c r="U33" i="17"/>
  <c r="U32" i="17"/>
  <c r="U31" i="17"/>
  <c r="U30" i="17"/>
  <c r="U26" i="17"/>
  <c r="U21" i="17" s="1"/>
  <c r="U13" i="17"/>
  <c r="U15" i="17" s="1"/>
  <c r="U16" i="17" s="1"/>
  <c r="U10" i="17"/>
  <c r="U7" i="17"/>
  <c r="W20" i="20"/>
  <c r="V20" i="20"/>
  <c r="W19" i="20"/>
  <c r="V19" i="20"/>
  <c r="W18" i="20"/>
  <c r="W21" i="20" s="1"/>
  <c r="V18" i="20"/>
  <c r="W17" i="20"/>
  <c r="V17" i="20"/>
  <c r="X19" i="20"/>
  <c r="X20" i="20" s="1"/>
  <c r="X18" i="20"/>
  <c r="X17" i="20"/>
  <c r="U21" i="20"/>
  <c r="U20" i="20"/>
  <c r="U11" i="20"/>
  <c r="U13" i="20" s="1"/>
  <c r="U14" i="20" s="1"/>
  <c r="U8" i="20"/>
  <c r="U12" i="15"/>
  <c r="U11" i="15"/>
  <c r="U17" i="15" s="1"/>
  <c r="X27" i="13"/>
  <c r="X20" i="13"/>
  <c r="X12" i="13"/>
  <c r="X11" i="13"/>
  <c r="X18" i="13" s="1"/>
  <c r="X8" i="13"/>
  <c r="V21" i="20" l="1"/>
  <c r="U22" i="17"/>
  <c r="U18" i="15"/>
  <c r="U22" i="15"/>
  <c r="X26" i="13"/>
  <c r="X31" i="13" s="1"/>
  <c r="X32" i="13" s="1"/>
  <c r="X19" i="13"/>
  <c r="T22" i="13" l="1"/>
  <c r="X34" i="13" l="1"/>
  <c r="W34" i="13"/>
  <c r="V34" i="13"/>
  <c r="U34" i="13"/>
  <c r="T34" i="13"/>
  <c r="S34" i="13"/>
  <c r="R34" i="13"/>
  <c r="Q34" i="13"/>
  <c r="P34" i="13"/>
  <c r="O34" i="13"/>
  <c r="N34" i="13"/>
  <c r="M34" i="13"/>
  <c r="L34" i="13"/>
  <c r="K34" i="13"/>
  <c r="J34" i="13"/>
  <c r="I34" i="13"/>
  <c r="H34" i="13"/>
  <c r="G34" i="13"/>
  <c r="F34" i="13"/>
  <c r="E34" i="13"/>
  <c r="D34" i="13"/>
  <c r="N77" i="19" l="1"/>
  <c r="M77" i="19"/>
  <c r="L77" i="19"/>
  <c r="K77" i="19"/>
  <c r="J77" i="19"/>
  <c r="I77" i="19"/>
  <c r="H77" i="19"/>
  <c r="G77" i="19"/>
  <c r="F77" i="19"/>
  <c r="E77" i="19"/>
  <c r="D77" i="19"/>
  <c r="N68" i="19"/>
  <c r="M68" i="19"/>
  <c r="L68" i="19"/>
  <c r="K68" i="19"/>
  <c r="J68" i="19"/>
  <c r="I68" i="19"/>
  <c r="H68" i="19"/>
  <c r="G68" i="19"/>
  <c r="F68" i="19"/>
  <c r="E68" i="19"/>
  <c r="D68" i="19"/>
  <c r="N53" i="19"/>
  <c r="M53" i="19"/>
  <c r="L53" i="19"/>
  <c r="K53" i="19"/>
  <c r="J53" i="19"/>
  <c r="I53" i="19"/>
  <c r="H53" i="19"/>
  <c r="G53" i="19"/>
  <c r="F53" i="19"/>
  <c r="E53" i="19"/>
  <c r="D53" i="19"/>
  <c r="N29" i="19"/>
  <c r="M29" i="19"/>
  <c r="L29" i="19"/>
  <c r="L34" i="19" s="1"/>
  <c r="K29" i="19"/>
  <c r="K34" i="19" s="1"/>
  <c r="J29" i="19"/>
  <c r="J34" i="19" s="1"/>
  <c r="I29" i="19"/>
  <c r="I34" i="19" s="1"/>
  <c r="H29" i="19"/>
  <c r="H34" i="19" s="1"/>
  <c r="G29" i="19"/>
  <c r="G34" i="19" s="1"/>
  <c r="F29" i="19"/>
  <c r="F34" i="19" s="1"/>
  <c r="E29" i="19"/>
  <c r="E34" i="19" s="1"/>
  <c r="D29" i="19"/>
  <c r="D34" i="19" s="1"/>
  <c r="N18" i="19"/>
  <c r="M18" i="19"/>
  <c r="L18" i="19"/>
  <c r="K18" i="19"/>
  <c r="J18" i="19"/>
  <c r="I18" i="19"/>
  <c r="H18" i="19"/>
  <c r="G18" i="19"/>
  <c r="F18" i="19"/>
  <c r="E18" i="19"/>
  <c r="D18" i="19"/>
  <c r="V20" i="21"/>
  <c r="U20" i="21"/>
  <c r="T20" i="21"/>
  <c r="S20" i="21"/>
  <c r="O15" i="21"/>
  <c r="O18" i="21" s="1"/>
  <c r="N15" i="21"/>
  <c r="N18" i="21" s="1"/>
  <c r="M15" i="21"/>
  <c r="M18" i="21" s="1"/>
  <c r="M23" i="21" s="1"/>
  <c r="L15" i="21"/>
  <c r="L18" i="21" s="1"/>
  <c r="L23" i="21" s="1"/>
  <c r="K15" i="21"/>
  <c r="K18" i="21" s="1"/>
  <c r="K23" i="21" s="1"/>
  <c r="J15" i="21"/>
  <c r="J18" i="21" s="1"/>
  <c r="J23" i="21" s="1"/>
  <c r="I15" i="21"/>
  <c r="I18" i="21" s="1"/>
  <c r="H15" i="21"/>
  <c r="H18" i="21" s="1"/>
  <c r="G15" i="21"/>
  <c r="G18" i="21" s="1"/>
  <c r="F15" i="21"/>
  <c r="F18" i="21" s="1"/>
  <c r="E15" i="21"/>
  <c r="E18" i="21" s="1"/>
  <c r="V14" i="21"/>
  <c r="U12" i="21"/>
  <c r="V11" i="21"/>
  <c r="V10" i="21"/>
  <c r="AB33" i="17"/>
  <c r="T33" i="17"/>
  <c r="AA33" i="17" s="1"/>
  <c r="S33" i="17"/>
  <c r="R33" i="17"/>
  <c r="N33" i="17"/>
  <c r="M33" i="17"/>
  <c r="L33" i="17"/>
  <c r="K33" i="17"/>
  <c r="G33" i="17"/>
  <c r="F33" i="17"/>
  <c r="E33" i="17"/>
  <c r="D33" i="17"/>
  <c r="T32" i="17"/>
  <c r="AA32" i="17" s="1"/>
  <c r="L32" i="17"/>
  <c r="AA31" i="17"/>
  <c r="T31" i="17"/>
  <c r="S31" i="17"/>
  <c r="R31" i="17"/>
  <c r="N31" i="17"/>
  <c r="M31" i="17"/>
  <c r="AB31" i="17" s="1"/>
  <c r="L31" i="17"/>
  <c r="K31" i="17"/>
  <c r="G31" i="17"/>
  <c r="F31" i="17"/>
  <c r="E31" i="17"/>
  <c r="D31" i="17"/>
  <c r="N30" i="17"/>
  <c r="AB29" i="17"/>
  <c r="AA29" i="17"/>
  <c r="X29" i="17"/>
  <c r="W29" i="17"/>
  <c r="W31" i="17" s="1"/>
  <c r="V29" i="17"/>
  <c r="V33" i="17" s="1"/>
  <c r="Q29" i="17"/>
  <c r="P29" i="17"/>
  <c r="O29" i="17"/>
  <c r="J29" i="17"/>
  <c r="I29" i="17"/>
  <c r="H29" i="17"/>
  <c r="T26" i="17"/>
  <c r="AA26" i="17" s="1"/>
  <c r="S26" i="17"/>
  <c r="S21" i="17" s="1"/>
  <c r="R26" i="17"/>
  <c r="R21" i="17" s="1"/>
  <c r="N26" i="17"/>
  <c r="N22" i="17" s="1"/>
  <c r="M26" i="17"/>
  <c r="AB26" i="17" s="1"/>
  <c r="L26" i="17"/>
  <c r="L21" i="17" s="1"/>
  <c r="K26" i="17"/>
  <c r="G26" i="17"/>
  <c r="F26" i="17"/>
  <c r="E26" i="17"/>
  <c r="D26" i="17"/>
  <c r="AB25" i="17"/>
  <c r="AA25" i="17"/>
  <c r="X25" i="17"/>
  <c r="W25" i="17"/>
  <c r="V25" i="17"/>
  <c r="Q25" i="17"/>
  <c r="P25" i="17"/>
  <c r="P26" i="17" s="1"/>
  <c r="P22" i="17" s="1"/>
  <c r="O25" i="17"/>
  <c r="J25" i="17"/>
  <c r="I25" i="17"/>
  <c r="H25" i="17"/>
  <c r="AB24" i="17"/>
  <c r="AA24" i="17"/>
  <c r="X24" i="17"/>
  <c r="X26" i="17" s="1"/>
  <c r="W24" i="17"/>
  <c r="W26" i="17" s="1"/>
  <c r="V24" i="17"/>
  <c r="V26" i="17" s="1"/>
  <c r="V22" i="17" s="1"/>
  <c r="Q24" i="17"/>
  <c r="P24" i="17"/>
  <c r="O24" i="17"/>
  <c r="J24" i="17"/>
  <c r="I24" i="17"/>
  <c r="I26" i="17" s="1"/>
  <c r="I22" i="17" s="1"/>
  <c r="H24" i="17"/>
  <c r="H26" i="17" s="1"/>
  <c r="H22" i="17" s="1"/>
  <c r="S22" i="17"/>
  <c r="R22" i="17"/>
  <c r="M22" i="17"/>
  <c r="AB22" i="17" s="1"/>
  <c r="L22" i="17"/>
  <c r="K22" i="17"/>
  <c r="G22" i="17"/>
  <c r="E22" i="17"/>
  <c r="D22" i="17"/>
  <c r="T21" i="17"/>
  <c r="AA21" i="17" s="1"/>
  <c r="K21" i="17"/>
  <c r="G21" i="17"/>
  <c r="E21" i="17"/>
  <c r="D21" i="17"/>
  <c r="AB20" i="17"/>
  <c r="AA20" i="17"/>
  <c r="X20" i="17"/>
  <c r="W20" i="17"/>
  <c r="V20" i="17"/>
  <c r="Q20" i="17"/>
  <c r="P20" i="17"/>
  <c r="O20" i="17"/>
  <c r="J20" i="17"/>
  <c r="I20" i="17"/>
  <c r="H20" i="17"/>
  <c r="AB19" i="17"/>
  <c r="AA19" i="17"/>
  <c r="X19" i="17"/>
  <c r="W19" i="17"/>
  <c r="V19" i="17"/>
  <c r="Q19" i="17"/>
  <c r="P19" i="17"/>
  <c r="O19" i="17"/>
  <c r="J19" i="17"/>
  <c r="I19" i="17"/>
  <c r="H19" i="17"/>
  <c r="AD18" i="17"/>
  <c r="AD28" i="17" s="1"/>
  <c r="AC18" i="17"/>
  <c r="AC28" i="17" s="1"/>
  <c r="AB18" i="17"/>
  <c r="AB28" i="17" s="1"/>
  <c r="AA18" i="17"/>
  <c r="AA28" i="17" s="1"/>
  <c r="AB14" i="17"/>
  <c r="AA14" i="17"/>
  <c r="X14" i="17"/>
  <c r="W14" i="17"/>
  <c r="V14" i="17"/>
  <c r="Q14" i="17"/>
  <c r="P14" i="17"/>
  <c r="O14" i="17"/>
  <c r="J14" i="17"/>
  <c r="I14" i="17"/>
  <c r="H14" i="17"/>
  <c r="M13" i="17"/>
  <c r="AB13" i="17" s="1"/>
  <c r="AB12" i="17"/>
  <c r="AA12" i="17"/>
  <c r="X12" i="17"/>
  <c r="W12" i="17"/>
  <c r="V12" i="17"/>
  <c r="V10" i="17" s="1"/>
  <c r="Q12" i="17"/>
  <c r="P12" i="17"/>
  <c r="O12" i="17"/>
  <c r="J12" i="17"/>
  <c r="I12" i="17"/>
  <c r="H12" i="17"/>
  <c r="AB11" i="17"/>
  <c r="AA11" i="17"/>
  <c r="X11" i="17"/>
  <c r="X10" i="17" s="1"/>
  <c r="W11" i="17"/>
  <c r="V11" i="17"/>
  <c r="Q11" i="17"/>
  <c r="P11" i="17"/>
  <c r="O11" i="17"/>
  <c r="O10" i="17" s="1"/>
  <c r="J11" i="17"/>
  <c r="J10" i="17" s="1"/>
  <c r="I11" i="17"/>
  <c r="I10" i="17" s="1"/>
  <c r="H11" i="17"/>
  <c r="T10" i="17"/>
  <c r="AA10" i="17" s="1"/>
  <c r="S10" i="17"/>
  <c r="R10" i="17"/>
  <c r="N10" i="17"/>
  <c r="M10" i="17"/>
  <c r="AB10" i="17" s="1"/>
  <c r="L10" i="17"/>
  <c r="K10" i="17"/>
  <c r="H10" i="17"/>
  <c r="G10" i="17"/>
  <c r="F10" i="17"/>
  <c r="E10" i="17"/>
  <c r="D10" i="17"/>
  <c r="AB9" i="17"/>
  <c r="AA9" i="17"/>
  <c r="X9" i="17"/>
  <c r="W9" i="17"/>
  <c r="V9" i="17"/>
  <c r="Q9" i="17"/>
  <c r="P9" i="17"/>
  <c r="O9" i="17"/>
  <c r="J9" i="17"/>
  <c r="I9" i="17"/>
  <c r="H9" i="17"/>
  <c r="AB8" i="17"/>
  <c r="AA8" i="17"/>
  <c r="X8" i="17"/>
  <c r="W8" i="17"/>
  <c r="V8" i="17"/>
  <c r="Q8" i="17"/>
  <c r="P8" i="17"/>
  <c r="O8" i="17"/>
  <c r="O33" i="17" s="1"/>
  <c r="J8" i="17"/>
  <c r="J33" i="17" s="1"/>
  <c r="I8" i="17"/>
  <c r="H8" i="17"/>
  <c r="T7" i="17"/>
  <c r="AA7" i="17" s="1"/>
  <c r="S7" i="17"/>
  <c r="S7" i="15" s="1"/>
  <c r="R7" i="17"/>
  <c r="R32" i="17" s="1"/>
  <c r="N7" i="17"/>
  <c r="N32" i="17" s="1"/>
  <c r="M7" i="17"/>
  <c r="L7" i="17"/>
  <c r="L30" i="17" s="1"/>
  <c r="K7" i="17"/>
  <c r="G7" i="17"/>
  <c r="G30" i="17" s="1"/>
  <c r="F7" i="17"/>
  <c r="F32" i="17" s="1"/>
  <c r="E7" i="17"/>
  <c r="E7" i="15" s="1"/>
  <c r="D7" i="17"/>
  <c r="D32" i="17" s="1"/>
  <c r="T21" i="20"/>
  <c r="S21" i="20"/>
  <c r="R21" i="20"/>
  <c r="N21" i="20"/>
  <c r="M21" i="20"/>
  <c r="L21" i="20"/>
  <c r="K21" i="20"/>
  <c r="G21" i="20"/>
  <c r="F21" i="20"/>
  <c r="E21" i="20"/>
  <c r="D21" i="20"/>
  <c r="T20" i="20"/>
  <c r="S20" i="20"/>
  <c r="R20" i="20"/>
  <c r="N20" i="20"/>
  <c r="M20" i="20"/>
  <c r="L20" i="20"/>
  <c r="K20" i="20"/>
  <c r="H20" i="20"/>
  <c r="G20" i="20"/>
  <c r="F20" i="20"/>
  <c r="E20" i="20"/>
  <c r="D20" i="20"/>
  <c r="AB19" i="20"/>
  <c r="AA19" i="20"/>
  <c r="AC19" i="20" s="1"/>
  <c r="Q19" i="20"/>
  <c r="P19" i="20"/>
  <c r="O19" i="20"/>
  <c r="J19" i="20"/>
  <c r="I19" i="20"/>
  <c r="H19" i="20"/>
  <c r="H21" i="20" s="1"/>
  <c r="AB18" i="20"/>
  <c r="AA18" i="20"/>
  <c r="Q18" i="20"/>
  <c r="P18" i="20"/>
  <c r="O18" i="20"/>
  <c r="J18" i="20"/>
  <c r="I18" i="20"/>
  <c r="H18" i="20"/>
  <c r="AA17" i="20"/>
  <c r="Q17" i="20"/>
  <c r="P17" i="20"/>
  <c r="AB17" i="20" s="1"/>
  <c r="O17" i="20"/>
  <c r="J17" i="20"/>
  <c r="I17" i="20"/>
  <c r="H17" i="20"/>
  <c r="AD16" i="20"/>
  <c r="AC16" i="20"/>
  <c r="AB16" i="20"/>
  <c r="AA16" i="20"/>
  <c r="T14" i="20"/>
  <c r="D14" i="20"/>
  <c r="X12" i="20"/>
  <c r="W12" i="20"/>
  <c r="AA12" i="20" s="1"/>
  <c r="V12" i="20"/>
  <c r="Q12" i="20"/>
  <c r="P12" i="20"/>
  <c r="AB12" i="20" s="1"/>
  <c r="O12" i="20"/>
  <c r="J12" i="20"/>
  <c r="I12" i="20"/>
  <c r="H12" i="20"/>
  <c r="S11" i="20"/>
  <c r="S13" i="20" s="1"/>
  <c r="S14" i="20" s="1"/>
  <c r="N11" i="20"/>
  <c r="N13" i="20" s="1"/>
  <c r="N14" i="20" s="1"/>
  <c r="K11" i="20"/>
  <c r="K13" i="20" s="1"/>
  <c r="K14" i="20" s="1"/>
  <c r="G11" i="20"/>
  <c r="G13" i="20" s="1"/>
  <c r="G14" i="20" s="1"/>
  <c r="X10" i="20"/>
  <c r="W10" i="20"/>
  <c r="AA10" i="20" s="1"/>
  <c r="V10" i="20"/>
  <c r="Q10" i="20"/>
  <c r="P10" i="20"/>
  <c r="AB10" i="20" s="1"/>
  <c r="O10" i="20"/>
  <c r="J10" i="20"/>
  <c r="I10" i="20"/>
  <c r="H10" i="20"/>
  <c r="X9" i="20"/>
  <c r="X8" i="20" s="1"/>
  <c r="W9" i="20"/>
  <c r="V9" i="20"/>
  <c r="V8" i="20" s="1"/>
  <c r="V11" i="20" s="1"/>
  <c r="V13" i="20" s="1"/>
  <c r="V14" i="20" s="1"/>
  <c r="Q9" i="20"/>
  <c r="P9" i="20"/>
  <c r="AB9" i="20" s="1"/>
  <c r="O9" i="20"/>
  <c r="J9" i="20"/>
  <c r="I9" i="20"/>
  <c r="I8" i="20" s="1"/>
  <c r="H9" i="20"/>
  <c r="T8" i="20"/>
  <c r="T11" i="20" s="1"/>
  <c r="T13" i="20" s="1"/>
  <c r="S8" i="20"/>
  <c r="R8" i="20"/>
  <c r="R11" i="20" s="1"/>
  <c r="R13" i="20" s="1"/>
  <c r="R14" i="20" s="1"/>
  <c r="P8" i="20"/>
  <c r="AB8" i="20" s="1"/>
  <c r="N8" i="20"/>
  <c r="M8" i="20"/>
  <c r="M11" i="20" s="1"/>
  <c r="M13" i="20" s="1"/>
  <c r="M14" i="20" s="1"/>
  <c r="L8" i="20"/>
  <c r="L11" i="20" s="1"/>
  <c r="L13" i="20" s="1"/>
  <c r="L14" i="20" s="1"/>
  <c r="K8" i="20"/>
  <c r="J8" i="20"/>
  <c r="G8" i="20"/>
  <c r="F8" i="20"/>
  <c r="F11" i="20" s="1"/>
  <c r="F13" i="20" s="1"/>
  <c r="F14" i="20" s="1"/>
  <c r="E8" i="20"/>
  <c r="E11" i="20" s="1"/>
  <c r="E13" i="20" s="1"/>
  <c r="E14" i="20" s="1"/>
  <c r="D8" i="20"/>
  <c r="D11" i="20" s="1"/>
  <c r="D13" i="20" s="1"/>
  <c r="AB7" i="20"/>
  <c r="X7" i="20"/>
  <c r="W7" i="20"/>
  <c r="V7" i="20"/>
  <c r="Q7" i="20"/>
  <c r="P7" i="20"/>
  <c r="P20" i="20" s="1"/>
  <c r="AB20" i="20" s="1"/>
  <c r="O7" i="20"/>
  <c r="J7" i="20"/>
  <c r="J11" i="20" s="1"/>
  <c r="J13" i="20" s="1"/>
  <c r="J14" i="20" s="1"/>
  <c r="I7" i="20"/>
  <c r="H7" i="20"/>
  <c r="X5" i="20"/>
  <c r="X21" i="20" s="1"/>
  <c r="W5" i="20"/>
  <c r="V5" i="20"/>
  <c r="X39" i="15"/>
  <c r="W39" i="15"/>
  <c r="AA39" i="15" s="1"/>
  <c r="V39" i="15"/>
  <c r="P39" i="15"/>
  <c r="AB39" i="15" s="1"/>
  <c r="O39" i="15"/>
  <c r="K39" i="15"/>
  <c r="Q39" i="15" s="1"/>
  <c r="J39" i="15"/>
  <c r="I39" i="15"/>
  <c r="H39" i="15"/>
  <c r="X38" i="15"/>
  <c r="W38" i="15"/>
  <c r="AA38" i="15" s="1"/>
  <c r="V38" i="15"/>
  <c r="Q38" i="15"/>
  <c r="P38" i="15"/>
  <c r="AB38" i="15" s="1"/>
  <c r="O38" i="15"/>
  <c r="J38" i="15"/>
  <c r="I38" i="15"/>
  <c r="H38" i="15"/>
  <c r="AA37" i="15"/>
  <c r="X37" i="15"/>
  <c r="W37" i="15"/>
  <c r="V37" i="15"/>
  <c r="L37" i="15"/>
  <c r="K37" i="15"/>
  <c r="J37" i="15"/>
  <c r="I37" i="15"/>
  <c r="H37" i="15"/>
  <c r="AD30" i="15"/>
  <c r="AC30" i="15"/>
  <c r="AB30" i="15"/>
  <c r="AA30" i="15"/>
  <c r="S26" i="15"/>
  <c r="R26" i="15"/>
  <c r="V26" i="15" s="1"/>
  <c r="N26" i="15"/>
  <c r="M26" i="15"/>
  <c r="K26" i="15"/>
  <c r="E26" i="15"/>
  <c r="D26" i="15"/>
  <c r="S25" i="15"/>
  <c r="R25" i="15"/>
  <c r="N25" i="15"/>
  <c r="M25" i="15"/>
  <c r="L25" i="15"/>
  <c r="K25" i="15"/>
  <c r="D25" i="15"/>
  <c r="R24" i="15"/>
  <c r="N24" i="15"/>
  <c r="M24" i="15"/>
  <c r="L24" i="15"/>
  <c r="K24" i="15"/>
  <c r="D24" i="15"/>
  <c r="D23" i="15" s="1"/>
  <c r="N23" i="15"/>
  <c r="T21" i="15"/>
  <c r="R21" i="15"/>
  <c r="V21" i="15" s="1"/>
  <c r="P21" i="15"/>
  <c r="AB21" i="15" s="1"/>
  <c r="N21" i="15"/>
  <c r="M21" i="15"/>
  <c r="L21" i="15"/>
  <c r="K21" i="15"/>
  <c r="S20" i="15"/>
  <c r="R20" i="15"/>
  <c r="Q20" i="15"/>
  <c r="P20" i="15"/>
  <c r="AB20" i="15" s="1"/>
  <c r="O20" i="15"/>
  <c r="J20" i="15"/>
  <c r="I20" i="15"/>
  <c r="H20" i="15"/>
  <c r="X19" i="15"/>
  <c r="W19" i="15"/>
  <c r="AA19" i="15" s="1"/>
  <c r="V19" i="15"/>
  <c r="Q19" i="15"/>
  <c r="P19" i="15"/>
  <c r="AB19" i="15" s="1"/>
  <c r="O19" i="15"/>
  <c r="J19" i="15"/>
  <c r="I19" i="15"/>
  <c r="H19" i="15"/>
  <c r="AA16" i="15"/>
  <c r="X16" i="15"/>
  <c r="W16" i="15"/>
  <c r="V16" i="15"/>
  <c r="Q16" i="15"/>
  <c r="P16" i="15"/>
  <c r="AB16" i="15" s="1"/>
  <c r="O16" i="15"/>
  <c r="J16" i="15"/>
  <c r="I16" i="15"/>
  <c r="H16" i="15"/>
  <c r="X15" i="15"/>
  <c r="W15" i="15"/>
  <c r="AA15" i="15" s="1"/>
  <c r="V15" i="15"/>
  <c r="Q15" i="15"/>
  <c r="P15" i="15"/>
  <c r="AB15" i="15" s="1"/>
  <c r="O15" i="15"/>
  <c r="J15" i="15"/>
  <c r="I15" i="15"/>
  <c r="H15" i="15"/>
  <c r="X14" i="15"/>
  <c r="W14" i="15"/>
  <c r="AA14" i="15" s="1"/>
  <c r="V14" i="15"/>
  <c r="Q14" i="15"/>
  <c r="P14" i="15"/>
  <c r="AB14" i="15" s="1"/>
  <c r="O14" i="15"/>
  <c r="J14" i="15"/>
  <c r="I14" i="15"/>
  <c r="H14" i="15"/>
  <c r="X13" i="15"/>
  <c r="W13" i="15"/>
  <c r="AA13" i="15" s="1"/>
  <c r="V13" i="15"/>
  <c r="L13" i="15"/>
  <c r="Q13" i="15" s="1"/>
  <c r="J13" i="15"/>
  <c r="I13" i="15"/>
  <c r="H13" i="15"/>
  <c r="T12" i="15"/>
  <c r="S12" i="15"/>
  <c r="R12" i="15"/>
  <c r="N12" i="15"/>
  <c r="M12" i="15"/>
  <c r="L12" i="15"/>
  <c r="K12" i="15"/>
  <c r="P12" i="15" s="1"/>
  <c r="AB12" i="15" s="1"/>
  <c r="G12" i="15"/>
  <c r="F12" i="15"/>
  <c r="E12" i="15"/>
  <c r="D12" i="15"/>
  <c r="V10" i="15"/>
  <c r="T10" i="15"/>
  <c r="Q10" i="15"/>
  <c r="P10" i="15"/>
  <c r="AB10" i="15" s="1"/>
  <c r="O10" i="15"/>
  <c r="J10" i="15"/>
  <c r="I10" i="15"/>
  <c r="H10" i="15"/>
  <c r="W9" i="15"/>
  <c r="AA9" i="15" s="1"/>
  <c r="V9" i="15"/>
  <c r="T9" i="15"/>
  <c r="Q9" i="15"/>
  <c r="P9" i="15"/>
  <c r="AB9" i="15" s="1"/>
  <c r="O9" i="15"/>
  <c r="J9" i="15"/>
  <c r="I9" i="15"/>
  <c r="H9" i="15"/>
  <c r="S8" i="15"/>
  <c r="R8" i="15"/>
  <c r="N8" i="15"/>
  <c r="M8" i="15"/>
  <c r="L8" i="15"/>
  <c r="K8" i="15"/>
  <c r="P8" i="15" s="1"/>
  <c r="AB8" i="15" s="1"/>
  <c r="G8" i="15"/>
  <c r="F8" i="15"/>
  <c r="E8" i="15"/>
  <c r="D8" i="15"/>
  <c r="N7" i="15"/>
  <c r="N11" i="15" s="1"/>
  <c r="N17" i="15" s="1"/>
  <c r="M7" i="15"/>
  <c r="M11" i="15" s="1"/>
  <c r="M17" i="15" s="1"/>
  <c r="L7" i="15"/>
  <c r="AB38" i="13"/>
  <c r="T38" i="13"/>
  <c r="R38" i="13"/>
  <c r="R34" i="15" s="1"/>
  <c r="N38" i="13"/>
  <c r="N34" i="15" s="1"/>
  <c r="M38" i="13"/>
  <c r="M34" i="15" s="1"/>
  <c r="L38" i="13"/>
  <c r="L34" i="15" s="1"/>
  <c r="K38" i="13"/>
  <c r="K34" i="15" s="1"/>
  <c r="AA37" i="13"/>
  <c r="W37" i="13"/>
  <c r="T37" i="13"/>
  <c r="S37" i="13"/>
  <c r="S33" i="15" s="1"/>
  <c r="R37" i="13"/>
  <c r="R33" i="15" s="1"/>
  <c r="V33" i="15" s="1"/>
  <c r="N37" i="13"/>
  <c r="N33" i="15" s="1"/>
  <c r="M37" i="13"/>
  <c r="K37" i="13"/>
  <c r="K33" i="15" s="1"/>
  <c r="D37" i="13"/>
  <c r="D33" i="15" s="1"/>
  <c r="S36" i="13"/>
  <c r="S32" i="15" s="1"/>
  <c r="AD34" i="13"/>
  <c r="AC34" i="13"/>
  <c r="AB34" i="13"/>
  <c r="AA34" i="13"/>
  <c r="AB30" i="13"/>
  <c r="AA30" i="13"/>
  <c r="W30" i="13"/>
  <c r="V30" i="13"/>
  <c r="V37" i="13" s="1"/>
  <c r="L30" i="13"/>
  <c r="L37" i="13" s="1"/>
  <c r="L33" i="15" s="1"/>
  <c r="E30" i="13"/>
  <c r="E37" i="13" s="1"/>
  <c r="E33" i="15" s="1"/>
  <c r="AB29" i="13"/>
  <c r="AA29" i="13"/>
  <c r="W29" i="13"/>
  <c r="V29" i="13"/>
  <c r="Q29" i="13"/>
  <c r="P29" i="13"/>
  <c r="O29" i="13"/>
  <c r="O27" i="13" s="1"/>
  <c r="O36" i="13" s="1"/>
  <c r="E29" i="13"/>
  <c r="E25" i="15" s="1"/>
  <c r="H25" i="15" s="1"/>
  <c r="AB28" i="13"/>
  <c r="AA28" i="13"/>
  <c r="S28" i="13"/>
  <c r="Q28" i="13"/>
  <c r="P28" i="13"/>
  <c r="P27" i="13" s="1"/>
  <c r="P36" i="13" s="1"/>
  <c r="O28" i="13"/>
  <c r="H28" i="13"/>
  <c r="E28" i="13"/>
  <c r="E24" i="15" s="1"/>
  <c r="T27" i="13"/>
  <c r="R27" i="13"/>
  <c r="V27" i="13" s="1"/>
  <c r="V36" i="13" s="1"/>
  <c r="Q27" i="13"/>
  <c r="Q36" i="13" s="1"/>
  <c r="N27" i="13"/>
  <c r="N36" i="13" s="1"/>
  <c r="N32" i="15" s="1"/>
  <c r="M27" i="13"/>
  <c r="AB27" i="13" s="1"/>
  <c r="L27" i="13"/>
  <c r="L36" i="13" s="1"/>
  <c r="L32" i="15" s="1"/>
  <c r="K27" i="13"/>
  <c r="K36" i="13" s="1"/>
  <c r="K32" i="15" s="1"/>
  <c r="O32" i="15" s="1"/>
  <c r="D27" i="13"/>
  <c r="D36" i="13" s="1"/>
  <c r="D32" i="15" s="1"/>
  <c r="AB25" i="13"/>
  <c r="V25" i="13"/>
  <c r="T25" i="13"/>
  <c r="L25" i="13"/>
  <c r="K25" i="13"/>
  <c r="D25" i="13"/>
  <c r="AB24" i="13"/>
  <c r="T24" i="13"/>
  <c r="AA24" i="13" s="1"/>
  <c r="S24" i="13"/>
  <c r="Q24" i="13"/>
  <c r="P24" i="13"/>
  <c r="O24" i="13"/>
  <c r="D24" i="13"/>
  <c r="E24" i="13" s="1"/>
  <c r="AB23" i="13"/>
  <c r="AA23" i="13"/>
  <c r="S23" i="13"/>
  <c r="S21" i="15" s="1"/>
  <c r="Q23" i="13"/>
  <c r="P23" i="13"/>
  <c r="O23" i="13"/>
  <c r="D23" i="13"/>
  <c r="E23" i="13" s="1"/>
  <c r="AB22" i="13"/>
  <c r="AA22" i="13"/>
  <c r="S22" i="13"/>
  <c r="Q22" i="13"/>
  <c r="P22" i="13"/>
  <c r="O22" i="13"/>
  <c r="D22" i="13"/>
  <c r="AB21" i="13"/>
  <c r="T21" i="13"/>
  <c r="AA21" i="13" s="1"/>
  <c r="S21" i="13"/>
  <c r="Q21" i="13"/>
  <c r="P21" i="13"/>
  <c r="P20" i="13" s="1"/>
  <c r="O21" i="13"/>
  <c r="E21" i="13"/>
  <c r="D21" i="13"/>
  <c r="R20" i="13"/>
  <c r="N20" i="13"/>
  <c r="M20" i="13"/>
  <c r="AB20" i="13" s="1"/>
  <c r="L20" i="13"/>
  <c r="K20" i="13"/>
  <c r="AB17" i="13"/>
  <c r="AA17" i="13"/>
  <c r="W17" i="13"/>
  <c r="V17" i="13"/>
  <c r="Q17" i="13"/>
  <c r="P17" i="13"/>
  <c r="O17" i="13"/>
  <c r="E17" i="13"/>
  <c r="H17" i="13" s="1"/>
  <c r="F17" i="13" s="1"/>
  <c r="AB16" i="13"/>
  <c r="AA16" i="13"/>
  <c r="W16" i="13"/>
  <c r="V16" i="13"/>
  <c r="Q16" i="13"/>
  <c r="P16" i="13"/>
  <c r="O16" i="13"/>
  <c r="O38" i="13" s="1"/>
  <c r="E16" i="13"/>
  <c r="AB15" i="13"/>
  <c r="AA15" i="13"/>
  <c r="W15" i="13"/>
  <c r="V15" i="13"/>
  <c r="Q15" i="13"/>
  <c r="Q12" i="13" s="1"/>
  <c r="P15" i="13"/>
  <c r="O15" i="13"/>
  <c r="E15" i="13"/>
  <c r="H15" i="13" s="1"/>
  <c r="F15" i="13" s="1"/>
  <c r="AB14" i="13"/>
  <c r="AA14" i="13"/>
  <c r="W14" i="13"/>
  <c r="W12" i="13" s="1"/>
  <c r="V14" i="13"/>
  <c r="Q14" i="13"/>
  <c r="P14" i="13"/>
  <c r="O14" i="13"/>
  <c r="E14" i="13"/>
  <c r="AB13" i="13"/>
  <c r="AA13" i="13"/>
  <c r="W13" i="13"/>
  <c r="V13" i="13"/>
  <c r="Q13" i="13"/>
  <c r="P13" i="13"/>
  <c r="O13" i="13"/>
  <c r="E13" i="13"/>
  <c r="AB12" i="13"/>
  <c r="AA12" i="13"/>
  <c r="T12" i="13"/>
  <c r="S12" i="13"/>
  <c r="R12" i="13"/>
  <c r="P12" i="13"/>
  <c r="O12" i="13"/>
  <c r="N12" i="13"/>
  <c r="M12" i="13"/>
  <c r="L12" i="13"/>
  <c r="K12" i="13"/>
  <c r="D12" i="13"/>
  <c r="L11" i="13"/>
  <c r="L18" i="13" s="1"/>
  <c r="AB10" i="13"/>
  <c r="AA10" i="13"/>
  <c r="R10" i="13"/>
  <c r="W10" i="13" s="1"/>
  <c r="W8" i="13" s="1"/>
  <c r="Q10" i="13"/>
  <c r="K10" i="13"/>
  <c r="P10" i="13" s="1"/>
  <c r="E10" i="13"/>
  <c r="AB9" i="13"/>
  <c r="AA9" i="13"/>
  <c r="W9" i="13"/>
  <c r="V9" i="13"/>
  <c r="Q9" i="13"/>
  <c r="P9" i="13"/>
  <c r="O9" i="13"/>
  <c r="E9" i="13"/>
  <c r="AB8" i="13"/>
  <c r="T8" i="13"/>
  <c r="T11" i="13" s="1"/>
  <c r="S8" i="13"/>
  <c r="S11" i="13" s="1"/>
  <c r="S18" i="13" s="1"/>
  <c r="S19" i="13" s="1"/>
  <c r="N8" i="13"/>
  <c r="N11" i="13" s="1"/>
  <c r="N18" i="13" s="1"/>
  <c r="M8" i="13"/>
  <c r="M11" i="13" s="1"/>
  <c r="L8" i="13"/>
  <c r="K8" i="13"/>
  <c r="K11" i="13" s="1"/>
  <c r="K18" i="13" s="1"/>
  <c r="K26" i="13" s="1"/>
  <c r="K31" i="13" s="1"/>
  <c r="E8" i="13"/>
  <c r="D8" i="13"/>
  <c r="D11" i="13" s="1"/>
  <c r="D18" i="13" s="1"/>
  <c r="D19" i="13" s="1"/>
  <c r="AB7" i="13"/>
  <c r="AA7" i="13"/>
  <c r="W7" i="13"/>
  <c r="V7" i="13"/>
  <c r="Q7" i="13"/>
  <c r="P7" i="13"/>
  <c r="O7" i="13"/>
  <c r="E7" i="13"/>
  <c r="AD15" i="13" l="1"/>
  <c r="T65" i="19"/>
  <c r="U64" i="19"/>
  <c r="T55" i="19"/>
  <c r="T63" i="19"/>
  <c r="U31" i="19"/>
  <c r="T22" i="19"/>
  <c r="T28" i="19"/>
  <c r="U28" i="19"/>
  <c r="T20" i="19"/>
  <c r="E78" i="19"/>
  <c r="M78" i="19"/>
  <c r="K35" i="19"/>
  <c r="U32" i="19"/>
  <c r="U53" i="19"/>
  <c r="U22" i="19"/>
  <c r="T26" i="19"/>
  <c r="U33" i="19"/>
  <c r="T56" i="19"/>
  <c r="G35" i="19"/>
  <c r="U30" i="19"/>
  <c r="N34" i="19"/>
  <c r="H78" i="19"/>
  <c r="T24" i="19"/>
  <c r="I78" i="19"/>
  <c r="J78" i="19"/>
  <c r="T62" i="19"/>
  <c r="AC31" i="17"/>
  <c r="AC39" i="15"/>
  <c r="AD13" i="13"/>
  <c r="AC12" i="17"/>
  <c r="AD26" i="17"/>
  <c r="AC25" i="17"/>
  <c r="AD8" i="17"/>
  <c r="AD19" i="17"/>
  <c r="AD14" i="17"/>
  <c r="AC9" i="17"/>
  <c r="AC14" i="17"/>
  <c r="AD10" i="20"/>
  <c r="AD16" i="15"/>
  <c r="AC16" i="13"/>
  <c r="AC28" i="13"/>
  <c r="AC10" i="13"/>
  <c r="AD9" i="13"/>
  <c r="AD17" i="13"/>
  <c r="AC7" i="13"/>
  <c r="AD12" i="13"/>
  <c r="AD23" i="13"/>
  <c r="AC29" i="13"/>
  <c r="AD7" i="13"/>
  <c r="AA11" i="13"/>
  <c r="T18" i="13"/>
  <c r="T19" i="13" s="1"/>
  <c r="AA19" i="13" s="1"/>
  <c r="T31" i="19"/>
  <c r="P38" i="13"/>
  <c r="E27" i="13"/>
  <c r="E36" i="13" s="1"/>
  <c r="E32" i="15" s="1"/>
  <c r="Q38" i="13"/>
  <c r="L35" i="19"/>
  <c r="V38" i="13"/>
  <c r="I17" i="13"/>
  <c r="G17" i="13" s="1"/>
  <c r="V23" i="13"/>
  <c r="W28" i="13"/>
  <c r="W27" i="13" s="1"/>
  <c r="W36" i="13" s="1"/>
  <c r="T7" i="15"/>
  <c r="O13" i="15"/>
  <c r="AC10" i="20"/>
  <c r="P21" i="20"/>
  <c r="AB21" i="20" s="1"/>
  <c r="J21" i="20"/>
  <c r="W33" i="17"/>
  <c r="Q10" i="17"/>
  <c r="J26" i="17"/>
  <c r="AC26" i="17"/>
  <c r="U14" i="21"/>
  <c r="U24" i="19"/>
  <c r="D78" i="19"/>
  <c r="L78" i="19"/>
  <c r="O20" i="13"/>
  <c r="AC23" i="13"/>
  <c r="R30" i="17"/>
  <c r="AC13" i="13"/>
  <c r="Q20" i="13"/>
  <c r="V28" i="13"/>
  <c r="Q30" i="13"/>
  <c r="Q37" i="13" s="1"/>
  <c r="AC9" i="13"/>
  <c r="AD10" i="13"/>
  <c r="W38" i="13"/>
  <c r="V22" i="13"/>
  <c r="W23" i="13"/>
  <c r="E23" i="15"/>
  <c r="F7" i="15"/>
  <c r="F11" i="15" s="1"/>
  <c r="F17" i="15" s="1"/>
  <c r="F18" i="15" s="1"/>
  <c r="W12" i="15"/>
  <c r="AA12" i="15" s="1"/>
  <c r="AD12" i="15" s="1"/>
  <c r="P13" i="15"/>
  <c r="AB13" i="15" s="1"/>
  <c r="AC13" i="15" s="1"/>
  <c r="O21" i="15"/>
  <c r="O8" i="20"/>
  <c r="O21" i="20"/>
  <c r="AD12" i="17"/>
  <c r="M21" i="17"/>
  <c r="AB21" i="17" s="1"/>
  <c r="AC21" i="17" s="1"/>
  <c r="O26" i="17"/>
  <c r="O22" i="17" s="1"/>
  <c r="D30" i="17"/>
  <c r="U11" i="21"/>
  <c r="T30" i="19"/>
  <c r="T32" i="19"/>
  <c r="F78" i="19"/>
  <c r="N78" i="19"/>
  <c r="U56" i="19"/>
  <c r="T64" i="19"/>
  <c r="AC12" i="13"/>
  <c r="N22" i="15"/>
  <c r="N27" i="15" s="1"/>
  <c r="AC10" i="17"/>
  <c r="U26" i="19"/>
  <c r="D7" i="15"/>
  <c r="E11" i="13"/>
  <c r="H7" i="13"/>
  <c r="F7" i="13" s="1"/>
  <c r="V12" i="13"/>
  <c r="M36" i="13"/>
  <c r="G7" i="15"/>
  <c r="Q21" i="15"/>
  <c r="S24" i="15"/>
  <c r="AD10" i="17"/>
  <c r="W10" i="17"/>
  <c r="P10" i="17"/>
  <c r="G13" i="17"/>
  <c r="G15" i="17" s="1"/>
  <c r="G16" i="17" s="1"/>
  <c r="N21" i="17"/>
  <c r="AD25" i="17"/>
  <c r="F30" i="17"/>
  <c r="U8" i="21"/>
  <c r="T53" i="19"/>
  <c r="T57" i="19"/>
  <c r="T61" i="19"/>
  <c r="G11" i="15"/>
  <c r="G17" i="15" s="1"/>
  <c r="G18" i="15" s="1"/>
  <c r="AC18" i="20"/>
  <c r="J35" i="19"/>
  <c r="T33" i="19"/>
  <c r="AA8" i="13"/>
  <c r="AD8" i="13" s="1"/>
  <c r="AC14" i="13"/>
  <c r="H24" i="13"/>
  <c r="F24" i="13" s="1"/>
  <c r="D35" i="19"/>
  <c r="R8" i="13"/>
  <c r="R11" i="13" s="1"/>
  <c r="V11" i="13" s="1"/>
  <c r="P8" i="13"/>
  <c r="P11" i="13" s="1"/>
  <c r="P18" i="13" s="1"/>
  <c r="I15" i="13"/>
  <c r="G15" i="13" s="1"/>
  <c r="S38" i="13"/>
  <c r="S34" i="15" s="1"/>
  <c r="L11" i="15"/>
  <c r="L17" i="15" s="1"/>
  <c r="L22" i="15" s="1"/>
  <c r="I8" i="15"/>
  <c r="AC16" i="15"/>
  <c r="H26" i="15"/>
  <c r="Q8" i="20"/>
  <c r="Q11" i="20" s="1"/>
  <c r="Q13" i="20" s="1"/>
  <c r="Q14" i="20" s="1"/>
  <c r="Q26" i="17"/>
  <c r="Q22" i="17" s="1"/>
  <c r="H35" i="19"/>
  <c r="Q8" i="13"/>
  <c r="W7" i="17"/>
  <c r="R7" i="15"/>
  <c r="R11" i="15" s="1"/>
  <c r="R17" i="15" s="1"/>
  <c r="W21" i="15"/>
  <c r="AA21" i="15" s="1"/>
  <c r="AC21" i="15" s="1"/>
  <c r="H8" i="20"/>
  <c r="H11" i="20" s="1"/>
  <c r="H13" i="20" s="1"/>
  <c r="H14" i="20" s="1"/>
  <c r="T13" i="17"/>
  <c r="AD9" i="17"/>
  <c r="AC19" i="17"/>
  <c r="X22" i="17"/>
  <c r="T30" i="17"/>
  <c r="AA30" i="17" s="1"/>
  <c r="U10" i="21"/>
  <c r="U20" i="19"/>
  <c r="T59" i="19"/>
  <c r="U62" i="19"/>
  <c r="U65" i="19"/>
  <c r="N26" i="13"/>
  <c r="N31" i="13" s="1"/>
  <c r="N19" i="13"/>
  <c r="AD22" i="13"/>
  <c r="AC22" i="13"/>
  <c r="H33" i="15"/>
  <c r="L19" i="13"/>
  <c r="L26" i="13"/>
  <c r="L31" i="13" s="1"/>
  <c r="M18" i="15"/>
  <c r="M22" i="15"/>
  <c r="Q11" i="13"/>
  <c r="Q18" i="13" s="1"/>
  <c r="M18" i="13"/>
  <c r="AB11" i="13"/>
  <c r="AC21" i="13"/>
  <c r="AD21" i="13"/>
  <c r="AC24" i="13"/>
  <c r="AD24" i="13"/>
  <c r="P34" i="15"/>
  <c r="AB34" i="15" s="1"/>
  <c r="Q34" i="15"/>
  <c r="O34" i="15"/>
  <c r="W11" i="13"/>
  <c r="W18" i="13" s="1"/>
  <c r="R18" i="13"/>
  <c r="K35" i="13"/>
  <c r="K32" i="13"/>
  <c r="AD9" i="15"/>
  <c r="AC9" i="15"/>
  <c r="AD19" i="15"/>
  <c r="M23" i="15"/>
  <c r="Q24" i="15"/>
  <c r="Q25" i="15"/>
  <c r="P25" i="15"/>
  <c r="T33" i="15"/>
  <c r="W33" i="15" s="1"/>
  <c r="AA33" i="15" s="1"/>
  <c r="P37" i="15"/>
  <c r="AB37" i="15" s="1"/>
  <c r="AD37" i="15" s="1"/>
  <c r="Q37" i="15"/>
  <c r="O37" i="15"/>
  <c r="T60" i="19"/>
  <c r="U60" i="19"/>
  <c r="I24" i="13"/>
  <c r="G24" i="13" s="1"/>
  <c r="J24" i="13" s="1"/>
  <c r="P25" i="13"/>
  <c r="O25" i="13"/>
  <c r="D38" i="13"/>
  <c r="D34" i="15" s="1"/>
  <c r="O8" i="15"/>
  <c r="O12" i="15"/>
  <c r="L18" i="15"/>
  <c r="O20" i="20"/>
  <c r="O11" i="20"/>
  <c r="O13" i="20" s="1"/>
  <c r="O14" i="20" s="1"/>
  <c r="AA20" i="20"/>
  <c r="AA7" i="20"/>
  <c r="U13" i="21"/>
  <c r="V13" i="21"/>
  <c r="N23" i="21"/>
  <c r="I7" i="13"/>
  <c r="H9" i="13"/>
  <c r="H10" i="13"/>
  <c r="F10" i="13" s="1"/>
  <c r="O10" i="13"/>
  <c r="O8" i="13" s="1"/>
  <c r="O11" i="13" s="1"/>
  <c r="O18" i="13" s="1"/>
  <c r="V10" i="13"/>
  <c r="H13" i="13"/>
  <c r="H14" i="13"/>
  <c r="F14" i="13" s="1"/>
  <c r="J15" i="13"/>
  <c r="J17" i="13"/>
  <c r="D20" i="13"/>
  <c r="S20" i="13"/>
  <c r="V20" i="13" s="1"/>
  <c r="I22" i="13"/>
  <c r="G22" i="13" s="1"/>
  <c r="E22" i="13"/>
  <c r="H22" i="13" s="1"/>
  <c r="F22" i="13" s="1"/>
  <c r="E25" i="13"/>
  <c r="H25" i="13" s="1"/>
  <c r="F25" i="13" s="1"/>
  <c r="D26" i="13"/>
  <c r="D31" i="13" s="1"/>
  <c r="AD28" i="13"/>
  <c r="L26" i="15"/>
  <c r="P26" i="15" s="1"/>
  <c r="P30" i="13"/>
  <c r="P37" i="13" s="1"/>
  <c r="O30" i="13"/>
  <c r="O37" i="13" s="1"/>
  <c r="R36" i="13"/>
  <c r="M33" i="15"/>
  <c r="Q33" i="15" s="1"/>
  <c r="AB37" i="13"/>
  <c r="AD37" i="13" s="1"/>
  <c r="Q8" i="15"/>
  <c r="J12" i="15"/>
  <c r="I12" i="15"/>
  <c r="Q12" i="15"/>
  <c r="AC14" i="15"/>
  <c r="AD14" i="15"/>
  <c r="N18" i="15"/>
  <c r="W8" i="20"/>
  <c r="AA8" i="20" s="1"/>
  <c r="AA9" i="20"/>
  <c r="AC24" i="17"/>
  <c r="AD24" i="17"/>
  <c r="U10" i="19"/>
  <c r="T10" i="19"/>
  <c r="U12" i="19"/>
  <c r="T12" i="19"/>
  <c r="U14" i="19"/>
  <c r="T14" i="19"/>
  <c r="U16" i="19"/>
  <c r="T16" i="19"/>
  <c r="U23" i="19"/>
  <c r="T23" i="19"/>
  <c r="E38" i="13"/>
  <c r="E34" i="15" s="1"/>
  <c r="E21" i="15"/>
  <c r="H16" i="13"/>
  <c r="AA18" i="13"/>
  <c r="K19" i="13"/>
  <c r="E20" i="13"/>
  <c r="W21" i="13"/>
  <c r="V21" i="13"/>
  <c r="W24" i="13"/>
  <c r="V24" i="13"/>
  <c r="T20" i="15"/>
  <c r="W20" i="15" s="1"/>
  <c r="AA20" i="15" s="1"/>
  <c r="W25" i="13"/>
  <c r="P33" i="15"/>
  <c r="AB33" i="15" s="1"/>
  <c r="T15" i="17"/>
  <c r="AA13" i="17"/>
  <c r="T58" i="19"/>
  <c r="U58" i="19"/>
  <c r="AD15" i="15"/>
  <c r="AC15" i="15"/>
  <c r="H23" i="15"/>
  <c r="E12" i="13"/>
  <c r="E18" i="13" s="1"/>
  <c r="AD14" i="13"/>
  <c r="AC15" i="13"/>
  <c r="AD16" i="13"/>
  <c r="AC17" i="13"/>
  <c r="AA20" i="13"/>
  <c r="H21" i="13"/>
  <c r="H23" i="13"/>
  <c r="F23" i="13" s="1"/>
  <c r="I23" i="13" s="1"/>
  <c r="G23" i="13" s="1"/>
  <c r="Q25" i="13"/>
  <c r="AA25" i="13"/>
  <c r="H32" i="15"/>
  <c r="T36" i="13"/>
  <c r="AA27" i="13"/>
  <c r="F28" i="13"/>
  <c r="AD29" i="13"/>
  <c r="AD30" i="13"/>
  <c r="AC30" i="13"/>
  <c r="T34" i="15"/>
  <c r="W34" i="15" s="1"/>
  <c r="AA34" i="15" s="1"/>
  <c r="AA38" i="13"/>
  <c r="I7" i="15"/>
  <c r="D11" i="15"/>
  <c r="J7" i="15"/>
  <c r="H7" i="15"/>
  <c r="X10" i="15"/>
  <c r="W10" i="15"/>
  <c r="AA10" i="15" s="1"/>
  <c r="D21" i="15"/>
  <c r="L23" i="15"/>
  <c r="V24" i="15"/>
  <c r="S23" i="15"/>
  <c r="R23" i="15"/>
  <c r="V25" i="15"/>
  <c r="H33" i="17"/>
  <c r="H21" i="17"/>
  <c r="P33" i="17"/>
  <c r="P21" i="17"/>
  <c r="P31" i="17"/>
  <c r="X33" i="17"/>
  <c r="X21" i="17"/>
  <c r="AD20" i="17"/>
  <c r="AC20" i="17"/>
  <c r="W22" i="13"/>
  <c r="H29" i="13"/>
  <c r="F29" i="13" s="1"/>
  <c r="H30" i="13"/>
  <c r="E11" i="15"/>
  <c r="E17" i="15" s="1"/>
  <c r="V8" i="15"/>
  <c r="X9" i="15"/>
  <c r="T8" i="15"/>
  <c r="W8" i="15" s="1"/>
  <c r="AA8" i="15" s="1"/>
  <c r="X12" i="15"/>
  <c r="P24" i="15"/>
  <c r="K23" i="15"/>
  <c r="O24" i="15"/>
  <c r="AD39" i="15"/>
  <c r="P7" i="17"/>
  <c r="K32" i="17"/>
  <c r="K30" i="17"/>
  <c r="K13" i="17"/>
  <c r="K15" i="17" s="1"/>
  <c r="K16" i="17" s="1"/>
  <c r="Q7" i="17"/>
  <c r="K7" i="15"/>
  <c r="O7" i="17"/>
  <c r="U7" i="21"/>
  <c r="V7" i="21"/>
  <c r="U9" i="21"/>
  <c r="V9" i="21"/>
  <c r="V21" i="21"/>
  <c r="U21" i="21"/>
  <c r="U70" i="19"/>
  <c r="T70" i="19"/>
  <c r="U74" i="19"/>
  <c r="T74" i="19"/>
  <c r="U76" i="19"/>
  <c r="T76" i="19"/>
  <c r="I29" i="13"/>
  <c r="G29" i="13" s="1"/>
  <c r="G25" i="15" s="1"/>
  <c r="O33" i="15"/>
  <c r="V34" i="15"/>
  <c r="V7" i="15"/>
  <c r="J8" i="15"/>
  <c r="S11" i="15"/>
  <c r="S17" i="15" s="1"/>
  <c r="H12" i="15"/>
  <c r="AC19" i="15"/>
  <c r="O25" i="15"/>
  <c r="I11" i="20"/>
  <c r="I13" i="20" s="1"/>
  <c r="I14" i="20" s="1"/>
  <c r="I20" i="20"/>
  <c r="Q20" i="20"/>
  <c r="F22" i="17"/>
  <c r="F21" i="17"/>
  <c r="H8" i="15"/>
  <c r="V12" i="15"/>
  <c r="V20" i="15"/>
  <c r="H24" i="15"/>
  <c r="AC38" i="15"/>
  <c r="J20" i="20"/>
  <c r="AD12" i="20"/>
  <c r="AC12" i="20"/>
  <c r="AD11" i="17"/>
  <c r="AC11" i="17"/>
  <c r="W22" i="17"/>
  <c r="W21" i="17"/>
  <c r="I31" i="17"/>
  <c r="Q31" i="17"/>
  <c r="Q30" i="17"/>
  <c r="AD29" i="17"/>
  <c r="AC29" i="17"/>
  <c r="O23" i="21"/>
  <c r="U23" i="21" s="1"/>
  <c r="AD38" i="15"/>
  <c r="P11" i="20"/>
  <c r="X11" i="20"/>
  <c r="X13" i="20" s="1"/>
  <c r="X14" i="20" s="1"/>
  <c r="AD17" i="20"/>
  <c r="AC17" i="20"/>
  <c r="AA21" i="20"/>
  <c r="E30" i="17"/>
  <c r="E32" i="17"/>
  <c r="J7" i="17"/>
  <c r="I7" i="17"/>
  <c r="L13" i="17"/>
  <c r="L15" i="17" s="1"/>
  <c r="L16" i="17" s="1"/>
  <c r="E13" i="17"/>
  <c r="E15" i="17" s="1"/>
  <c r="E16" i="17" s="1"/>
  <c r="M15" i="17"/>
  <c r="W30" i="17"/>
  <c r="U21" i="19"/>
  <c r="T21" i="19"/>
  <c r="M34" i="19"/>
  <c r="T67" i="19"/>
  <c r="U67" i="19"/>
  <c r="AD19" i="20"/>
  <c r="M32" i="17"/>
  <c r="AB32" i="17" s="1"/>
  <c r="AD32" i="17" s="1"/>
  <c r="M30" i="17"/>
  <c r="AB30" i="17" s="1"/>
  <c r="AB7" i="17"/>
  <c r="AC7" i="17" s="1"/>
  <c r="AC8" i="17"/>
  <c r="T22" i="17"/>
  <c r="AA22" i="17" s="1"/>
  <c r="O31" i="17"/>
  <c r="O30" i="17"/>
  <c r="AD33" i="17"/>
  <c r="AC33" i="17"/>
  <c r="U25" i="19"/>
  <c r="T25" i="19"/>
  <c r="AD18" i="20"/>
  <c r="I21" i="20"/>
  <c r="Q21" i="20"/>
  <c r="H7" i="17"/>
  <c r="S32" i="17"/>
  <c r="S30" i="17"/>
  <c r="V21" i="17"/>
  <c r="S13" i="17"/>
  <c r="S15" i="17" s="1"/>
  <c r="S16" i="17" s="1"/>
  <c r="H31" i="17"/>
  <c r="X31" i="17"/>
  <c r="J31" i="17"/>
  <c r="G32" i="17"/>
  <c r="U9" i="19"/>
  <c r="T9" i="19"/>
  <c r="U11" i="19"/>
  <c r="T11" i="19"/>
  <c r="U13" i="19"/>
  <c r="T13" i="19"/>
  <c r="U15" i="19"/>
  <c r="T15" i="19"/>
  <c r="U17" i="19"/>
  <c r="T17" i="19"/>
  <c r="F35" i="19"/>
  <c r="U19" i="19"/>
  <c r="T19" i="19"/>
  <c r="U27" i="19"/>
  <c r="T27" i="19"/>
  <c r="U68" i="19"/>
  <c r="T68" i="19"/>
  <c r="U73" i="19"/>
  <c r="T73" i="19"/>
  <c r="U75" i="19"/>
  <c r="T75" i="19"/>
  <c r="V7" i="17"/>
  <c r="I33" i="17"/>
  <c r="Q33" i="17"/>
  <c r="D13" i="17"/>
  <c r="D15" i="17" s="1"/>
  <c r="D16" i="17" s="1"/>
  <c r="O21" i="17"/>
  <c r="V15" i="21"/>
  <c r="U15" i="21"/>
  <c r="V17" i="21"/>
  <c r="U17" i="21"/>
  <c r="E35" i="19"/>
  <c r="I35" i="19"/>
  <c r="U39" i="19"/>
  <c r="T39" i="19"/>
  <c r="U41" i="19"/>
  <c r="T41" i="19"/>
  <c r="U43" i="19"/>
  <c r="T43" i="19"/>
  <c r="U46" i="19"/>
  <c r="T46" i="19"/>
  <c r="U48" i="19"/>
  <c r="T48" i="19"/>
  <c r="U50" i="19"/>
  <c r="T50" i="19"/>
  <c r="U55" i="19"/>
  <c r="U59" i="19"/>
  <c r="U63" i="19"/>
  <c r="G78" i="19"/>
  <c r="K78" i="19"/>
  <c r="X7" i="17"/>
  <c r="F13" i="17"/>
  <c r="F15" i="17" s="1"/>
  <c r="F16" i="17" s="1"/>
  <c r="N13" i="17"/>
  <c r="N15" i="17" s="1"/>
  <c r="N16" i="17" s="1"/>
  <c r="R13" i="17"/>
  <c r="R15" i="17" s="1"/>
  <c r="R16" i="17" s="1"/>
  <c r="I21" i="17"/>
  <c r="Q21" i="17"/>
  <c r="V31" i="17"/>
  <c r="V30" i="17"/>
  <c r="V8" i="21"/>
  <c r="V12" i="21"/>
  <c r="V16" i="21"/>
  <c r="U16" i="21"/>
  <c r="U40" i="19"/>
  <c r="T40" i="19"/>
  <c r="U42" i="19"/>
  <c r="T42" i="19"/>
  <c r="U44" i="19"/>
  <c r="T44" i="19"/>
  <c r="U45" i="19"/>
  <c r="T45" i="19"/>
  <c r="U47" i="19"/>
  <c r="T47" i="19"/>
  <c r="U49" i="19"/>
  <c r="T49" i="19"/>
  <c r="U57" i="19"/>
  <c r="U61" i="19"/>
  <c r="U52" i="19" l="1"/>
  <c r="T52" i="19"/>
  <c r="N35" i="19"/>
  <c r="T78" i="19"/>
  <c r="U34" i="19"/>
  <c r="T34" i="19"/>
  <c r="AC37" i="15"/>
  <c r="AC21" i="20"/>
  <c r="AD21" i="17"/>
  <c r="AC30" i="17"/>
  <c r="N28" i="15"/>
  <c r="AD13" i="15"/>
  <c r="AD21" i="15"/>
  <c r="AC12" i="15"/>
  <c r="AC8" i="13"/>
  <c r="AC11" i="13"/>
  <c r="P26" i="13"/>
  <c r="P31" i="13" s="1"/>
  <c r="P32" i="13" s="1"/>
  <c r="P19" i="13"/>
  <c r="AB36" i="13"/>
  <c r="M32" i="15"/>
  <c r="J22" i="17"/>
  <c r="J21" i="17"/>
  <c r="W7" i="15"/>
  <c r="AA7" i="15" s="1"/>
  <c r="V8" i="13"/>
  <c r="T26" i="13"/>
  <c r="W32" i="17"/>
  <c r="W13" i="17"/>
  <c r="W15" i="17" s="1"/>
  <c r="W16" i="17" s="1"/>
  <c r="M35" i="19"/>
  <c r="X7" i="15"/>
  <c r="V11" i="15"/>
  <c r="E26" i="13"/>
  <c r="E31" i="13" s="1"/>
  <c r="E19" i="13"/>
  <c r="AD34" i="15"/>
  <c r="AC34" i="15"/>
  <c r="O26" i="13"/>
  <c r="O31" i="13" s="1"/>
  <c r="O19" i="13"/>
  <c r="U18" i="19"/>
  <c r="T18" i="19"/>
  <c r="H32" i="17"/>
  <c r="H13" i="17"/>
  <c r="H15" i="17" s="1"/>
  <c r="H16" i="17" s="1"/>
  <c r="H30" i="17"/>
  <c r="AD8" i="15"/>
  <c r="AC8" i="15"/>
  <c r="AD20" i="15"/>
  <c r="AC20" i="15"/>
  <c r="W20" i="13"/>
  <c r="W26" i="13" s="1"/>
  <c r="W31" i="13" s="1"/>
  <c r="AC32" i="17"/>
  <c r="L27" i="15"/>
  <c r="R26" i="13"/>
  <c r="R19" i="13"/>
  <c r="V18" i="13"/>
  <c r="AD7" i="17"/>
  <c r="M16" i="17"/>
  <c r="AB16" i="17" s="1"/>
  <c r="AB15" i="17"/>
  <c r="I13" i="17"/>
  <c r="I15" i="17" s="1"/>
  <c r="I16" i="17" s="1"/>
  <c r="I32" i="17"/>
  <c r="P13" i="20"/>
  <c r="AB11" i="20"/>
  <c r="I30" i="17"/>
  <c r="X8" i="15"/>
  <c r="Q32" i="17"/>
  <c r="Q13" i="17"/>
  <c r="Q15" i="17" s="1"/>
  <c r="Q16" i="17" s="1"/>
  <c r="P32" i="17"/>
  <c r="P13" i="17"/>
  <c r="P15" i="17" s="1"/>
  <c r="P16" i="17" s="1"/>
  <c r="P30" i="17"/>
  <c r="F30" i="13"/>
  <c r="H37" i="13"/>
  <c r="V23" i="15"/>
  <c r="AC27" i="13"/>
  <c r="AD27" i="13"/>
  <c r="T11" i="15"/>
  <c r="T17" i="15" s="1"/>
  <c r="AD13" i="17"/>
  <c r="AC13" i="17"/>
  <c r="AC9" i="20"/>
  <c r="AD9" i="20"/>
  <c r="R32" i="15"/>
  <c r="D35" i="13"/>
  <c r="D32" i="13"/>
  <c r="F13" i="13"/>
  <c r="H12" i="13"/>
  <c r="H8" i="13"/>
  <c r="H11" i="13" s="1"/>
  <c r="F9" i="13"/>
  <c r="W11" i="20"/>
  <c r="K31" i="15"/>
  <c r="K39" i="13"/>
  <c r="K40" i="13" s="1"/>
  <c r="W19" i="13"/>
  <c r="Q26" i="15"/>
  <c r="L35" i="13"/>
  <c r="L32" i="13"/>
  <c r="I10" i="13"/>
  <c r="G10" i="13" s="1"/>
  <c r="J10" i="13" s="1"/>
  <c r="V32" i="17"/>
  <c r="V13" i="17"/>
  <c r="V15" i="17" s="1"/>
  <c r="V16" i="17" s="1"/>
  <c r="AD22" i="17"/>
  <c r="AC22" i="17"/>
  <c r="U29" i="19"/>
  <c r="T29" i="19"/>
  <c r="V18" i="21"/>
  <c r="U18" i="21"/>
  <c r="O7" i="15"/>
  <c r="K11" i="15"/>
  <c r="Q7" i="15"/>
  <c r="P7" i="15"/>
  <c r="AB7" i="15" s="1"/>
  <c r="Q23" i="15"/>
  <c r="O23" i="15"/>
  <c r="P23" i="15"/>
  <c r="E18" i="15"/>
  <c r="E22" i="15"/>
  <c r="E27" i="15" s="1"/>
  <c r="H21" i="15"/>
  <c r="I11" i="15"/>
  <c r="D17" i="15"/>
  <c r="H11" i="15"/>
  <c r="J11" i="15"/>
  <c r="F24" i="15"/>
  <c r="F27" i="13"/>
  <c r="F36" i="13" s="1"/>
  <c r="F32" i="15" s="1"/>
  <c r="AA26" i="13"/>
  <c r="T31" i="13"/>
  <c r="AD7" i="20"/>
  <c r="AC7" i="20"/>
  <c r="Q26" i="13"/>
  <c r="Q31" i="13" s="1"/>
  <c r="Q19" i="13"/>
  <c r="P35" i="13"/>
  <c r="P39" i="13" s="1"/>
  <c r="P40" i="13" s="1"/>
  <c r="X32" i="17"/>
  <c r="X13" i="17"/>
  <c r="X15" i="17" s="1"/>
  <c r="X16" i="17" s="1"/>
  <c r="X30" i="17"/>
  <c r="J32" i="17"/>
  <c r="J13" i="17"/>
  <c r="J15" i="17" s="1"/>
  <c r="J16" i="17" s="1"/>
  <c r="J30" i="17"/>
  <c r="S18" i="15"/>
  <c r="S22" i="15"/>
  <c r="S27" i="15" s="1"/>
  <c r="J29" i="13"/>
  <c r="F25" i="15"/>
  <c r="O26" i="15"/>
  <c r="AC38" i="13"/>
  <c r="AD38" i="13"/>
  <c r="T32" i="15"/>
  <c r="AA36" i="13"/>
  <c r="AC25" i="13"/>
  <c r="AD25" i="13"/>
  <c r="F21" i="13"/>
  <c r="H20" i="13"/>
  <c r="J23" i="13"/>
  <c r="AA15" i="17"/>
  <c r="T16" i="17"/>
  <c r="AA16" i="17" s="1"/>
  <c r="H38" i="13"/>
  <c r="F16" i="13"/>
  <c r="AC8" i="20"/>
  <c r="AD8" i="20"/>
  <c r="R22" i="15"/>
  <c r="V17" i="15"/>
  <c r="V18" i="15" s="1"/>
  <c r="X17" i="15"/>
  <c r="R18" i="15"/>
  <c r="AC33" i="15"/>
  <c r="AD33" i="15"/>
  <c r="AD20" i="20"/>
  <c r="AC20" i="20"/>
  <c r="H34" i="15"/>
  <c r="AC37" i="13"/>
  <c r="M27" i="15"/>
  <c r="AD11" i="13"/>
  <c r="O32" i="17"/>
  <c r="O13" i="17"/>
  <c r="O15" i="17" s="1"/>
  <c r="O16" i="17" s="1"/>
  <c r="I28" i="13"/>
  <c r="AD10" i="15"/>
  <c r="AC10" i="15"/>
  <c r="H27" i="13"/>
  <c r="H36" i="13" s="1"/>
  <c r="AC20" i="13"/>
  <c r="AD20" i="13"/>
  <c r="I25" i="13"/>
  <c r="G25" i="13" s="1"/>
  <c r="J25" i="13" s="1"/>
  <c r="J22" i="13"/>
  <c r="G7" i="13"/>
  <c r="S26" i="13"/>
  <c r="S31" i="13" s="1"/>
  <c r="I14" i="13"/>
  <c r="G14" i="13" s="1"/>
  <c r="J14" i="13" s="1"/>
  <c r="M26" i="13"/>
  <c r="AB18" i="13"/>
  <c r="AC18" i="13" s="1"/>
  <c r="M19" i="13"/>
  <c r="AB19" i="13" s="1"/>
  <c r="N32" i="13"/>
  <c r="N35" i="13"/>
  <c r="U78" i="19" l="1"/>
  <c r="T35" i="19"/>
  <c r="T77" i="19"/>
  <c r="U77" i="19"/>
  <c r="U35" i="19"/>
  <c r="AC16" i="17"/>
  <c r="S28" i="15"/>
  <c r="E28" i="15"/>
  <c r="M28" i="15"/>
  <c r="L28" i="15"/>
  <c r="H18" i="13"/>
  <c r="AC7" i="15"/>
  <c r="P32" i="15"/>
  <c r="AB32" i="15" s="1"/>
  <c r="Q32" i="15"/>
  <c r="F20" i="13"/>
  <c r="I21" i="13"/>
  <c r="J17" i="15"/>
  <c r="J18" i="15" s="1"/>
  <c r="D22" i="15"/>
  <c r="H17" i="15"/>
  <c r="H18" i="15" s="1"/>
  <c r="I17" i="15"/>
  <c r="I18" i="15" s="1"/>
  <c r="D18" i="15"/>
  <c r="T22" i="15"/>
  <c r="T18" i="15"/>
  <c r="V26" i="13"/>
  <c r="V19" i="13"/>
  <c r="N31" i="15"/>
  <c r="N35" i="15" s="1"/>
  <c r="N39" i="13"/>
  <c r="N40" i="13" s="1"/>
  <c r="AB26" i="13"/>
  <c r="AC26" i="13" s="1"/>
  <c r="M31" i="13"/>
  <c r="J7" i="13"/>
  <c r="I27" i="13"/>
  <c r="I36" i="13" s="1"/>
  <c r="G28" i="13"/>
  <c r="F21" i="15"/>
  <c r="F38" i="13"/>
  <c r="F34" i="15" s="1"/>
  <c r="I16" i="13"/>
  <c r="J25" i="15"/>
  <c r="I25" i="15"/>
  <c r="AD18" i="13"/>
  <c r="F23" i="15"/>
  <c r="I24" i="15"/>
  <c r="K35" i="15"/>
  <c r="AD7" i="15"/>
  <c r="AD15" i="17"/>
  <c r="AC15" i="17"/>
  <c r="Q11" i="15"/>
  <c r="O11" i="15"/>
  <c r="K17" i="15"/>
  <c r="P11" i="15"/>
  <c r="AB11" i="15" s="1"/>
  <c r="H26" i="13"/>
  <c r="H31" i="13" s="1"/>
  <c r="H19" i="13"/>
  <c r="W17" i="15"/>
  <c r="W13" i="20"/>
  <c r="AA11" i="20"/>
  <c r="F12" i="13"/>
  <c r="I13" i="13"/>
  <c r="V32" i="15"/>
  <c r="W32" i="15"/>
  <c r="AA32" i="15" s="1"/>
  <c r="AB13" i="20"/>
  <c r="P14" i="20"/>
  <c r="AB14" i="20" s="1"/>
  <c r="L39" i="13"/>
  <c r="L40" i="13" s="1"/>
  <c r="L31" i="15"/>
  <c r="L35" i="15" s="1"/>
  <c r="D39" i="13"/>
  <c r="D40" i="13" s="1"/>
  <c r="D31" i="15"/>
  <c r="V22" i="15"/>
  <c r="R27" i="15"/>
  <c r="W22" i="15"/>
  <c r="AA22" i="15" s="1"/>
  <c r="AC19" i="13"/>
  <c r="AD19" i="13"/>
  <c r="S35" i="13"/>
  <c r="S32" i="13"/>
  <c r="AD36" i="13"/>
  <c r="AC36" i="13"/>
  <c r="X11" i="15"/>
  <c r="X18" i="15" s="1"/>
  <c r="Q35" i="13"/>
  <c r="Q39" i="13" s="1"/>
  <c r="Q40" i="13" s="1"/>
  <c r="Q32" i="13"/>
  <c r="T35" i="13"/>
  <c r="AA31" i="13"/>
  <c r="T32" i="13"/>
  <c r="AA32" i="13" s="1"/>
  <c r="I32" i="15"/>
  <c r="W32" i="13"/>
  <c r="W35" i="13"/>
  <c r="W39" i="13" s="1"/>
  <c r="W40" i="13" s="1"/>
  <c r="F8" i="13"/>
  <c r="F11" i="13" s="1"/>
  <c r="F18" i="13" s="1"/>
  <c r="I9" i="13"/>
  <c r="W11" i="15"/>
  <c r="AA11" i="15" s="1"/>
  <c r="F26" i="15"/>
  <c r="F37" i="13"/>
  <c r="F33" i="15" s="1"/>
  <c r="I30" i="13"/>
  <c r="R31" i="13"/>
  <c r="O32" i="13"/>
  <c r="O35" i="13"/>
  <c r="O39" i="13" s="1"/>
  <c r="O40" i="13" s="1"/>
  <c r="E35" i="13"/>
  <c r="E32" i="13"/>
  <c r="F26" i="13" l="1"/>
  <c r="F31" i="13" s="1"/>
  <c r="F19" i="13"/>
  <c r="I12" i="13"/>
  <c r="G13" i="13"/>
  <c r="W14" i="20"/>
  <c r="AA14" i="20" s="1"/>
  <c r="AC14" i="20" s="1"/>
  <c r="AA13" i="20"/>
  <c r="F22" i="15"/>
  <c r="F27" i="15" s="1"/>
  <c r="I21" i="15"/>
  <c r="I37" i="13"/>
  <c r="G30" i="13"/>
  <c r="D35" i="15"/>
  <c r="AD26" i="13"/>
  <c r="AD32" i="15"/>
  <c r="AC32" i="15"/>
  <c r="W18" i="15"/>
  <c r="AA18" i="15" s="1"/>
  <c r="AA17" i="15"/>
  <c r="K18" i="15"/>
  <c r="P17" i="15"/>
  <c r="K22" i="15"/>
  <c r="Q17" i="15"/>
  <c r="Q18" i="15" s="1"/>
  <c r="O17" i="15"/>
  <c r="O18" i="15" s="1"/>
  <c r="O31" i="15"/>
  <c r="I23" i="15"/>
  <c r="I26" i="15"/>
  <c r="R28" i="15"/>
  <c r="V27" i="15"/>
  <c r="H22" i="15"/>
  <c r="D27" i="15"/>
  <c r="E31" i="15"/>
  <c r="E35" i="15" s="1"/>
  <c r="E39" i="13"/>
  <c r="E40" i="13" s="1"/>
  <c r="R32" i="13"/>
  <c r="V31" i="13"/>
  <c r="R35" i="13"/>
  <c r="I20" i="13"/>
  <c r="G21" i="13"/>
  <c r="AC11" i="15"/>
  <c r="AD11" i="15"/>
  <c r="I8" i="13"/>
  <c r="I11" i="13" s="1"/>
  <c r="I18" i="13" s="1"/>
  <c r="G9" i="13"/>
  <c r="S31" i="15"/>
  <c r="S35" i="15" s="1"/>
  <c r="S39" i="13"/>
  <c r="S40" i="13" s="1"/>
  <c r="O35" i="15"/>
  <c r="O36" i="15" s="1"/>
  <c r="K40" i="15"/>
  <c r="K36" i="15"/>
  <c r="I38" i="13"/>
  <c r="G16" i="13"/>
  <c r="N40" i="15"/>
  <c r="N41" i="15" s="1"/>
  <c r="N36" i="15"/>
  <c r="I33" i="15"/>
  <c r="T39" i="13"/>
  <c r="T31" i="15"/>
  <c r="T35" i="15" s="1"/>
  <c r="AA35" i="13"/>
  <c r="L40" i="15"/>
  <c r="L41" i="15" s="1"/>
  <c r="L36" i="15"/>
  <c r="AD11" i="20"/>
  <c r="AC11" i="20"/>
  <c r="H35" i="13"/>
  <c r="H39" i="13" s="1"/>
  <c r="H40" i="13" s="1"/>
  <c r="H32" i="13"/>
  <c r="I34" i="15"/>
  <c r="G24" i="15"/>
  <c r="G27" i="13"/>
  <c r="G36" i="13" s="1"/>
  <c r="G32" i="15" s="1"/>
  <c r="J32" i="15" s="1"/>
  <c r="J28" i="13"/>
  <c r="M35" i="13"/>
  <c r="M32" i="13"/>
  <c r="AB32" i="13" s="1"/>
  <c r="AC32" i="13" s="1"/>
  <c r="AB31" i="13"/>
  <c r="AD31" i="13" s="1"/>
  <c r="V28" i="15" l="1"/>
  <c r="F28" i="15"/>
  <c r="J27" i="13"/>
  <c r="AD32" i="13"/>
  <c r="I22" i="15"/>
  <c r="AC31" i="13"/>
  <c r="G21" i="15"/>
  <c r="G38" i="13"/>
  <c r="G34" i="15" s="1"/>
  <c r="J34" i="15" s="1"/>
  <c r="J16" i="13"/>
  <c r="J38" i="13" s="1"/>
  <c r="K41" i="15"/>
  <c r="O40" i="15"/>
  <c r="O41" i="15" s="1"/>
  <c r="G8" i="13"/>
  <c r="G11" i="13" s="1"/>
  <c r="J9" i="13"/>
  <c r="J8" i="13" s="1"/>
  <c r="J11" i="13" s="1"/>
  <c r="G20" i="13"/>
  <c r="J21" i="13"/>
  <c r="J20" i="13" s="1"/>
  <c r="V32" i="13"/>
  <c r="V35" i="13"/>
  <c r="V39" i="13" s="1"/>
  <c r="V40" i="13" s="1"/>
  <c r="I27" i="15"/>
  <c r="D28" i="15"/>
  <c r="H27" i="15"/>
  <c r="K27" i="15"/>
  <c r="P22" i="15"/>
  <c r="AB22" i="15" s="1"/>
  <c r="Q22" i="15"/>
  <c r="O22" i="15"/>
  <c r="H31" i="15"/>
  <c r="G37" i="13"/>
  <c r="G33" i="15" s="1"/>
  <c r="J33" i="15" s="1"/>
  <c r="G26" i="15"/>
  <c r="J26" i="15" s="1"/>
  <c r="J30" i="13"/>
  <c r="J37" i="13" s="1"/>
  <c r="G12" i="13"/>
  <c r="J13" i="13"/>
  <c r="J12" i="13" s="1"/>
  <c r="I26" i="13"/>
  <c r="I31" i="13" s="1"/>
  <c r="I19" i="13"/>
  <c r="AB17" i="15"/>
  <c r="AD17" i="15" s="1"/>
  <c r="P18" i="15"/>
  <c r="AB18" i="15" s="1"/>
  <c r="AC18" i="15" s="1"/>
  <c r="D40" i="15"/>
  <c r="D36" i="15"/>
  <c r="H35" i="15"/>
  <c r="H36" i="15" s="1"/>
  <c r="AC13" i="20"/>
  <c r="AD13" i="20"/>
  <c r="M31" i="15"/>
  <c r="M39" i="13"/>
  <c r="AB35" i="13"/>
  <c r="AC35" i="13" s="1"/>
  <c r="S40" i="15"/>
  <c r="S41" i="15" s="1"/>
  <c r="S36" i="15"/>
  <c r="E36" i="15"/>
  <c r="E40" i="15"/>
  <c r="E41" i="15" s="1"/>
  <c r="T40" i="15"/>
  <c r="T41" i="15" s="1"/>
  <c r="T36" i="15"/>
  <c r="G23" i="15"/>
  <c r="J24" i="15"/>
  <c r="T40" i="13"/>
  <c r="AA40" i="13" s="1"/>
  <c r="AA39" i="13"/>
  <c r="R39" i="13"/>
  <c r="R31" i="15"/>
  <c r="F32" i="13"/>
  <c r="F35" i="13"/>
  <c r="H28" i="15" l="1"/>
  <c r="J23" i="15"/>
  <c r="I28" i="15"/>
  <c r="J36" i="13"/>
  <c r="AD35" i="13"/>
  <c r="J18" i="13"/>
  <c r="W31" i="15"/>
  <c r="AA31" i="15" s="1"/>
  <c r="R35" i="15"/>
  <c r="V31" i="15"/>
  <c r="R40" i="13"/>
  <c r="I35" i="13"/>
  <c r="I39" i="13" s="1"/>
  <c r="I40" i="13" s="1"/>
  <c r="I32" i="13"/>
  <c r="G18" i="13"/>
  <c r="Q27" i="15"/>
  <c r="O27" i="15"/>
  <c r="P27" i="15"/>
  <c r="K28" i="15"/>
  <c r="F39" i="13"/>
  <c r="F40" i="13" s="1"/>
  <c r="F31" i="15"/>
  <c r="M40" i="13"/>
  <c r="AB40" i="13" s="1"/>
  <c r="AC40" i="13" s="1"/>
  <c r="AB39" i="13"/>
  <c r="AD39" i="13" s="1"/>
  <c r="H40" i="15"/>
  <c r="H41" i="15" s="1"/>
  <c r="D41" i="15"/>
  <c r="AC17" i="15"/>
  <c r="M35" i="15"/>
  <c r="Q31" i="15"/>
  <c r="P31" i="15"/>
  <c r="AB31" i="15" s="1"/>
  <c r="AD22" i="15"/>
  <c r="AC22" i="15"/>
  <c r="G22" i="15"/>
  <c r="J21" i="15"/>
  <c r="P28" i="15" l="1"/>
  <c r="Q28" i="15"/>
  <c r="O28" i="15"/>
  <c r="G26" i="13"/>
  <c r="G31" i="13" s="1"/>
  <c r="G19" i="13"/>
  <c r="AC31" i="15"/>
  <c r="AD31" i="15"/>
  <c r="G27" i="15"/>
  <c r="J22" i="15"/>
  <c r="M36" i="15"/>
  <c r="M40" i="15"/>
  <c r="P35" i="15"/>
  <c r="Q35" i="15"/>
  <c r="Q36" i="15" s="1"/>
  <c r="AC39" i="13"/>
  <c r="F35" i="15"/>
  <c r="I31" i="15"/>
  <c r="R36" i="15"/>
  <c r="W35" i="15"/>
  <c r="R40" i="15"/>
  <c r="V35" i="15"/>
  <c r="V36" i="15" s="1"/>
  <c r="J26" i="13"/>
  <c r="J31" i="13" s="1"/>
  <c r="J19" i="13"/>
  <c r="W36" i="15" l="1"/>
  <c r="AA36" i="15" s="1"/>
  <c r="AA35" i="15"/>
  <c r="M41" i="15"/>
  <c r="Q40" i="15"/>
  <c r="Q41" i="15" s="1"/>
  <c r="P40" i="15"/>
  <c r="R41" i="15"/>
  <c r="V40" i="15"/>
  <c r="V41" i="15" s="1"/>
  <c r="W40" i="15"/>
  <c r="J32" i="13"/>
  <c r="J35" i="13"/>
  <c r="F36" i="15"/>
  <c r="F40" i="15"/>
  <c r="I35" i="15"/>
  <c r="I36" i="15" s="1"/>
  <c r="P36" i="15"/>
  <c r="AB36" i="15" s="1"/>
  <c r="AB35" i="15"/>
  <c r="G28" i="15"/>
  <c r="J27" i="15"/>
  <c r="G32" i="13"/>
  <c r="G35" i="13"/>
  <c r="J28" i="15" l="1"/>
  <c r="J39" i="13"/>
  <c r="AC35" i="15"/>
  <c r="AD35" i="15"/>
  <c r="G31" i="15"/>
  <c r="G39" i="13"/>
  <c r="G40" i="13" s="1"/>
  <c r="F41" i="15"/>
  <c r="I40" i="15"/>
  <c r="I41" i="15" s="1"/>
  <c r="W41" i="15"/>
  <c r="AA41" i="15" s="1"/>
  <c r="AA40" i="15"/>
  <c r="P41" i="15"/>
  <c r="AB41" i="15" s="1"/>
  <c r="AB40" i="15"/>
  <c r="AC36" i="15"/>
  <c r="AC41" i="15" l="1"/>
  <c r="J40" i="13"/>
  <c r="G35" i="15"/>
  <c r="J31" i="15"/>
  <c r="AD40" i="15"/>
  <c r="AC40" i="15"/>
  <c r="G36" i="15" l="1"/>
  <c r="G40" i="15"/>
  <c r="J35" i="15"/>
  <c r="J36" i="15" s="1"/>
  <c r="G41" i="15" l="1"/>
  <c r="J40" i="15"/>
  <c r="J41" i="15" s="1"/>
  <c r="U21" i="13" l="1"/>
  <c r="U20" i="13" s="1"/>
  <c r="U25" i="13"/>
  <c r="U22" i="13"/>
  <c r="U30" i="13"/>
  <c r="U37" i="13" s="1"/>
  <c r="X21" i="15"/>
  <c r="U24" i="13"/>
  <c r="U13" i="13"/>
  <c r="U12" i="13" s="1"/>
  <c r="U16" i="13"/>
  <c r="U38" i="13" s="1"/>
  <c r="U9" i="13"/>
  <c r="U8" i="13" s="1"/>
  <c r="U23" i="13"/>
  <c r="U10" i="13"/>
  <c r="U14" i="13"/>
  <c r="U15" i="13"/>
  <c r="U17" i="13"/>
  <c r="U28" i="13"/>
  <c r="U27" i="13" s="1"/>
  <c r="U36" i="13" s="1"/>
  <c r="U29" i="13"/>
  <c r="U7" i="13"/>
  <c r="U11" i="13" s="1"/>
  <c r="U18" i="13" s="1"/>
  <c r="U19" i="13" l="1"/>
  <c r="U26" i="13"/>
  <c r="U31" i="13" s="1"/>
  <c r="U33" i="15"/>
  <c r="X33" i="15" s="1"/>
  <c r="X37" i="13"/>
  <c r="X36" i="13"/>
  <c r="U32" i="15"/>
  <c r="X32" i="15" s="1"/>
  <c r="X22" i="15"/>
  <c r="X20" i="15"/>
  <c r="U34" i="15"/>
  <c r="X34" i="15" s="1"/>
  <c r="X38" i="13"/>
  <c r="U35" i="13" l="1"/>
  <c r="U32" i="13"/>
  <c r="X35" i="13" l="1"/>
  <c r="U39" i="13"/>
  <c r="U31" i="15"/>
  <c r="X31" i="15" l="1"/>
  <c r="U35" i="15"/>
  <c r="X39" i="13"/>
  <c r="X40" i="13" s="1"/>
  <c r="U40" i="13"/>
  <c r="U36" i="15" l="1"/>
  <c r="U40" i="15"/>
  <c r="X35" i="15"/>
  <c r="X36" i="15" s="1"/>
  <c r="X40" i="15" l="1"/>
  <c r="X41" i="15" s="1"/>
  <c r="U4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Lais Lobão</author>
  </authors>
  <commentList>
    <comment ref="L19" authorId="0" shapeId="0" xr:uid="{00000000-0006-0000-0300-000001000000}">
      <text>
        <r>
          <rPr>
            <sz val="8"/>
            <rFont val="Segoe UI"/>
            <family val="2"/>
          </rPr>
          <t>Valores de despesas ajustadas publicados no Release de Resultados ddo 2T22 e 3T22 incluem ajustes adicionais e, portanto, diferem dos desta planilha.</t>
        </r>
      </text>
    </comment>
    <comment ref="M19" authorId="0" shapeId="0" xr:uid="{00000000-0006-0000-0300-000002000000}">
      <text>
        <r>
          <rPr>
            <sz val="8"/>
            <rFont val="Segoe UI"/>
            <family val="2"/>
          </rPr>
          <t>Valores de despesas ajustadas publicados no Release de Resultados ddo 2T22 e 3T22 incluem ajustes adicionais e, portanto, diferem dos desta planilha.</t>
        </r>
      </text>
    </comment>
  </commentList>
</comments>
</file>

<file path=xl/sharedStrings.xml><?xml version="1.0" encoding="utf-8"?>
<sst xmlns="http://schemas.openxmlformats.org/spreadsheetml/2006/main" count="457" uniqueCount="272">
  <si>
    <r>
      <rPr>
        <b/>
        <u/>
        <sz val="9"/>
        <color rgb="FF000000"/>
        <rFont val="Arial"/>
        <family val="2"/>
      </rPr>
      <t>Assets</t>
    </r>
  </si>
  <si>
    <r>
      <rPr>
        <sz val="9"/>
        <color rgb="FF000000"/>
        <rFont val="Arial"/>
        <family val="2"/>
      </rPr>
      <t>Trade accounts receivable</t>
    </r>
  </si>
  <si>
    <r>
      <rPr>
        <sz val="9"/>
        <color rgb="FF000000"/>
        <rFont val="Arial"/>
        <family val="2"/>
      </rPr>
      <t>Inventories</t>
    </r>
  </si>
  <si>
    <r>
      <rPr>
        <sz val="9"/>
        <color rgb="FF000000"/>
        <rFont val="Arial"/>
        <family val="2"/>
      </rPr>
      <t>Fixed assets</t>
    </r>
  </si>
  <si>
    <r>
      <rPr>
        <sz val="9"/>
        <color rgb="FF000000"/>
        <rFont val="Arial"/>
        <family val="2"/>
      </rPr>
      <t>Intangible assets</t>
    </r>
  </si>
  <si>
    <r>
      <rPr>
        <sz val="9"/>
        <color rgb="FF000000"/>
        <rFont val="Arial"/>
        <family val="2"/>
      </rPr>
      <t>Trade accounts payable</t>
    </r>
  </si>
  <si>
    <r>
      <rPr>
        <sz val="9"/>
        <color rgb="FF000000"/>
        <rFont val="Arial"/>
        <family val="2"/>
      </rPr>
      <t>Personnel</t>
    </r>
  </si>
  <si>
    <r>
      <rPr>
        <b/>
        <sz val="9"/>
        <color rgb="FF000000"/>
        <rFont val="Arial"/>
        <family val="2"/>
      </rPr>
      <t>Depreciation and amortization</t>
    </r>
  </si>
  <si>
    <r>
      <rPr>
        <b/>
        <sz val="9"/>
        <color rgb="FF000000"/>
        <rFont val="Arial"/>
        <family val="2"/>
      </rPr>
      <t>Current</t>
    </r>
  </si>
  <si>
    <t>1T20</t>
  </si>
  <si>
    <t>1T21</t>
  </si>
  <si>
    <r>
      <rPr>
        <b/>
        <sz val="9"/>
        <color rgb="FF000000"/>
        <rFont val="Arial"/>
        <family val="2"/>
      </rPr>
      <t>Costs of services rendered</t>
    </r>
  </si>
  <si>
    <r>
      <rPr>
        <b/>
        <sz val="9"/>
        <color rgb="FF000000"/>
        <rFont val="Arial"/>
        <family val="2"/>
      </rPr>
      <t>Gross profit</t>
    </r>
  </si>
  <si>
    <r>
      <rPr>
        <b/>
        <sz val="9"/>
        <color rgb="FF000000"/>
        <rFont val="Arial"/>
        <family val="2"/>
      </rPr>
      <t>General and administrative expenses</t>
    </r>
  </si>
  <si>
    <r>
      <rPr>
        <b/>
        <sz val="9"/>
        <color rgb="FF000000"/>
        <rFont val="Arial"/>
        <family val="2"/>
      </rPr>
      <t>Non-current</t>
    </r>
  </si>
  <si>
    <r>
      <rPr>
        <sz val="9"/>
        <color rgb="FF000000"/>
        <rFont val="Arial"/>
        <family val="2"/>
      </rPr>
      <t>Court deposits</t>
    </r>
  </si>
  <si>
    <r>
      <rPr>
        <sz val="9"/>
        <color rgb="FF000000"/>
        <rFont val="Arial"/>
        <family val="2"/>
      </rPr>
      <t>Right of use</t>
    </r>
  </si>
  <si>
    <r>
      <rPr>
        <b/>
        <u/>
        <sz val="9"/>
        <color rgb="FF000000"/>
        <rFont val="Arial"/>
        <family val="2"/>
      </rPr>
      <t>Liabilities</t>
    </r>
  </si>
  <si>
    <r>
      <rPr>
        <sz val="9"/>
        <color rgb="FF000000"/>
        <rFont val="Arial"/>
        <family val="2"/>
      </rPr>
      <t>Taxes and contributions payable</t>
    </r>
  </si>
  <si>
    <r>
      <rPr>
        <sz val="9"/>
        <color rgb="FF000000"/>
        <rFont val="Arial"/>
        <family val="2"/>
      </rPr>
      <t>Equity valuation adjustments</t>
    </r>
  </si>
  <si>
    <r>
      <rPr>
        <sz val="9"/>
        <color rgb="FF000000"/>
        <rFont val="Arial"/>
        <family val="2"/>
      </rPr>
      <t>Taxes paid in installments</t>
    </r>
  </si>
  <si>
    <r>
      <rPr>
        <b/>
        <sz val="9"/>
        <color rgb="FF000000"/>
        <rFont val="Arial"/>
        <family val="2"/>
      </rPr>
      <t>EBITDA Margin (%)</t>
    </r>
  </si>
  <si>
    <r>
      <rPr>
        <b/>
        <sz val="9"/>
        <color rgb="FFFFFFFF"/>
        <rFont val="Arial"/>
        <family val="2"/>
      </rPr>
      <t>Investor Relations</t>
    </r>
  </si>
  <si>
    <r>
      <rPr>
        <b/>
        <sz val="9"/>
        <color rgb="FF000000"/>
        <rFont val="Arial"/>
        <family val="2"/>
      </rPr>
      <t>Net revenue</t>
    </r>
  </si>
  <si>
    <t>2T21</t>
  </si>
  <si>
    <t>2T20</t>
  </si>
  <si>
    <r>
      <rPr>
        <b/>
        <sz val="9"/>
        <color rgb="FF000000"/>
        <rFont val="Arial"/>
        <family val="2"/>
      </rPr>
      <t>Taxes and deductions</t>
    </r>
  </si>
  <si>
    <t>3T21</t>
  </si>
  <si>
    <t>3T20</t>
  </si>
  <si>
    <t>4T21</t>
  </si>
  <si>
    <r>
      <rPr>
        <sz val="9"/>
        <color rgb="FF000000"/>
        <rFont val="Arial"/>
        <family val="2"/>
      </rPr>
      <t>Deductions</t>
    </r>
  </si>
  <si>
    <r>
      <rPr>
        <sz val="9"/>
        <color rgb="FF000000"/>
        <rFont val="Arial"/>
        <family val="2"/>
      </rPr>
      <t>Taxes</t>
    </r>
  </si>
  <si>
    <r>
      <rPr>
        <sz val="9"/>
        <color rgb="FF000000"/>
        <rFont val="Arial"/>
        <family val="2"/>
      </rPr>
      <t>Material</t>
    </r>
  </si>
  <si>
    <r>
      <rPr>
        <sz val="9"/>
        <color rgb="FF000000"/>
        <rFont val="Arial"/>
        <family val="2"/>
      </rPr>
      <t>Cash and cash equivalents</t>
    </r>
  </si>
  <si>
    <r>
      <rPr>
        <sz val="9"/>
        <color rgb="FF000000"/>
        <rFont val="Arial"/>
        <family val="2"/>
      </rPr>
      <t>Prepaid expenses</t>
    </r>
  </si>
  <si>
    <r>
      <rPr>
        <sz val="9"/>
        <color rgb="FF000000"/>
        <rFont val="Arial"/>
        <family val="2"/>
      </rPr>
      <t>Derivative financial instruments</t>
    </r>
  </si>
  <si>
    <r>
      <rPr>
        <sz val="9"/>
        <color rgb="FF000000"/>
        <rFont val="Arial"/>
        <family val="2"/>
      </rPr>
      <t>Other credits</t>
    </r>
  </si>
  <si>
    <r>
      <rPr>
        <sz val="9"/>
        <color rgb="FF000000"/>
        <rFont val="Arial"/>
        <family val="2"/>
      </rPr>
      <t>Accounts payable for acquisitions of subsidiaries</t>
    </r>
  </si>
  <si>
    <r>
      <rPr>
        <sz val="9"/>
        <color rgb="FF000000"/>
        <rFont val="Arial"/>
        <family val="2"/>
      </rPr>
      <t>Debentures</t>
    </r>
  </si>
  <si>
    <r>
      <rPr>
        <sz val="9"/>
        <color rgb="FF000000"/>
        <rFont val="Arial"/>
        <family val="2"/>
      </rPr>
      <t>Capital stock</t>
    </r>
  </si>
  <si>
    <r>
      <rPr>
        <sz val="9"/>
        <color rgb="FF000000"/>
        <rFont val="Arial"/>
        <family val="2"/>
      </rPr>
      <t>Capital reserves</t>
    </r>
  </si>
  <si>
    <r>
      <rPr>
        <sz val="9"/>
        <color rgb="FF000000"/>
        <rFont val="Arial"/>
        <family val="2"/>
      </rPr>
      <t>Call option obtained from non-controlling shareholders</t>
    </r>
  </si>
  <si>
    <r>
      <rPr>
        <sz val="9"/>
        <color rgb="FF000000"/>
        <rFont val="Arial"/>
        <family val="2"/>
      </rPr>
      <t>Taxes recoverable</t>
    </r>
  </si>
  <si>
    <r>
      <rPr>
        <sz val="9"/>
        <color rgb="FF000000"/>
        <rFont val="Arial"/>
        <family val="2"/>
      </rPr>
      <t>Loans and financing</t>
    </r>
  </si>
  <si>
    <r>
      <rPr>
        <sz val="9"/>
        <color rgb="FF000000"/>
        <rFont val="Arial"/>
        <family val="2"/>
      </rPr>
      <t>Income tax and social contribution payable</t>
    </r>
  </si>
  <si>
    <r>
      <rPr>
        <sz val="9"/>
        <color rgb="FF000000"/>
        <rFont val="Arial"/>
        <family val="2"/>
      </rPr>
      <t>Payroll and labor obligations</t>
    </r>
  </si>
  <si>
    <r>
      <rPr>
        <sz val="9"/>
        <color rgb="FF000000"/>
        <rFont val="Arial"/>
        <family val="2"/>
      </rPr>
      <t>Dividends and interest in equity</t>
    </r>
  </si>
  <si>
    <r>
      <rPr>
        <sz val="9"/>
        <color rgb="FF000000"/>
        <rFont val="Arial"/>
        <family val="2"/>
      </rPr>
      <t>Lease liabilities</t>
    </r>
  </si>
  <si>
    <r>
      <rPr>
        <sz val="9"/>
        <color rgb="FF000000"/>
        <rFont val="Arial"/>
        <family val="2"/>
      </rPr>
      <t>Share-based payment</t>
    </r>
  </si>
  <si>
    <r>
      <rPr>
        <sz val="9"/>
        <color rgb="FF000000"/>
        <rFont val="Arial"/>
        <family val="2"/>
      </rPr>
      <t>Put option granted to non-controlling shareholders</t>
    </r>
  </si>
  <si>
    <r>
      <rPr>
        <sz val="9"/>
        <color rgb="FF000000"/>
        <rFont val="Arial"/>
        <family val="2"/>
      </rPr>
      <t>Other accounts payable and provisions</t>
    </r>
  </si>
  <si>
    <r>
      <rPr>
        <sz val="9"/>
        <color rgb="FF000000"/>
        <rFont val="Arial"/>
        <family val="2"/>
      </rPr>
      <t>Financial investments linked</t>
    </r>
  </si>
  <si>
    <r>
      <rPr>
        <sz val="9"/>
        <color rgb="FF000000"/>
        <rFont val="Arial"/>
        <family val="2"/>
      </rPr>
      <t>Taxes recoverable</t>
    </r>
    <r>
      <rPr>
        <sz val="9"/>
        <color rgb="FF000000"/>
        <rFont val="Arial"/>
        <family val="2"/>
      </rPr>
      <t xml:space="preserve"> </t>
    </r>
  </si>
  <si>
    <r>
      <rPr>
        <sz val="9"/>
        <color rgb="FF000000"/>
        <rFont val="Arial"/>
        <family val="2"/>
      </rPr>
      <t>Deferred taxes</t>
    </r>
  </si>
  <si>
    <r>
      <rPr>
        <sz val="9"/>
        <color rgb="FF000000"/>
        <rFont val="Arial"/>
        <family val="2"/>
      </rPr>
      <t>Investments</t>
    </r>
  </si>
  <si>
    <r>
      <rPr>
        <sz val="9"/>
        <color rgb="FF000000"/>
        <rFont val="Arial"/>
        <family val="2"/>
      </rPr>
      <t>Provisions for tax, social security, labor and civil contingencies</t>
    </r>
  </si>
  <si>
    <r>
      <rPr>
        <sz val="9"/>
        <color rgb="FF000000"/>
        <rFont val="Arial"/>
        <family val="2"/>
      </rPr>
      <t>Profit reserves</t>
    </r>
  </si>
  <si>
    <t>4T20</t>
  </si>
  <si>
    <r>
      <rPr>
        <b/>
        <sz val="9"/>
        <color rgb="FFFFFFFF"/>
        <rFont val="Arial"/>
        <family val="2"/>
      </rPr>
      <t>Balance Sheet (R$ million)</t>
    </r>
  </si>
  <si>
    <t>1T22</t>
  </si>
  <si>
    <t>2T22</t>
  </si>
  <si>
    <t>3T22</t>
  </si>
  <si>
    <r>
      <rPr>
        <sz val="10"/>
        <color rgb="FFFFFFFF"/>
        <rFont val="Arial"/>
        <family val="2"/>
      </rPr>
      <t>BU1 - Margin and KPIs</t>
    </r>
  </si>
  <si>
    <r>
      <rPr>
        <sz val="10"/>
        <color rgb="FFFFFFFF"/>
        <rFont val="Arial"/>
        <family val="2"/>
      </rPr>
      <t>BU2 - Margin and KPIs</t>
    </r>
  </si>
  <si>
    <r>
      <rPr>
        <sz val="10"/>
        <color rgb="FFFFFFFF"/>
        <rFont val="Arial"/>
        <family val="2"/>
      </rPr>
      <t>Balance Sheet</t>
    </r>
  </si>
  <si>
    <r>
      <rPr>
        <sz val="10"/>
        <color rgb="FFFFFFFF"/>
        <rFont val="Arial"/>
        <family val="2"/>
      </rPr>
      <t>Debt</t>
    </r>
  </si>
  <si>
    <r>
      <rPr>
        <sz val="9"/>
        <color rgb="FFFFFFFF"/>
        <rFont val="Arial"/>
        <family val="2"/>
      </rPr>
      <t>ir@dasa.com.br</t>
    </r>
  </si>
  <si>
    <t>1S20</t>
  </si>
  <si>
    <t>9M20</t>
  </si>
  <si>
    <t>1S21</t>
  </si>
  <si>
    <t>9M21</t>
  </si>
  <si>
    <t>4T22</t>
  </si>
  <si>
    <t>1S22</t>
  </si>
  <si>
    <t>9M22</t>
  </si>
  <si>
    <r>
      <rPr>
        <b/>
        <sz val="9"/>
        <color rgb="FF000000"/>
        <rFont val="Arial"/>
        <family val="2"/>
      </rPr>
      <t>Gross revenue</t>
    </r>
  </si>
  <si>
    <r>
      <rPr>
        <sz val="10"/>
        <color rgb="FFFFFFFF"/>
        <rFont val="Arial"/>
        <family val="2"/>
      </rPr>
      <t>Consolidated Managerial Income Statement</t>
    </r>
  </si>
  <si>
    <r>
      <rPr>
        <b/>
        <sz val="9"/>
        <color rgb="FFFFFFFF"/>
        <rFont val="Arial"/>
        <family val="2"/>
      </rPr>
      <t>Leverage</t>
    </r>
  </si>
  <si>
    <r>
      <rPr>
        <sz val="9"/>
        <color rgb="FF000000"/>
        <rFont val="Arial"/>
        <family val="2"/>
      </rPr>
      <t>Exams - Outpatients (000s)</t>
    </r>
  </si>
  <si>
    <r>
      <rPr>
        <sz val="9"/>
        <color rgb="FF000000"/>
        <rFont val="Arial"/>
        <family val="2"/>
      </rPr>
      <t>Exams - B2B (000s)</t>
    </r>
  </si>
  <si>
    <r>
      <rPr>
        <sz val="9"/>
        <color rgb="FF000000"/>
        <rFont val="Arial"/>
        <family val="2"/>
      </rPr>
      <t>Patient Service Centers</t>
    </r>
  </si>
  <si>
    <r>
      <rPr>
        <sz val="9"/>
        <color rgb="FF000000"/>
        <rFont val="Arial"/>
        <family val="2"/>
      </rPr>
      <t>Notes:</t>
    </r>
  </si>
  <si>
    <r>
      <rPr>
        <b/>
        <sz val="9"/>
        <color rgb="FF000000"/>
        <rFont val="Arial"/>
        <family val="2"/>
      </rPr>
      <t>Total current assets</t>
    </r>
  </si>
  <si>
    <r>
      <rPr>
        <b/>
        <sz val="9"/>
        <color rgb="FF000000"/>
        <rFont val="Arial"/>
        <family val="2"/>
      </rPr>
      <t>Realizable in the long term</t>
    </r>
  </si>
  <si>
    <r>
      <rPr>
        <b/>
        <sz val="9"/>
        <color rgb="FF000000"/>
        <rFont val="Arial"/>
        <family val="2"/>
      </rPr>
      <t>Total non-current assets</t>
    </r>
  </si>
  <si>
    <r>
      <rPr>
        <b/>
        <sz val="9"/>
        <color rgb="FF000000"/>
        <rFont val="Arial"/>
        <family val="2"/>
      </rPr>
      <t>Total assets</t>
    </r>
  </si>
  <si>
    <r>
      <rPr>
        <b/>
        <sz val="9"/>
        <color rgb="FF000000"/>
        <rFont val="Arial"/>
        <family val="2"/>
      </rPr>
      <t>Total current liabilities</t>
    </r>
  </si>
  <si>
    <r>
      <rPr>
        <b/>
        <sz val="9"/>
        <color rgb="FF000000"/>
        <rFont val="Arial"/>
        <family val="2"/>
      </rPr>
      <t>Total non-current liabilities</t>
    </r>
  </si>
  <si>
    <r>
      <rPr>
        <b/>
        <u/>
        <sz val="9"/>
        <color rgb="FF000000"/>
        <rFont val="Arial"/>
        <family val="2"/>
      </rPr>
      <t>Shareholders' equity</t>
    </r>
  </si>
  <si>
    <r>
      <rPr>
        <b/>
        <sz val="9"/>
        <color rgb="FF000000"/>
        <rFont val="Arial"/>
        <family val="2"/>
      </rPr>
      <t>Total shareholders' equity</t>
    </r>
  </si>
  <si>
    <r>
      <rPr>
        <b/>
        <sz val="9"/>
        <color rgb="FF000000"/>
        <rFont val="Arial"/>
        <family val="2"/>
      </rPr>
      <t>Total liabilities and shareholders' equity</t>
    </r>
  </si>
  <si>
    <r>
      <rPr>
        <sz val="9"/>
        <color rgb="FF000000"/>
        <rFont val="Arial"/>
        <family val="2"/>
      </rPr>
      <t>Securities</t>
    </r>
  </si>
  <si>
    <r>
      <rPr>
        <b/>
        <sz val="9"/>
        <color rgb="FFFFFFFF"/>
        <rFont val="Arial"/>
        <family val="2"/>
      </rPr>
      <t>Historical Data</t>
    </r>
  </si>
  <si>
    <r>
      <rPr>
        <sz val="9"/>
        <color rgb="FF000000"/>
        <rFont val="Arial"/>
        <family val="2"/>
      </rPr>
      <t>Diagnostics</t>
    </r>
  </si>
  <si>
    <r>
      <rPr>
        <sz val="9"/>
        <color rgb="FF000000"/>
        <rFont val="Arial"/>
        <family val="2"/>
      </rPr>
      <t>Other</t>
    </r>
  </si>
  <si>
    <r>
      <rPr>
        <b/>
        <sz val="9"/>
        <color rgb="FF000000"/>
        <rFont val="Arial"/>
        <family val="2"/>
      </rPr>
      <t>Other operating income (expenses), net</t>
    </r>
  </si>
  <si>
    <r>
      <rPr>
        <sz val="9"/>
        <color rgb="FF000000"/>
        <rFont val="Arial"/>
        <family val="2"/>
      </rPr>
      <t>Non-controlling interest</t>
    </r>
  </si>
  <si>
    <r>
      <rPr>
        <i/>
        <sz val="9"/>
        <color rgb="FF000000"/>
        <rFont val="Arial"/>
        <family val="2"/>
      </rPr>
      <t>% BU2 Revenue</t>
    </r>
  </si>
  <si>
    <r>
      <rPr>
        <i/>
        <sz val="9"/>
        <color rgb="FF000000"/>
        <rFont val="Arial"/>
        <family val="2"/>
      </rPr>
      <t>% Revenue Diagnostics</t>
    </r>
  </si>
  <si>
    <t>1T23</t>
  </si>
  <si>
    <t>2T23</t>
  </si>
  <si>
    <t>1S23</t>
  </si>
  <si>
    <r>
      <rPr>
        <sz val="9"/>
        <color rgb="FF000000"/>
        <rFont val="Arial"/>
        <family val="2"/>
      </rPr>
      <t>Day patients ('000)</t>
    </r>
  </si>
  <si>
    <r>
      <rPr>
        <sz val="9"/>
        <color rgb="FF000000"/>
        <rFont val="Arial"/>
        <family val="2"/>
      </rPr>
      <t>Average ticket (R$)</t>
    </r>
  </si>
  <si>
    <r>
      <rPr>
        <sz val="10"/>
        <color rgb="FFFFFFFF"/>
        <rFont val="Arial"/>
        <family val="2"/>
      </rPr>
      <t>Consolidated Corporate Income Statement</t>
    </r>
  </si>
  <si>
    <r>
      <rPr>
        <sz val="9"/>
        <color rgb="FF000000"/>
        <rFont val="Arial"/>
        <family val="2"/>
      </rPr>
      <t>General expenses</t>
    </r>
  </si>
  <si>
    <r>
      <rPr>
        <i/>
        <sz val="9"/>
        <color rgb="FF000000"/>
        <rFont val="Arial"/>
        <family val="2"/>
      </rPr>
      <t>Gross margin</t>
    </r>
  </si>
  <si>
    <r>
      <rPr>
        <sz val="9"/>
        <color rgb="FF000000"/>
        <rFont val="Arial"/>
        <family val="2"/>
      </rPr>
      <t>Services and utilities</t>
    </r>
  </si>
  <si>
    <r>
      <rPr>
        <b/>
        <sz val="9"/>
        <color rgb="FFFFFFFF"/>
        <rFont val="Arial"/>
        <family val="2"/>
      </rPr>
      <t>Corporate Income Statement (R$ million)</t>
    </r>
  </si>
  <si>
    <r>
      <rPr>
        <b/>
        <sz val="9"/>
        <color rgb="FF000000"/>
        <rFont val="Arial"/>
        <family val="2"/>
      </rPr>
      <t>Operating profit (EBIT</t>
    </r>
    <r>
      <rPr>
        <b/>
        <vertAlign val="superscript"/>
        <sz val="9"/>
        <color rgb="FF000000"/>
        <rFont val="Arial"/>
        <family val="2"/>
      </rPr>
      <t>1</t>
    </r>
    <r>
      <rPr>
        <b/>
        <sz val="9"/>
        <color rgb="FF000000"/>
        <rFont val="Arial"/>
        <family val="2"/>
      </rPr>
      <t>)</t>
    </r>
  </si>
  <si>
    <r>
      <rPr>
        <sz val="9"/>
        <color rgb="FF000000"/>
        <rFont val="Arial"/>
        <family val="2"/>
      </rPr>
      <t>Notes:</t>
    </r>
    <r>
      <rPr>
        <sz val="9"/>
        <color rgb="FF000000"/>
        <rFont val="Arial"/>
        <family val="2"/>
      </rPr>
      <t xml:space="preserve"> </t>
    </r>
    <r>
      <rPr>
        <sz val="9"/>
        <color rgb="FF000000"/>
        <rFont val="Arial"/>
        <family val="2"/>
      </rPr>
      <t>(1) Earnings before interest and taxes;</t>
    </r>
    <r>
      <rPr>
        <sz val="9"/>
        <color rgb="FF000000"/>
        <rFont val="Arial"/>
        <family val="2"/>
      </rPr>
      <t xml:space="preserve"> </t>
    </r>
    <r>
      <rPr>
        <sz val="9"/>
        <color rgb="FF000000"/>
        <rFont val="Arial"/>
        <family val="2"/>
      </rPr>
      <t>(2) Earnings before interest, taxes, depreciation and amortization</t>
    </r>
  </si>
  <si>
    <r>
      <rPr>
        <sz val="9"/>
        <color rgb="FF000000"/>
        <rFont val="Arial"/>
        <family val="2"/>
      </rPr>
      <t>(+) Net financial result</t>
    </r>
  </si>
  <si>
    <r>
      <rPr>
        <sz val="9"/>
        <color rgb="FF000000"/>
        <rFont val="Arial"/>
        <family val="2"/>
      </rPr>
      <t>(+) Income tax and social contribution</t>
    </r>
  </si>
  <si>
    <r>
      <rPr>
        <sz val="9"/>
        <color rgb="FF000000"/>
        <rFont val="Arial"/>
        <family val="2"/>
      </rPr>
      <t>(+) Depreciation and amortization</t>
    </r>
  </si>
  <si>
    <r>
      <rPr>
        <b/>
        <sz val="9"/>
        <color rgb="FF000000"/>
        <rFont val="Arial"/>
        <family val="2"/>
      </rPr>
      <t>(=) EBITDA</t>
    </r>
  </si>
  <si>
    <r>
      <rPr>
        <b/>
        <sz val="9"/>
        <color rgb="FF000000"/>
        <rFont val="Arial"/>
        <family val="2"/>
      </rPr>
      <t xml:space="preserve">Adjusted general </t>
    </r>
    <r>
      <rPr>
        <b/>
        <sz val="9"/>
        <color rgb="FF000000"/>
        <rFont val="Arial"/>
        <family val="2"/>
      </rPr>
      <t>&amp;</t>
    </r>
    <r>
      <rPr>
        <b/>
        <sz val="9"/>
        <color rgb="FF000000"/>
        <rFont val="Arial"/>
        <family val="2"/>
      </rPr>
      <t xml:space="preserve"> administrative expenses</t>
    </r>
    <r>
      <rPr>
        <b/>
        <vertAlign val="superscript"/>
        <sz val="9"/>
        <color rgb="FF000000"/>
        <rFont val="Arial"/>
        <family val="2"/>
      </rPr>
      <t>1</t>
    </r>
  </si>
  <si>
    <r>
      <rPr>
        <b/>
        <sz val="9"/>
        <color rgb="FF000000"/>
        <rFont val="Arial"/>
        <family val="2"/>
      </rPr>
      <t>Operating profit (EBIT</t>
    </r>
    <r>
      <rPr>
        <b/>
        <vertAlign val="superscript"/>
        <sz val="9"/>
        <color rgb="FF000000"/>
        <rFont val="Arial"/>
        <family val="2"/>
      </rPr>
      <t>2</t>
    </r>
    <r>
      <rPr>
        <b/>
        <sz val="9"/>
        <color rgb="FF000000"/>
        <rFont val="Arial"/>
        <family val="2"/>
      </rPr>
      <t>)</t>
    </r>
  </si>
  <si>
    <r>
      <rPr>
        <sz val="9"/>
        <color rgb="FF000000"/>
        <rFont val="Arial"/>
        <family val="2"/>
      </rPr>
      <t>Total beds</t>
    </r>
  </si>
  <si>
    <r>
      <rPr>
        <sz val="9"/>
        <color rgb="FF000000"/>
        <rFont val="Arial"/>
        <family val="2"/>
      </rPr>
      <t>Active beds</t>
    </r>
  </si>
  <si>
    <r>
      <rPr>
        <b/>
        <sz val="9"/>
        <color rgb="FFFFFFFF"/>
        <rFont val="Arial"/>
        <family val="2"/>
      </rPr>
      <t>BU1 - Operating data</t>
    </r>
  </si>
  <si>
    <r>
      <rPr>
        <b/>
        <sz val="9"/>
        <color rgb="FFFFFFFF"/>
        <rFont val="Arial"/>
        <family val="2"/>
      </rPr>
      <t>BU2 - Operating data</t>
    </r>
  </si>
  <si>
    <r>
      <rPr>
        <sz val="9"/>
        <color rgb="FF000000"/>
        <rFont val="Arial"/>
        <family val="2"/>
      </rPr>
      <t>Care coordination</t>
    </r>
  </si>
  <si>
    <r>
      <rPr>
        <sz val="9"/>
        <color rgb="FF000000"/>
        <rFont val="Arial"/>
        <family val="2"/>
      </rPr>
      <t>Direct users (000s)</t>
    </r>
  </si>
  <si>
    <r>
      <rPr>
        <sz val="9"/>
        <color rgb="FF000000"/>
        <rFont val="Arial"/>
        <family val="2"/>
      </rPr>
      <t>Exams/direct users</t>
    </r>
  </si>
  <si>
    <r>
      <rPr>
        <sz val="9"/>
        <color rgb="FF000000"/>
        <rFont val="Arial"/>
        <family val="2"/>
      </rPr>
      <t>Gross revenue Covid-19</t>
    </r>
  </si>
  <si>
    <r>
      <rPr>
        <b/>
        <sz val="9"/>
        <color rgb="FF000000"/>
        <rFont val="Arial"/>
        <family val="2"/>
      </rPr>
      <t>BU2 gross revenue ex-Covid-19</t>
    </r>
  </si>
  <si>
    <r>
      <rPr>
        <b/>
        <sz val="9"/>
        <color rgb="FF000000"/>
        <rFont val="Arial"/>
        <family val="2"/>
      </rPr>
      <t>Gross revenue Diagnostics ex-Covid-19</t>
    </r>
  </si>
  <si>
    <r>
      <rPr>
        <b/>
        <sz val="9"/>
        <color rgb="FFFFFFFF"/>
        <rFont val="Arial"/>
        <family val="2"/>
      </rPr>
      <t>Breakdown of gross debt and net debt (R$ million)</t>
    </r>
  </si>
  <si>
    <r>
      <rPr>
        <b/>
        <sz val="9"/>
        <color rgb="FFFFFFFF"/>
        <rFont val="Arial"/>
        <family val="2"/>
      </rPr>
      <t>Source</t>
    </r>
  </si>
  <si>
    <r>
      <rPr>
        <sz val="9"/>
        <color rgb="FF000000"/>
        <rFont val="Arial"/>
        <family val="2"/>
      </rPr>
      <t>FS - Balance Sheet (Non-current assets)</t>
    </r>
  </si>
  <si>
    <r>
      <rPr>
        <sz val="9"/>
        <color rgb="FF000000"/>
        <rFont val="Arial"/>
        <family val="2"/>
      </rPr>
      <t>FS - Balance Sheet (Current assets)</t>
    </r>
  </si>
  <si>
    <r>
      <rPr>
        <sz val="9"/>
        <color rgb="FF000000"/>
        <rFont val="Arial"/>
        <family val="2"/>
      </rPr>
      <t>FS - Balance Sheet (Non-current liabilities)</t>
    </r>
  </si>
  <si>
    <r>
      <rPr>
        <sz val="9"/>
        <color rgb="FF000000"/>
        <rFont val="Arial"/>
        <family val="2"/>
      </rPr>
      <t>FS - Balance Sheet (Current liabilities)</t>
    </r>
  </si>
  <si>
    <r>
      <rPr>
        <b/>
        <sz val="9"/>
        <color rgb="FF000000"/>
        <rFont val="Arial"/>
        <family val="2"/>
      </rPr>
      <t>Gross debt</t>
    </r>
  </si>
  <si>
    <r>
      <rPr>
        <b/>
        <sz val="9"/>
        <color rgb="FF000000"/>
        <rFont val="Arial"/>
        <family val="2"/>
      </rPr>
      <t>Net debt</t>
    </r>
  </si>
  <si>
    <r>
      <rPr>
        <i/>
        <sz val="9"/>
        <color rgb="FF000000"/>
        <rFont val="Arial"/>
        <family val="2"/>
      </rPr>
      <t>EBITDA Margin</t>
    </r>
  </si>
  <si>
    <r>
      <rPr>
        <sz val="9"/>
        <color rgb="FF000000"/>
        <rFont val="Arial"/>
        <family val="2"/>
      </rPr>
      <t>Occupancy rate</t>
    </r>
  </si>
  <si>
    <r>
      <rPr>
        <b/>
        <sz val="9"/>
        <color rgb="FF000000"/>
        <rFont val="Arial"/>
        <family val="2"/>
      </rPr>
      <t>Net income (loss)</t>
    </r>
  </si>
  <si>
    <r>
      <rPr>
        <b/>
        <sz val="9"/>
        <color rgb="FFFFFFFF"/>
        <rFont val="Arial"/>
        <family val="2"/>
      </rPr>
      <t>BU2 - Covid-19 Impact</t>
    </r>
  </si>
  <si>
    <r>
      <rPr>
        <b/>
        <sz val="9"/>
        <color rgb="FFFFFFFF"/>
        <rFont val="Arial"/>
        <family val="2"/>
      </rPr>
      <t>EBITDA</t>
    </r>
    <r>
      <rPr>
        <b/>
        <vertAlign val="superscript"/>
        <sz val="9"/>
        <color rgb="FFFFFFFF"/>
        <rFont val="Arial"/>
        <family val="2"/>
      </rPr>
      <t>2</t>
    </r>
    <r>
      <rPr>
        <b/>
        <sz val="9"/>
        <color rgb="FFFFFFFF"/>
        <rFont val="Arial"/>
        <family val="2"/>
      </rPr>
      <t xml:space="preserve"> (R$ million)</t>
    </r>
  </si>
  <si>
    <t>3T23</t>
  </si>
  <si>
    <t>9M23</t>
  </si>
  <si>
    <r>
      <rPr>
        <sz val="9"/>
        <color rgb="FF000000"/>
        <rFont val="Arial"/>
        <family val="2"/>
      </rPr>
      <t>(+) Covid-19</t>
    </r>
  </si>
  <si>
    <r>
      <rPr>
        <sz val="9"/>
        <color rgb="FF000000"/>
        <rFont val="Arial"/>
        <family val="2"/>
      </rPr>
      <t>(+) Stock option</t>
    </r>
  </si>
  <si>
    <r>
      <rPr>
        <b/>
        <sz val="9"/>
        <color rgb="FF000000"/>
        <rFont val="Arial"/>
        <family val="2"/>
      </rPr>
      <t>Adjusted EBITDA</t>
    </r>
  </si>
  <si>
    <r>
      <rPr>
        <i/>
        <sz val="9"/>
        <color rgb="FF000000"/>
        <rFont val="Arial"/>
        <family val="2"/>
      </rPr>
      <t>Adjusted EBITDA margin</t>
    </r>
  </si>
  <si>
    <r>
      <rPr>
        <sz val="9"/>
        <color rgb="FF000000"/>
        <rFont val="Arial"/>
        <family val="2"/>
      </rPr>
      <t>Advances from clients</t>
    </r>
  </si>
  <si>
    <r>
      <rPr>
        <b/>
        <sz val="9"/>
        <color rgb="FF000000"/>
        <rFont val="Arial"/>
        <family val="2"/>
      </rPr>
      <t>Costs of services rendered, adjusted</t>
    </r>
    <r>
      <rPr>
        <b/>
        <vertAlign val="superscript"/>
        <sz val="9"/>
        <color rgb="FF000000"/>
        <rFont val="Arial"/>
        <family val="2"/>
      </rPr>
      <t>1</t>
    </r>
  </si>
  <si>
    <t>4T23</t>
  </si>
  <si>
    <r>
      <rPr>
        <b/>
        <sz val="9"/>
        <color rgb="FFFFFFFF"/>
        <rFont val="Arial"/>
        <family val="2"/>
      </rPr>
      <t>EBITDA</t>
    </r>
    <r>
      <rPr>
        <b/>
        <vertAlign val="superscript"/>
        <sz val="9"/>
        <color rgb="FFFFFFFF"/>
        <rFont val="Arial"/>
        <family val="2"/>
      </rPr>
      <t>3</t>
    </r>
    <r>
      <rPr>
        <b/>
        <sz val="9"/>
        <color rgb="FFFFFFFF"/>
        <rFont val="Arial"/>
        <family val="2"/>
      </rPr>
      <t xml:space="preserve"> and adjusted EBITDA (R$ million)</t>
    </r>
  </si>
  <si>
    <r>
      <rPr>
        <sz val="9"/>
        <color rgb="FF000000"/>
        <rFont val="Arial"/>
        <family val="2"/>
      </rPr>
      <t>(+) M</t>
    </r>
    <r>
      <rPr>
        <sz val="9"/>
        <color rgb="FF000000"/>
        <rFont val="Arial"/>
        <family val="2"/>
      </rPr>
      <t>&amp;</t>
    </r>
    <r>
      <rPr>
        <sz val="9"/>
        <color rgb="FF000000"/>
        <rFont val="Arial"/>
        <family val="2"/>
      </rPr>
      <t>A, Restructuring and Other</t>
    </r>
  </si>
  <si>
    <r>
      <rPr>
        <b/>
        <sz val="9"/>
        <color rgb="FF000000"/>
        <rFont val="Arial"/>
        <family val="2"/>
      </rPr>
      <t>Exams - Total (000s)</t>
    </r>
    <r>
      <rPr>
        <b/>
        <vertAlign val="superscript"/>
        <sz val="9"/>
        <color rgb="FF000000"/>
        <rFont val="Arial"/>
        <family val="2"/>
      </rPr>
      <t>1</t>
    </r>
  </si>
  <si>
    <r>
      <rPr>
        <sz val="9"/>
        <color rgb="FF000000"/>
        <rFont val="Arial"/>
        <family val="2"/>
      </rPr>
      <t>Select the comparison period</t>
    </r>
  </si>
  <si>
    <r>
      <rPr>
        <b/>
        <sz val="9"/>
        <color rgb="FFFFFFFF"/>
        <rFont val="Arial"/>
        <family val="2"/>
      </rPr>
      <t>Var. (Vol)</t>
    </r>
  </si>
  <si>
    <r>
      <rPr>
        <b/>
        <sz val="9"/>
        <color rgb="FFFFFFFF"/>
        <rFont val="Arial"/>
        <family val="2"/>
      </rPr>
      <t>Var. (%)</t>
    </r>
  </si>
  <si>
    <r>
      <rPr>
        <sz val="9"/>
        <color rgb="FF000000"/>
        <rFont val="Arial"/>
        <family val="2"/>
      </rPr>
      <t>Average ticket Diagnostics (ROB diagnostics/exams)</t>
    </r>
  </si>
  <si>
    <r>
      <rPr>
        <sz val="9"/>
        <color rgb="FF000000"/>
        <rFont val="Arial"/>
        <family val="2"/>
      </rPr>
      <t>1) Outpatients (Private + Supported Hospitals + International) and B2B (Support + Public).</t>
    </r>
    <r>
      <rPr>
        <sz val="9"/>
        <color rgb="FF000000"/>
        <rFont val="Arial"/>
        <family val="2"/>
      </rPr>
      <t xml:space="preserve"> </t>
    </r>
    <r>
      <rPr>
        <sz val="9"/>
        <color rgb="FF000000"/>
        <rFont val="Arial"/>
        <family val="2"/>
      </rPr>
      <t>The Company started to include international exams in 3Q23 and historical data was adjusted for comparison purposes.</t>
    </r>
  </si>
  <si>
    <r>
      <rPr>
        <b/>
        <sz val="9"/>
        <color rgb="FF000000"/>
        <rFont val="Arial"/>
        <family val="2"/>
      </rPr>
      <t>EBITDA adjusted for the purposes of financial covenants in the last 12 months</t>
    </r>
    <r>
      <rPr>
        <b/>
        <vertAlign val="superscript"/>
        <sz val="9"/>
        <color rgb="FF000000"/>
        <rFont val="Arial"/>
        <family val="2"/>
      </rPr>
      <t>1</t>
    </r>
  </si>
  <si>
    <r>
      <rPr>
        <b/>
        <sz val="9"/>
        <color rgb="FF000000"/>
        <rFont val="Arial"/>
        <family val="2"/>
      </rPr>
      <t>Net debt / Adjusted EBITDA for the purposes of financial covenants in the last 12 months</t>
    </r>
    <r>
      <rPr>
        <b/>
        <vertAlign val="superscript"/>
        <sz val="9"/>
        <color rgb="FF000000"/>
        <rFont val="Arial"/>
        <family val="2"/>
      </rPr>
      <t>1</t>
    </r>
  </si>
  <si>
    <r>
      <rPr>
        <b/>
        <sz val="9"/>
        <color rgb="FFFFFFFF"/>
        <rFont val="Arial"/>
        <family val="2"/>
      </rPr>
      <t>Adjusted Income Statement (R$ million)</t>
    </r>
  </si>
  <si>
    <r>
      <rPr>
        <sz val="9"/>
        <color rgb="FF000000"/>
        <rFont val="Arial"/>
        <family val="2"/>
      </rPr>
      <t>Notes:</t>
    </r>
    <r>
      <rPr>
        <sz val="9"/>
        <color rgb="FF000000"/>
        <rFont val="Arial"/>
        <family val="2"/>
      </rPr>
      <t xml:space="preserve"> </t>
    </r>
    <r>
      <rPr>
        <sz val="9"/>
        <color rgb="FF000000"/>
        <rFont val="Arial"/>
        <family val="2"/>
      </rPr>
      <t>(1) For better discussion of the results and to reflect how the company’s internal management works, management makes reclassifications between costs and expenses in the Quarterly Information (ITR), without affecting EBITDA and net income.</t>
    </r>
    <r>
      <rPr>
        <sz val="9"/>
        <color rgb="FF000000"/>
        <rFont val="Arial"/>
        <family val="2"/>
      </rPr>
      <t xml:space="preserve"> </t>
    </r>
    <r>
      <rPr>
        <sz val="9"/>
        <color rgb="FF000000"/>
        <rFont val="Arial"/>
        <family val="2"/>
      </rPr>
      <t>Moreover, the Company excludes from general and administrative expenses and, hence, from EBITDA certain expenses such as the stock option plan, acquisitions and restructurings.</t>
    </r>
    <r>
      <rPr>
        <sz val="9"/>
        <color rgb="FF000000"/>
        <rFont val="Arial"/>
        <family val="2"/>
      </rPr>
      <t xml:space="preserve"> </t>
    </r>
    <r>
      <rPr>
        <sz val="9"/>
        <color rgb="FF000000"/>
        <rFont val="Arial"/>
        <family val="2"/>
      </rPr>
      <t>Accordingly, the Company uses the word “adjusted” to refer to information with the above alterations since these reclassifications and adjustments are included in the i</t>
    </r>
    <r>
      <rPr>
        <sz val="9"/>
        <color rgb="FF000000"/>
        <rFont val="Arial"/>
        <family val="2"/>
      </rPr>
      <t>nformation presented in the Quarterly Information (ITR);</t>
    </r>
    <r>
      <rPr>
        <sz val="9"/>
        <color rgb="FF000000"/>
        <rFont val="Arial"/>
        <family val="2"/>
      </rPr>
      <t xml:space="preserve"> </t>
    </r>
    <r>
      <rPr>
        <sz val="9"/>
        <color rgb="FF000000"/>
        <rFont val="Arial"/>
        <family val="2"/>
      </rPr>
      <t>(2) Earnings before interest and taxes;</t>
    </r>
    <r>
      <rPr>
        <sz val="9"/>
        <color rgb="FF000000"/>
        <rFont val="Arial"/>
        <family val="2"/>
      </rPr>
      <t xml:space="preserve"> </t>
    </r>
    <r>
      <rPr>
        <sz val="9"/>
        <color rgb="FF000000"/>
        <rFont val="Arial"/>
        <family val="2"/>
      </rPr>
      <t>(3) Earnings before interest, taxes, depreciation and amortization</t>
    </r>
  </si>
  <si>
    <r>
      <rPr>
        <b/>
        <sz val="9"/>
        <color rgb="FFFFFFFF"/>
        <rFont val="Arial"/>
        <family val="2"/>
      </rPr>
      <t>BU1 - Adjusted margin breakdown - (R$ million)</t>
    </r>
  </si>
  <si>
    <r>
      <rPr>
        <b/>
        <sz val="9"/>
        <color rgb="FFFFFFFF"/>
        <rFont val="Arial"/>
        <family val="2"/>
      </rPr>
      <t>BU2 - Adjusted margin breakdown - (R$ million)</t>
    </r>
  </si>
  <si>
    <r>
      <rPr>
        <sz val="9"/>
        <color rgb="FF000000"/>
        <rFont val="Arial"/>
        <family val="2"/>
      </rPr>
      <t>Note:</t>
    </r>
    <r>
      <rPr>
        <sz val="9"/>
        <color rgb="FF000000"/>
        <rFont val="Arial"/>
        <family val="2"/>
      </rPr>
      <t xml:space="preserve"> </t>
    </r>
    <r>
      <rPr>
        <sz val="9"/>
        <color rgb="FF000000"/>
        <rFont val="Arial"/>
        <family val="2"/>
      </rPr>
      <t>(1) calculated according to debt deeds.</t>
    </r>
  </si>
  <si>
    <r>
      <rPr>
        <b/>
        <sz val="9"/>
        <color rgb="FFFFFFFF"/>
        <rFont val="Arial"/>
        <family val="2"/>
      </rPr>
      <t>1Q22</t>
    </r>
  </si>
  <si>
    <r>
      <rPr>
        <b/>
        <sz val="9"/>
        <color rgb="FFFFFFFF"/>
        <rFont val="Arial"/>
        <family val="2"/>
      </rPr>
      <t>2Q22</t>
    </r>
  </si>
  <si>
    <r>
      <rPr>
        <b/>
        <sz val="9"/>
        <color rgb="FFFFFFFF"/>
        <rFont val="Arial"/>
        <family val="2"/>
      </rPr>
      <t>3Q22</t>
    </r>
  </si>
  <si>
    <r>
      <rPr>
        <b/>
        <sz val="9"/>
        <color rgb="FFFFFFFF"/>
        <rFont val="Arial"/>
        <family val="2"/>
      </rPr>
      <t>4Q22</t>
    </r>
  </si>
  <si>
    <r>
      <rPr>
        <b/>
        <sz val="9"/>
        <color rgb="FFFFFFFF"/>
        <rFont val="Arial"/>
        <family val="2"/>
      </rPr>
      <t>9M22</t>
    </r>
  </si>
  <si>
    <r>
      <rPr>
        <b/>
        <sz val="9"/>
        <color rgb="FFFFFFFF"/>
        <rFont val="Arial"/>
        <family val="2"/>
      </rPr>
      <t>1Q23</t>
    </r>
  </si>
  <si>
    <r>
      <rPr>
        <b/>
        <sz val="9"/>
        <color rgb="FFFFFFFF"/>
        <rFont val="Arial"/>
        <family val="2"/>
      </rPr>
      <t>2Q23</t>
    </r>
  </si>
  <si>
    <r>
      <rPr>
        <b/>
        <sz val="9"/>
        <color rgb="FFFFFFFF"/>
        <rFont val="Arial"/>
        <family val="2"/>
      </rPr>
      <t>3Q23</t>
    </r>
  </si>
  <si>
    <r>
      <rPr>
        <b/>
        <sz val="9"/>
        <color rgb="FFFFFFFF"/>
        <rFont val="Arial"/>
        <family val="2"/>
      </rPr>
      <t>4Q23</t>
    </r>
  </si>
  <si>
    <r>
      <rPr>
        <b/>
        <sz val="9"/>
        <color rgb="FFFFFFFF"/>
        <rFont val="Arial"/>
        <family val="2"/>
      </rPr>
      <t>9M23</t>
    </r>
  </si>
  <si>
    <r>
      <rPr>
        <sz val="9"/>
        <color rgb="FF000000"/>
        <rFont val="Arial"/>
        <family val="2"/>
      </rPr>
      <t>Depreciation and amortization</t>
    </r>
  </si>
  <si>
    <r>
      <rPr>
        <b/>
        <sz val="9"/>
        <color rgb="FF000000"/>
        <rFont val="Arial"/>
        <family val="2"/>
      </rPr>
      <t>Net financial result</t>
    </r>
  </si>
  <si>
    <r>
      <rPr>
        <sz val="9"/>
        <color rgb="FF000000"/>
        <rFont val="Arial"/>
        <family val="2"/>
      </rPr>
      <t>Financial income</t>
    </r>
  </si>
  <si>
    <r>
      <rPr>
        <sz val="9"/>
        <color rgb="FF000000"/>
        <rFont val="Arial"/>
        <family val="2"/>
      </rPr>
      <t>Financial expenses</t>
    </r>
  </si>
  <si>
    <r>
      <rPr>
        <b/>
        <sz val="9"/>
        <color rgb="FF000000"/>
        <rFont val="Arial"/>
        <family val="2"/>
      </rPr>
      <t>Income tax and social contribution</t>
    </r>
  </si>
  <si>
    <r>
      <rPr>
        <i/>
        <sz val="9"/>
        <color rgb="FF000000"/>
        <rFont val="Arial"/>
        <family val="2"/>
      </rPr>
      <t>Net margin</t>
    </r>
  </si>
  <si>
    <r>
      <rPr>
        <b/>
        <sz val="9"/>
        <color rgb="FFFFFFFF"/>
        <rFont val="Arial"/>
        <family val="2"/>
      </rPr>
      <t>1Q22</t>
    </r>
  </si>
  <si>
    <r>
      <rPr>
        <b/>
        <sz val="9"/>
        <color rgb="FFFFFFFF"/>
        <rFont val="Arial"/>
        <family val="2"/>
      </rPr>
      <t>2Q22</t>
    </r>
  </si>
  <si>
    <r>
      <rPr>
        <b/>
        <sz val="9"/>
        <color rgb="FFFFFFFF"/>
        <rFont val="Arial"/>
        <family val="2"/>
      </rPr>
      <t>3Q22</t>
    </r>
  </si>
  <si>
    <r>
      <rPr>
        <b/>
        <sz val="9"/>
        <color rgb="FFFFFFFF"/>
        <rFont val="Arial"/>
        <family val="2"/>
      </rPr>
      <t>4Q22</t>
    </r>
  </si>
  <si>
    <r>
      <rPr>
        <b/>
        <sz val="9"/>
        <color rgb="FFFFFFFF"/>
        <rFont val="Arial"/>
        <family val="2"/>
      </rPr>
      <t>1H22</t>
    </r>
  </si>
  <si>
    <r>
      <rPr>
        <b/>
        <sz val="9"/>
        <color rgb="FFFFFFFF"/>
        <rFont val="Arial"/>
        <family val="2"/>
      </rPr>
      <t>9M22</t>
    </r>
  </si>
  <si>
    <r>
      <rPr>
        <b/>
        <sz val="9"/>
        <color rgb="FFFFFFFF"/>
        <rFont val="Arial"/>
        <family val="2"/>
      </rPr>
      <t>1Q23</t>
    </r>
  </si>
  <si>
    <r>
      <rPr>
        <b/>
        <sz val="9"/>
        <color rgb="FFFFFFFF"/>
        <rFont val="Arial"/>
        <family val="2"/>
      </rPr>
      <t>2Q23</t>
    </r>
  </si>
  <si>
    <r>
      <rPr>
        <b/>
        <sz val="9"/>
        <color rgb="FFFFFFFF"/>
        <rFont val="Arial"/>
        <family val="2"/>
      </rPr>
      <t>3Q23</t>
    </r>
  </si>
  <si>
    <r>
      <rPr>
        <b/>
        <sz val="9"/>
        <color rgb="FFFFFFFF"/>
        <rFont val="Arial"/>
        <family val="2"/>
      </rPr>
      <t>4Q23</t>
    </r>
  </si>
  <si>
    <r>
      <rPr>
        <b/>
        <sz val="9"/>
        <color rgb="FFFFFFFF"/>
        <rFont val="Arial"/>
        <family val="2"/>
      </rPr>
      <t>1H23</t>
    </r>
  </si>
  <si>
    <r>
      <rPr>
        <b/>
        <sz val="9"/>
        <color rgb="FFFFFFFF"/>
        <rFont val="Arial"/>
        <family val="2"/>
      </rPr>
      <t>9M23</t>
    </r>
  </si>
  <si>
    <r>
      <rPr>
        <b/>
        <sz val="9"/>
        <color rgb="FFFFFFFF"/>
        <rFont val="Arial"/>
        <family val="2"/>
      </rPr>
      <t>1Q23</t>
    </r>
  </si>
  <si>
    <r>
      <rPr>
        <b/>
        <sz val="9"/>
        <color rgb="FFFFFFFF"/>
        <rFont val="Arial"/>
        <family val="2"/>
      </rPr>
      <t>2Q23</t>
    </r>
  </si>
  <si>
    <r>
      <rPr>
        <b/>
        <sz val="9"/>
        <color rgb="FFFFFFFF"/>
        <rFont val="Arial"/>
        <family val="2"/>
      </rPr>
      <t>3Q23</t>
    </r>
  </si>
  <si>
    <r>
      <rPr>
        <b/>
        <sz val="9"/>
        <color rgb="FFFFFFFF"/>
        <rFont val="Arial"/>
        <family val="2"/>
      </rPr>
      <t>4Q23</t>
    </r>
  </si>
  <si>
    <r>
      <rPr>
        <b/>
        <sz val="9"/>
        <color rgb="FFFFFFFF"/>
        <rFont val="Arial"/>
        <family val="2"/>
      </rPr>
      <t>1H23</t>
    </r>
  </si>
  <si>
    <r>
      <rPr>
        <b/>
        <sz val="9"/>
        <color rgb="FFFFFFFF"/>
        <rFont val="Arial"/>
        <family val="2"/>
      </rPr>
      <t>9M23</t>
    </r>
  </si>
  <si>
    <r>
      <rPr>
        <b/>
        <sz val="9"/>
        <color rgb="FFFFFFFF"/>
        <rFont val="Arial"/>
        <family val="2"/>
      </rPr>
      <t>1Q22</t>
    </r>
  </si>
  <si>
    <r>
      <rPr>
        <b/>
        <sz val="9"/>
        <color rgb="FFFFFFFF"/>
        <rFont val="Arial"/>
        <family val="2"/>
      </rPr>
      <t>2Q22</t>
    </r>
  </si>
  <si>
    <r>
      <rPr>
        <b/>
        <sz val="9"/>
        <color rgb="FFFFFFFF"/>
        <rFont val="Arial"/>
        <family val="2"/>
      </rPr>
      <t>3Q22</t>
    </r>
  </si>
  <si>
    <r>
      <rPr>
        <b/>
        <sz val="9"/>
        <color rgb="FFFFFFFF"/>
        <rFont val="Arial"/>
        <family val="2"/>
      </rPr>
      <t>4Q22</t>
    </r>
  </si>
  <si>
    <r>
      <rPr>
        <b/>
        <sz val="9"/>
        <color rgb="FFFFFFFF"/>
        <rFont val="Arial"/>
        <family val="2"/>
      </rPr>
      <t>1H22</t>
    </r>
  </si>
  <si>
    <r>
      <rPr>
        <b/>
        <sz val="9"/>
        <color rgb="FFFFFFFF"/>
        <rFont val="Arial"/>
        <family val="2"/>
      </rPr>
      <t>9M22</t>
    </r>
  </si>
  <si>
    <r>
      <rPr>
        <b/>
        <sz val="9"/>
        <color rgb="FFFFFFFF"/>
        <rFont val="Arial"/>
        <family val="2"/>
      </rPr>
      <t>1Q23</t>
    </r>
  </si>
  <si>
    <r>
      <rPr>
        <b/>
        <sz val="9"/>
        <color rgb="FFFFFFFF"/>
        <rFont val="Arial"/>
        <family val="2"/>
      </rPr>
      <t>2Q23</t>
    </r>
  </si>
  <si>
    <r>
      <rPr>
        <b/>
        <sz val="9"/>
        <color rgb="FFFFFFFF"/>
        <rFont val="Arial"/>
        <family val="2"/>
      </rPr>
      <t>3Q23</t>
    </r>
  </si>
  <si>
    <r>
      <rPr>
        <b/>
        <sz val="9"/>
        <color rgb="FFFFFFFF"/>
        <rFont val="Arial"/>
        <family val="2"/>
      </rPr>
      <t>4Q23</t>
    </r>
  </si>
  <si>
    <r>
      <rPr>
        <b/>
        <sz val="9"/>
        <color rgb="FFFFFFFF"/>
        <rFont val="Arial"/>
        <family val="2"/>
      </rPr>
      <t>1H23</t>
    </r>
  </si>
  <si>
    <r>
      <rPr>
        <b/>
        <sz val="9"/>
        <color rgb="FFFFFFFF"/>
        <rFont val="Arial"/>
        <family val="2"/>
      </rPr>
      <t>9M23</t>
    </r>
  </si>
  <si>
    <r>
      <rPr>
        <b/>
        <sz val="9"/>
        <color rgb="FFFFFFFF"/>
        <rFont val="Arial"/>
        <family val="2"/>
      </rPr>
      <t>Source</t>
    </r>
  </si>
  <si>
    <r>
      <rPr>
        <b/>
        <sz val="9"/>
        <color rgb="FFFFFFFF"/>
        <rFont val="Arial"/>
        <family val="2"/>
      </rPr>
      <t>1Q21</t>
    </r>
  </si>
  <si>
    <r>
      <rPr>
        <b/>
        <sz val="9"/>
        <color rgb="FFFFFFFF"/>
        <rFont val="Arial"/>
        <family val="2"/>
      </rPr>
      <t>2Q21</t>
    </r>
  </si>
  <si>
    <r>
      <rPr>
        <b/>
        <sz val="9"/>
        <color rgb="FFFFFFFF"/>
        <rFont val="Arial"/>
        <family val="2"/>
      </rPr>
      <t>3Q21</t>
    </r>
  </si>
  <si>
    <r>
      <rPr>
        <b/>
        <sz val="9"/>
        <color rgb="FFFFFFFF"/>
        <rFont val="Arial"/>
        <family val="2"/>
      </rPr>
      <t>4Q21</t>
    </r>
  </si>
  <si>
    <r>
      <rPr>
        <b/>
        <sz val="9"/>
        <color rgb="FFFFFFFF"/>
        <rFont val="Arial"/>
        <family val="2"/>
      </rPr>
      <t>1Q22</t>
    </r>
  </si>
  <si>
    <r>
      <rPr>
        <b/>
        <sz val="9"/>
        <color rgb="FFFFFFFF"/>
        <rFont val="Arial"/>
        <family val="2"/>
      </rPr>
      <t>2Q22</t>
    </r>
  </si>
  <si>
    <r>
      <rPr>
        <b/>
        <sz val="9"/>
        <color rgb="FFFFFFFF"/>
        <rFont val="Arial"/>
        <family val="2"/>
      </rPr>
      <t>3Q22</t>
    </r>
  </si>
  <si>
    <r>
      <rPr>
        <b/>
        <sz val="9"/>
        <color rgb="FFFFFFFF"/>
        <rFont val="Arial"/>
        <family val="2"/>
      </rPr>
      <t>4Q22</t>
    </r>
  </si>
  <si>
    <r>
      <rPr>
        <b/>
        <sz val="9"/>
        <color rgb="FFFFFFFF"/>
        <rFont val="Arial"/>
        <family val="2"/>
      </rPr>
      <t>1Q23</t>
    </r>
  </si>
  <si>
    <r>
      <rPr>
        <b/>
        <sz val="9"/>
        <color rgb="FFFFFFFF"/>
        <rFont val="Arial"/>
        <family val="2"/>
      </rPr>
      <t>2Q23</t>
    </r>
  </si>
  <si>
    <r>
      <rPr>
        <b/>
        <sz val="9"/>
        <color rgb="FFFFFFFF"/>
        <rFont val="Arial"/>
        <family val="2"/>
      </rPr>
      <t>3Q23</t>
    </r>
  </si>
  <si>
    <r>
      <rPr>
        <sz val="9"/>
        <color rgb="FF000000"/>
        <rFont val="Arial"/>
        <family val="2"/>
      </rPr>
      <t>FS - Balance Sheet (Current liabilities)</t>
    </r>
  </si>
  <si>
    <r>
      <rPr>
        <sz val="9"/>
        <color rgb="FF000000"/>
        <rFont val="Arial"/>
        <family val="2"/>
      </rPr>
      <t>FS - Balance Sheet (Non-current liabilities)</t>
    </r>
  </si>
  <si>
    <r>
      <rPr>
        <sz val="9"/>
        <color rgb="FF000000"/>
        <rFont val="Arial"/>
        <family val="2"/>
      </rPr>
      <t>FS - Balance Sheet (Current assets)</t>
    </r>
  </si>
  <si>
    <r>
      <rPr>
        <b/>
        <sz val="9"/>
        <color rgb="FFFFFFFF"/>
        <rFont val="Arial"/>
        <family val="2"/>
      </rPr>
      <t>1Q21</t>
    </r>
  </si>
  <si>
    <r>
      <rPr>
        <b/>
        <sz val="9"/>
        <color rgb="FFFFFFFF"/>
        <rFont val="Arial"/>
        <family val="2"/>
      </rPr>
      <t>2Q21</t>
    </r>
  </si>
  <si>
    <r>
      <rPr>
        <b/>
        <sz val="9"/>
        <color rgb="FFFFFFFF"/>
        <rFont val="Arial"/>
        <family val="2"/>
      </rPr>
      <t>3Q21</t>
    </r>
  </si>
  <si>
    <r>
      <rPr>
        <b/>
        <sz val="9"/>
        <color rgb="FFFFFFFF"/>
        <rFont val="Arial"/>
        <family val="2"/>
      </rPr>
      <t>4Q21</t>
    </r>
  </si>
  <si>
    <r>
      <rPr>
        <b/>
        <sz val="9"/>
        <color rgb="FFFFFFFF"/>
        <rFont val="Arial"/>
        <family val="2"/>
      </rPr>
      <t>1Q22</t>
    </r>
  </si>
  <si>
    <r>
      <rPr>
        <b/>
        <sz val="9"/>
        <color rgb="FFFFFFFF"/>
        <rFont val="Arial"/>
        <family val="2"/>
      </rPr>
      <t>2Q22</t>
    </r>
  </si>
  <si>
    <r>
      <rPr>
        <b/>
        <sz val="9"/>
        <color rgb="FFFFFFFF"/>
        <rFont val="Arial"/>
        <family val="2"/>
      </rPr>
      <t>3Q22</t>
    </r>
  </si>
  <si>
    <r>
      <rPr>
        <b/>
        <sz val="9"/>
        <color rgb="FFFFFFFF"/>
        <rFont val="Arial"/>
        <family val="2"/>
      </rPr>
      <t>4Q22</t>
    </r>
  </si>
  <si>
    <r>
      <rPr>
        <b/>
        <sz val="9"/>
        <color rgb="FFFFFFFF"/>
        <rFont val="Arial"/>
        <family val="2"/>
      </rPr>
      <t>1Q23</t>
    </r>
  </si>
  <si>
    <r>
      <rPr>
        <b/>
        <sz val="9"/>
        <color rgb="FFFFFFFF"/>
        <rFont val="Arial"/>
        <family val="2"/>
      </rPr>
      <t>2Q23</t>
    </r>
  </si>
  <si>
    <r>
      <rPr>
        <b/>
        <sz val="9"/>
        <color rgb="FFFFFFFF"/>
        <rFont val="Arial"/>
        <family val="2"/>
      </rPr>
      <t>3Q23</t>
    </r>
  </si>
  <si>
    <r>
      <rPr>
        <b/>
        <sz val="9"/>
        <color rgb="FF000000"/>
        <rFont val="Arial"/>
        <family val="2"/>
      </rPr>
      <t>Current</t>
    </r>
  </si>
  <si>
    <r>
      <rPr>
        <sz val="9"/>
        <color rgb="FF000000"/>
        <rFont val="Arial"/>
        <family val="2"/>
      </rPr>
      <t>Trade accounts receivable</t>
    </r>
  </si>
  <si>
    <r>
      <rPr>
        <sz val="9"/>
        <color rgb="FF000000"/>
        <rFont val="Arial"/>
        <family val="2"/>
      </rPr>
      <t>Prepaid expenses</t>
    </r>
  </si>
  <si>
    <r>
      <rPr>
        <sz val="9"/>
        <color rgb="FF000000"/>
        <rFont val="Arial"/>
        <family val="2"/>
      </rPr>
      <t>Derivative financial instruments</t>
    </r>
  </si>
  <si>
    <r>
      <rPr>
        <sz val="9"/>
        <color rgb="FF000000"/>
        <rFont val="Arial"/>
        <family val="2"/>
      </rPr>
      <t>Call option obtained from non-controlling shareholders</t>
    </r>
  </si>
  <si>
    <r>
      <rPr>
        <sz val="9"/>
        <color rgb="FF000000"/>
        <rFont val="Arial"/>
        <family val="2"/>
      </rPr>
      <t>Other credits</t>
    </r>
  </si>
  <si>
    <r>
      <rPr>
        <b/>
        <sz val="9"/>
        <color rgb="FF000000"/>
        <rFont val="Arial"/>
        <family val="2"/>
      </rPr>
      <t>Non-current</t>
    </r>
  </si>
  <si>
    <r>
      <rPr>
        <sz val="9"/>
        <color rgb="FF000000"/>
        <rFont val="Arial"/>
        <family val="2"/>
      </rPr>
      <t>Deferred taxes</t>
    </r>
  </si>
  <si>
    <r>
      <rPr>
        <sz val="9"/>
        <color rgb="FF000000"/>
        <rFont val="Arial"/>
        <family val="2"/>
      </rPr>
      <t>Trade accounts payable</t>
    </r>
  </si>
  <si>
    <r>
      <rPr>
        <sz val="9"/>
        <color rgb="FF000000"/>
        <rFont val="Arial"/>
        <family val="2"/>
      </rPr>
      <t>Loans and financing</t>
    </r>
  </si>
  <si>
    <r>
      <rPr>
        <sz val="9"/>
        <color rgb="FF000000"/>
        <rFont val="Arial"/>
        <family val="2"/>
      </rPr>
      <t>Debentures</t>
    </r>
  </si>
  <si>
    <r>
      <rPr>
        <sz val="9"/>
        <color rgb="FF000000"/>
        <rFont val="Arial"/>
        <family val="2"/>
      </rPr>
      <t>Accounts payable for acquisitions of subsidiaries</t>
    </r>
  </si>
  <si>
    <r>
      <rPr>
        <sz val="9"/>
        <color rgb="FF000000"/>
        <rFont val="Arial"/>
        <family val="2"/>
      </rPr>
      <t>Lease liabilities</t>
    </r>
  </si>
  <si>
    <r>
      <rPr>
        <sz val="9"/>
        <color rgb="FF000000"/>
        <rFont val="Arial"/>
        <family val="2"/>
      </rPr>
      <t>Share-based payment</t>
    </r>
  </si>
  <si>
    <r>
      <rPr>
        <sz val="9"/>
        <color rgb="FF000000"/>
        <rFont val="Arial"/>
        <family val="2"/>
      </rPr>
      <t>Other accounts payable and provisions</t>
    </r>
  </si>
  <si>
    <t>1Q21</t>
  </si>
  <si>
    <t>2Q21</t>
  </si>
  <si>
    <t>3Q21</t>
  </si>
  <si>
    <t>4Q21</t>
  </si>
  <si>
    <t>6M21</t>
  </si>
  <si>
    <t>6M22</t>
  </si>
  <si>
    <t>6M23</t>
  </si>
  <si>
    <t>Costs of services</t>
  </si>
  <si>
    <t>1Q22</t>
  </si>
  <si>
    <t>2Q22</t>
  </si>
  <si>
    <t>3Q22</t>
  </si>
  <si>
    <t>4Q22</t>
  </si>
  <si>
    <t>Net financial result</t>
  </si>
  <si>
    <t>Income tax and social contribution</t>
  </si>
  <si>
    <t>Adjusted net income (loss)</t>
  </si>
  <si>
    <t>Net margin</t>
  </si>
  <si>
    <t>Financial income</t>
  </si>
  <si>
    <t>Financial expenses</t>
  </si>
  <si>
    <t>4Q23</t>
  </si>
  <si>
    <r>
      <rPr>
        <b/>
        <sz val="9"/>
        <color rgb="FFFFFFFF"/>
        <rFont val="Arial"/>
        <family val="2"/>
      </rPr>
      <t>Updated on:</t>
    </r>
    <r>
      <rPr>
        <sz val="9"/>
        <color rgb="FFFFFFFF"/>
        <rFont val="Arial"/>
        <family val="2"/>
      </rPr>
      <t xml:space="preserve"> Mar. 27, 2024</t>
    </r>
  </si>
  <si>
    <t>Liability of descontinued operations</t>
  </si>
  <si>
    <t>Third Parties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</si>
</sst>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0.0%"/>
    <numFmt numFmtId="165" formatCode="#,##0;\(#,##0\);\-"/>
    <numFmt numFmtId="166" formatCode="0.00\ \x"/>
    <numFmt numFmtId="167" formatCode="_-* #,##0.0_-;\-* #,##0.0_-;_-* &quot;-&quot;??_-;_-@_-"/>
    <numFmt numFmtId="168" formatCode="_-* #,##0_-;\-* #,##0_-;_-* &quot;-&quot;??_-;_-@_-"/>
    <numFmt numFmtId="169" formatCode="_(* #,##0.0_);_(* \(#,##0.0\);_(* &quot;-&quot;??_);_(@_)"/>
    <numFmt numFmtId="170" formatCode="#,##0.000;\(#,##0.000\);\-"/>
    <numFmt numFmtId="171" formatCode="#,##0.0;\(#,##0.0\);\-"/>
    <numFmt numFmtId="172" formatCode="0.000"/>
    <numFmt numFmtId="173" formatCode="#,##0.00;\(#,##0.00\);\-"/>
    <numFmt numFmtId="174" formatCode="#,##0.00000;\(#,##0.00000\);\-"/>
    <numFmt numFmtId="175" formatCode="0.00000000000000000"/>
    <numFmt numFmtId="176" formatCode="#,##0.0000;\(#,##0.0000\);\-"/>
    <numFmt numFmtId="177" formatCode="0.00000"/>
    <numFmt numFmtId="178" formatCode="0.00\ \p\.\p\."/>
    <numFmt numFmtId="179" formatCode="0.0\ \p\.\p\."/>
  </numFmts>
  <fonts count="27">
    <font>
      <sz val="11"/>
      <color theme="1"/>
      <name val="Calibri"/>
      <family val="2"/>
      <scheme val="minor"/>
    </font>
    <font>
      <sz val="10"/>
      <color theme="1"/>
      <name val="Arial"/>
      <family val="2"/>
    </font>
    <font>
      <sz val="9"/>
      <color theme="1"/>
      <name val="Arial"/>
      <family val="2"/>
    </font>
    <font>
      <sz val="10"/>
      <name val="Arial"/>
      <family val="2"/>
    </font>
    <font>
      <sz val="11"/>
      <color rgb="FF000000"/>
      <name val="Calibri"/>
      <family val="2"/>
    </font>
    <font>
      <b/>
      <sz val="9"/>
      <color theme="0"/>
      <name val="Arial"/>
      <family val="2"/>
    </font>
    <font>
      <b/>
      <sz val="9"/>
      <color theme="1"/>
      <name val="Arial"/>
      <family val="2"/>
    </font>
    <font>
      <sz val="9"/>
      <color theme="0"/>
      <name val="Arial"/>
      <family val="2"/>
    </font>
    <font>
      <sz val="10"/>
      <color theme="0"/>
      <name val="Arial"/>
      <family val="2"/>
    </font>
    <font>
      <sz val="11"/>
      <color theme="0"/>
      <name val="Arial"/>
      <family val="2"/>
    </font>
    <font>
      <b/>
      <sz val="11"/>
      <color theme="0"/>
      <name val="Arial"/>
      <family val="2"/>
    </font>
    <font>
      <b/>
      <sz val="9"/>
      <color rgb="FF000000"/>
      <name val="Arial"/>
      <family val="2"/>
    </font>
    <font>
      <sz val="9"/>
      <color rgb="FF000000"/>
      <name val="Arial"/>
      <family val="2"/>
    </font>
    <font>
      <i/>
      <sz val="9"/>
      <color rgb="FF000000"/>
      <name val="Arial"/>
      <family val="2"/>
    </font>
    <font>
      <i/>
      <sz val="9"/>
      <color theme="1"/>
      <name val="Arial"/>
      <family val="2"/>
    </font>
    <font>
      <b/>
      <sz val="9"/>
      <color rgb="FF1E83C7"/>
      <name val="Arial"/>
      <family val="2"/>
    </font>
    <font>
      <b/>
      <u/>
      <sz val="9"/>
      <color rgb="FF000000"/>
      <name val="Arial"/>
      <family val="2"/>
    </font>
    <font>
      <b/>
      <sz val="9"/>
      <color rgb="FF000E40"/>
      <name val="DASA201210 Bold"/>
      <family val="2"/>
    </font>
    <font>
      <b/>
      <vertAlign val="superscript"/>
      <sz val="9"/>
      <color rgb="FF000000"/>
      <name val="Arial"/>
      <family val="2"/>
    </font>
    <font>
      <sz val="11"/>
      <color rgb="FF3F3F76"/>
      <name val="Calibri"/>
      <family val="2"/>
      <scheme val="minor"/>
    </font>
    <font>
      <sz val="8"/>
      <name val="Segoe UI"/>
      <family val="2"/>
    </font>
    <font>
      <b/>
      <sz val="9"/>
      <color rgb="FFFFFFFF"/>
      <name val="Arial"/>
      <family val="2"/>
    </font>
    <font>
      <sz val="11"/>
      <color rgb="FF3F3F76"/>
      <name val="Calibri"/>
      <family val="2"/>
    </font>
    <font>
      <b/>
      <vertAlign val="superscript"/>
      <sz val="9"/>
      <color rgb="FFFFFFFF"/>
      <name val="Arial"/>
      <family val="2"/>
    </font>
    <font>
      <sz val="9"/>
      <color rgb="FFFFFFFF"/>
      <name val="Arial"/>
      <family val="2"/>
    </font>
    <font>
      <sz val="10"/>
      <color rgb="FFFFFFFF"/>
      <name val="Arial"/>
      <family val="2"/>
    </font>
    <font>
      <sz val="11"/>
      <color theme="1"/>
      <name val="Calibri"/>
      <family val="2"/>
      <scheme val="minor"/>
    </font>
  </fonts>
  <fills count="9">
    <fill>
      <patternFill patternType="none"/>
    </fill>
    <fill>
      <patternFill patternType="gray125"/>
    </fill>
    <fill>
      <patternFill patternType="solid">
        <fgColor rgb="FFFFCC99"/>
        <bgColor indexed="64"/>
      </patternFill>
    </fill>
    <fill>
      <patternFill patternType="solid">
        <fgColor rgb="FF000E40"/>
        <bgColor indexed="64"/>
      </patternFill>
    </fill>
    <fill>
      <patternFill patternType="solid">
        <fgColor theme="0" tint="-4.9958800012207406E-2"/>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bottom/>
      <diagonal/>
    </border>
    <border>
      <left/>
      <right/>
      <top style="thick">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0" tint="-0.14993743705557422"/>
      </top>
      <bottom/>
      <diagonal/>
    </border>
    <border>
      <left/>
      <right/>
      <top style="thick">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s>
  <cellStyleXfs count="14">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4" fontId="26" fillId="0" borderId="0" applyFont="0" applyFill="0" applyBorder="0" applyAlignment="0" applyProtection="0"/>
    <xf numFmtId="0" fontId="3" fillId="0" borderId="0"/>
    <xf numFmtId="0" fontId="26" fillId="0" borderId="0"/>
    <xf numFmtId="0" fontId="26" fillId="0" borderId="0"/>
    <xf numFmtId="0" fontId="4" fillId="0" borderId="0"/>
    <xf numFmtId="0" fontId="19" fillId="2" borderId="1" applyNumberFormat="0" applyAlignment="0" applyProtection="0"/>
  </cellStyleXfs>
  <cellXfs count="151">
    <xf numFmtId="0" fontId="0" fillId="0" borderId="0" xfId="0"/>
    <xf numFmtId="0" fontId="2" fillId="0" borderId="0" xfId="0" applyFont="1"/>
    <xf numFmtId="0" fontId="2" fillId="3" borderId="0" xfId="0" applyFont="1" applyFill="1"/>
    <xf numFmtId="0" fontId="7" fillId="3" borderId="0" xfId="0" applyFont="1" applyFill="1"/>
    <xf numFmtId="0" fontId="5" fillId="3" borderId="0" xfId="0" applyFont="1" applyFill="1"/>
    <xf numFmtId="0" fontId="8" fillId="3" borderId="0" xfId="0" applyFont="1" applyFill="1" applyAlignment="1">
      <alignment vertical="center"/>
    </xf>
    <xf numFmtId="0" fontId="9" fillId="3" borderId="0" xfId="0" applyFont="1" applyFill="1" applyAlignment="1">
      <alignment vertical="center"/>
    </xf>
    <xf numFmtId="0" fontId="10" fillId="3" borderId="0" xfId="0" applyFont="1" applyFill="1" applyAlignment="1">
      <alignment vertical="center"/>
    </xf>
    <xf numFmtId="0" fontId="2" fillId="0" borderId="0" xfId="0" applyFont="1" applyAlignment="1">
      <alignment vertical="center"/>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xf>
    <xf numFmtId="49" fontId="11" fillId="4" borderId="3" xfId="0" applyNumberFormat="1" applyFont="1" applyFill="1" applyBorder="1" applyAlignment="1">
      <alignment horizontal="left" vertical="center" indent="1"/>
    </xf>
    <xf numFmtId="165" fontId="11" fillId="4" borderId="3" xfId="6" applyNumberFormat="1" applyFont="1" applyFill="1" applyBorder="1"/>
    <xf numFmtId="49" fontId="11" fillId="5" borderId="4" xfId="0" applyNumberFormat="1" applyFont="1" applyFill="1" applyBorder="1" applyAlignment="1">
      <alignment horizontal="left" vertical="center" indent="1"/>
    </xf>
    <xf numFmtId="165" fontId="11" fillId="0" borderId="4" xfId="6" applyNumberFormat="1" applyFont="1" applyFill="1" applyBorder="1"/>
    <xf numFmtId="49" fontId="12" fillId="5" borderId="4" xfId="0" applyNumberFormat="1" applyFont="1" applyFill="1" applyBorder="1" applyAlignment="1">
      <alignment horizontal="left" vertical="center" indent="2"/>
    </xf>
    <xf numFmtId="165" fontId="12" fillId="0" borderId="4" xfId="6" applyNumberFormat="1" applyFont="1" applyFill="1" applyBorder="1"/>
    <xf numFmtId="49" fontId="11" fillId="4" borderId="4" xfId="0" applyNumberFormat="1" applyFont="1" applyFill="1" applyBorder="1" applyAlignment="1">
      <alignment horizontal="left" vertical="center" indent="1"/>
    </xf>
    <xf numFmtId="165" fontId="11" fillId="4" borderId="4" xfId="6" applyNumberFormat="1" applyFont="1" applyFill="1" applyBorder="1"/>
    <xf numFmtId="0" fontId="2" fillId="0" borderId="4" xfId="11" applyFont="1" applyBorder="1" applyAlignment="1">
      <alignment horizontal="left" indent="2"/>
    </xf>
    <xf numFmtId="49" fontId="13" fillId="0" borderId="4" xfId="0" applyNumberFormat="1" applyFont="1" applyBorder="1" applyAlignment="1">
      <alignment horizontal="left" vertical="center" indent="2"/>
    </xf>
    <xf numFmtId="164" fontId="13" fillId="0" borderId="4" xfId="7" applyNumberFormat="1" applyFont="1" applyFill="1" applyBorder="1"/>
    <xf numFmtId="49" fontId="11" fillId="0" borderId="4" xfId="0" applyNumberFormat="1" applyFont="1" applyBorder="1" applyAlignment="1">
      <alignment horizontal="left" vertical="center" indent="1"/>
    </xf>
    <xf numFmtId="0" fontId="15" fillId="0" borderId="0" xfId="0" applyFont="1" applyAlignment="1">
      <alignment vertical="center"/>
    </xf>
    <xf numFmtId="3" fontId="2" fillId="0" borderId="0" xfId="0" applyNumberFormat="1" applyFont="1" applyAlignment="1">
      <alignment vertical="center"/>
    </xf>
    <xf numFmtId="165" fontId="6" fillId="4" borderId="3" xfId="0" applyNumberFormat="1" applyFont="1" applyFill="1" applyBorder="1" applyAlignment="1">
      <alignment vertical="center"/>
    </xf>
    <xf numFmtId="165" fontId="2" fillId="0" borderId="4" xfId="0" applyNumberFormat="1" applyFont="1" applyBorder="1" applyAlignment="1">
      <alignment vertical="center"/>
    </xf>
    <xf numFmtId="0" fontId="6" fillId="4" borderId="4" xfId="0" applyFont="1" applyFill="1" applyBorder="1" applyAlignment="1">
      <alignment horizontal="left" vertical="center" wrapText="1" indent="1" readingOrder="1"/>
    </xf>
    <xf numFmtId="165" fontId="6" fillId="4" borderId="4" xfId="0" applyNumberFormat="1" applyFont="1" applyFill="1" applyBorder="1" applyAlignment="1">
      <alignment vertical="center"/>
    </xf>
    <xf numFmtId="164" fontId="6" fillId="4" borderId="4" xfId="7" applyNumberFormat="1" applyFont="1" applyFill="1" applyBorder="1" applyAlignment="1">
      <alignment vertical="center"/>
    </xf>
    <xf numFmtId="165" fontId="14" fillId="0" borderId="0" xfId="0" applyNumberFormat="1" applyFont="1" applyAlignment="1">
      <alignment vertical="center"/>
    </xf>
    <xf numFmtId="0" fontId="7" fillId="0" borderId="0" xfId="0" applyFont="1"/>
    <xf numFmtId="165" fontId="2" fillId="0" borderId="3" xfId="0" applyNumberFormat="1" applyFont="1" applyBorder="1" applyAlignment="1">
      <alignment vertical="center"/>
    </xf>
    <xf numFmtId="0" fontId="2" fillId="0" borderId="4" xfId="0" applyFont="1" applyBorder="1" applyAlignment="1">
      <alignment horizontal="left" vertical="center" wrapText="1" indent="1" readingOrder="1"/>
    </xf>
    <xf numFmtId="0" fontId="2" fillId="0" borderId="0" xfId="0" applyFont="1" applyAlignment="1">
      <alignment horizontal="center" vertical="center"/>
    </xf>
    <xf numFmtId="166" fontId="6" fillId="4" borderId="4" xfId="0" applyNumberFormat="1" applyFont="1" applyFill="1" applyBorder="1" applyAlignment="1">
      <alignment vertical="center"/>
    </xf>
    <xf numFmtId="168" fontId="2" fillId="0" borderId="4" xfId="6" applyNumberFormat="1" applyFont="1" applyFill="1" applyBorder="1" applyAlignment="1">
      <alignment vertical="center"/>
    </xf>
    <xf numFmtId="167" fontId="2" fillId="0" borderId="4" xfId="6" applyNumberFormat="1" applyFont="1" applyFill="1" applyBorder="1" applyAlignment="1">
      <alignment horizontal="right" vertical="center"/>
    </xf>
    <xf numFmtId="49" fontId="12" fillId="0" borderId="5" xfId="0" applyNumberFormat="1" applyFont="1" applyBorder="1" applyAlignment="1">
      <alignment horizontal="left" vertical="center" indent="2"/>
    </xf>
    <xf numFmtId="9" fontId="2" fillId="0" borderId="0" xfId="7" applyFont="1" applyAlignment="1">
      <alignment vertical="center"/>
    </xf>
    <xf numFmtId="165" fontId="2" fillId="0" borderId="0" xfId="0" applyNumberFormat="1" applyFont="1" applyAlignment="1">
      <alignment vertical="center"/>
    </xf>
    <xf numFmtId="165" fontId="2" fillId="0" borderId="5" xfId="0" applyNumberFormat="1" applyFont="1" applyBorder="1" applyAlignment="1">
      <alignment vertical="center"/>
    </xf>
    <xf numFmtId="49" fontId="12" fillId="0" borderId="4" xfId="0" applyNumberFormat="1" applyFont="1" applyBorder="1" applyAlignment="1">
      <alignment horizontal="left" vertical="center" indent="2"/>
    </xf>
    <xf numFmtId="49" fontId="16" fillId="0" borderId="3" xfId="0" applyNumberFormat="1" applyFont="1" applyBorder="1" applyAlignment="1">
      <alignment horizontal="left" vertical="center" indent="1"/>
    </xf>
    <xf numFmtId="165" fontId="11" fillId="0" borderId="3" xfId="6" applyNumberFormat="1" applyFont="1" applyFill="1" applyBorder="1"/>
    <xf numFmtId="49" fontId="11" fillId="4" borderId="4" xfId="0" applyNumberFormat="1" applyFont="1" applyFill="1" applyBorder="1" applyAlignment="1">
      <alignment horizontal="left" vertical="center" indent="2"/>
    </xf>
    <xf numFmtId="14" fontId="2" fillId="0" borderId="0" xfId="0" applyNumberFormat="1" applyFont="1" applyAlignment="1">
      <alignment horizontal="center" vertical="center"/>
    </xf>
    <xf numFmtId="0" fontId="7" fillId="0" borderId="0" xfId="0" applyFont="1" applyAlignment="1">
      <alignment vertical="center"/>
    </xf>
    <xf numFmtId="168" fontId="2" fillId="0" borderId="0" xfId="6" applyNumberFormat="1" applyFont="1" applyAlignment="1">
      <alignment vertical="center"/>
    </xf>
    <xf numFmtId="0" fontId="14" fillId="0" borderId="5" xfId="0" applyFont="1" applyBorder="1" applyAlignment="1">
      <alignment horizontal="left" vertical="center" wrapText="1" indent="1" readingOrder="1"/>
    </xf>
    <xf numFmtId="164" fontId="14" fillId="0" borderId="4" xfId="7" applyNumberFormat="1" applyFont="1" applyBorder="1" applyAlignment="1">
      <alignment vertical="center"/>
    </xf>
    <xf numFmtId="169" fontId="17" fillId="0" borderId="0" xfId="6" applyNumberFormat="1" applyFont="1" applyFill="1" applyBorder="1"/>
    <xf numFmtId="10" fontId="2" fillId="0" borderId="0" xfId="7" applyNumberFormat="1" applyFont="1" applyFill="1" applyBorder="1" applyAlignment="1">
      <alignment vertical="center"/>
    </xf>
    <xf numFmtId="0" fontId="7" fillId="0" borderId="0" xfId="0" applyFont="1" applyAlignment="1">
      <alignment horizontal="center" vertical="center"/>
    </xf>
    <xf numFmtId="164" fontId="2" fillId="0" borderId="4" xfId="7" applyNumberFormat="1" applyFont="1" applyFill="1" applyBorder="1" applyAlignment="1">
      <alignment vertical="center"/>
    </xf>
    <xf numFmtId="0" fontId="2" fillId="0" borderId="4" xfId="0" applyFont="1" applyBorder="1" applyAlignment="1">
      <alignment horizontal="left" vertical="center" wrapText="1" indent="2" readingOrder="1"/>
    </xf>
    <xf numFmtId="0" fontId="14" fillId="0" borderId="4" xfId="0" applyFont="1" applyBorder="1" applyAlignment="1">
      <alignment horizontal="left" vertical="center" wrapText="1" indent="1" readingOrder="1"/>
    </xf>
    <xf numFmtId="9" fontId="14" fillId="0" borderId="5" xfId="7" applyFont="1" applyFill="1" applyBorder="1" applyAlignment="1">
      <alignment vertical="center"/>
    </xf>
    <xf numFmtId="0" fontId="2" fillId="0" borderId="3" xfId="0" applyFont="1" applyBorder="1" applyAlignment="1">
      <alignment horizontal="left" vertical="center" wrapText="1" indent="1" readingOrder="1"/>
    </xf>
    <xf numFmtId="49" fontId="11" fillId="5" borderId="4" xfId="0" applyNumberFormat="1" applyFont="1" applyFill="1" applyBorder="1" applyAlignment="1">
      <alignment horizontal="left" vertical="center" indent="2"/>
    </xf>
    <xf numFmtId="2" fontId="2" fillId="0" borderId="0" xfId="0" applyNumberFormat="1" applyFont="1" applyAlignment="1">
      <alignment vertical="center"/>
    </xf>
    <xf numFmtId="1" fontId="2" fillId="0" borderId="0" xfId="0" applyNumberFormat="1" applyFont="1" applyAlignment="1">
      <alignment vertical="center"/>
    </xf>
    <xf numFmtId="3" fontId="0" fillId="0" borderId="0" xfId="0" applyNumberFormat="1"/>
    <xf numFmtId="170" fontId="2" fillId="0" borderId="0" xfId="0" applyNumberFormat="1" applyFont="1" applyAlignment="1">
      <alignment vertical="center"/>
    </xf>
    <xf numFmtId="172" fontId="2" fillId="0" borderId="0" xfId="0" applyNumberFormat="1" applyFont="1" applyAlignment="1">
      <alignment vertical="center"/>
    </xf>
    <xf numFmtId="165" fontId="11" fillId="0" borderId="4" xfId="6" applyNumberFormat="1" applyFont="1" applyBorder="1"/>
    <xf numFmtId="165" fontId="12" fillId="0" borderId="4" xfId="6" applyNumberFormat="1" applyFont="1" applyBorder="1"/>
    <xf numFmtId="164" fontId="13" fillId="0" borderId="4" xfId="7" applyNumberFormat="1" applyFont="1" applyBorder="1"/>
    <xf numFmtId="165" fontId="11" fillId="0" borderId="4" xfId="6" applyNumberFormat="1" applyFont="1" applyFill="1" applyBorder="1" applyAlignment="1">
      <alignment horizontal="right"/>
    </xf>
    <xf numFmtId="165" fontId="12" fillId="0" borderId="4" xfId="6" applyNumberFormat="1" applyFont="1" applyFill="1" applyBorder="1" applyAlignment="1">
      <alignment horizontal="right"/>
    </xf>
    <xf numFmtId="165" fontId="11" fillId="4" borderId="4" xfId="6" applyNumberFormat="1" applyFont="1" applyFill="1" applyBorder="1" applyAlignment="1">
      <alignment horizontal="right"/>
    </xf>
    <xf numFmtId="164" fontId="13" fillId="0" borderId="4" xfId="7" applyNumberFormat="1" applyFont="1" applyFill="1" applyBorder="1" applyAlignment="1">
      <alignment horizontal="right"/>
    </xf>
    <xf numFmtId="9" fontId="14" fillId="0" borderId="5" xfId="7" applyFont="1" applyBorder="1" applyAlignment="1">
      <alignment vertical="center"/>
    </xf>
    <xf numFmtId="175" fontId="2" fillId="0" borderId="0" xfId="0" applyNumberFormat="1" applyFont="1" applyAlignment="1">
      <alignment vertical="center"/>
    </xf>
    <xf numFmtId="176" fontId="2" fillId="0" borderId="0" xfId="0" applyNumberFormat="1" applyFont="1" applyAlignment="1">
      <alignment vertical="center"/>
    </xf>
    <xf numFmtId="174" fontId="2" fillId="0" borderId="0" xfId="0" applyNumberFormat="1" applyFont="1" applyAlignment="1">
      <alignment vertical="center"/>
    </xf>
    <xf numFmtId="177" fontId="2" fillId="0" borderId="0" xfId="0" applyNumberFormat="1" applyFont="1" applyAlignment="1">
      <alignment vertical="center"/>
    </xf>
    <xf numFmtId="0" fontId="2" fillId="0" borderId="0" xfId="0" applyFont="1" applyAlignment="1">
      <alignment horizontal="left" vertical="center" wrapText="1" indent="1" readingOrder="1"/>
    </xf>
    <xf numFmtId="168" fontId="2" fillId="0" borderId="0" xfId="6" applyNumberFormat="1" applyFont="1" applyFill="1" applyBorder="1" applyAlignment="1">
      <alignment vertical="center"/>
    </xf>
    <xf numFmtId="0" fontId="6" fillId="6" borderId="4" xfId="0" applyFont="1" applyFill="1" applyBorder="1" applyAlignment="1">
      <alignment horizontal="left" vertical="center" wrapText="1" indent="1" readingOrder="1"/>
    </xf>
    <xf numFmtId="165" fontId="6" fillId="6" borderId="4" xfId="0" applyNumberFormat="1" applyFont="1" applyFill="1" applyBorder="1" applyAlignment="1">
      <alignment vertical="center"/>
    </xf>
    <xf numFmtId="0" fontId="2" fillId="0" borderId="0" xfId="0" applyFont="1" applyAlignment="1">
      <alignment vertical="top" wrapText="1"/>
    </xf>
    <xf numFmtId="171" fontId="12" fillId="0" borderId="4" xfId="6" applyNumberFormat="1" applyFont="1" applyFill="1" applyBorder="1"/>
    <xf numFmtId="165" fontId="2" fillId="0" borderId="0" xfId="0" applyNumberFormat="1" applyFont="1"/>
    <xf numFmtId="9" fontId="11" fillId="4" borderId="3" xfId="7" applyFont="1" applyFill="1" applyBorder="1"/>
    <xf numFmtId="9" fontId="11" fillId="0" borderId="4" xfId="7" applyFont="1" applyFill="1" applyBorder="1"/>
    <xf numFmtId="9" fontId="12" fillId="0" borderId="4" xfId="7" applyFont="1" applyFill="1" applyBorder="1"/>
    <xf numFmtId="9" fontId="11" fillId="4" borderId="4" xfId="7" applyFont="1" applyFill="1" applyBorder="1"/>
    <xf numFmtId="178" fontId="6" fillId="7" borderId="4" xfId="7" applyNumberFormat="1" applyFont="1" applyFill="1" applyBorder="1" applyAlignment="1">
      <alignment vertical="center"/>
    </xf>
    <xf numFmtId="9" fontId="13" fillId="0" borderId="4" xfId="7" applyFont="1" applyFill="1" applyBorder="1"/>
    <xf numFmtId="9" fontId="11" fillId="7" borderId="4" xfId="7" applyFont="1" applyFill="1" applyBorder="1"/>
    <xf numFmtId="9" fontId="5" fillId="3" borderId="2" xfId="7" applyFont="1" applyFill="1" applyBorder="1" applyAlignment="1">
      <alignment horizontal="center" vertical="center"/>
    </xf>
    <xf numFmtId="9" fontId="6" fillId="4" borderId="3" xfId="7" applyFont="1" applyFill="1" applyBorder="1" applyAlignment="1">
      <alignment vertical="center"/>
    </xf>
    <xf numFmtId="178" fontId="6" fillId="4" borderId="4" xfId="7" applyNumberFormat="1" applyFont="1" applyFill="1" applyBorder="1" applyAlignment="1">
      <alignment vertical="center"/>
    </xf>
    <xf numFmtId="178" fontId="13" fillId="0" borderId="4" xfId="7" applyNumberFormat="1" applyFont="1" applyFill="1" applyBorder="1"/>
    <xf numFmtId="165" fontId="11" fillId="0" borderId="0" xfId="6" applyNumberFormat="1" applyFont="1" applyFill="1" applyBorder="1" applyAlignment="1">
      <alignment horizontal="right"/>
    </xf>
    <xf numFmtId="165" fontId="11" fillId="0" borderId="0" xfId="6" applyNumberFormat="1" applyFont="1" applyFill="1" applyBorder="1"/>
    <xf numFmtId="9" fontId="11" fillId="0" borderId="0" xfId="7" applyFont="1" applyFill="1" applyBorder="1" applyAlignment="1">
      <alignment horizontal="right"/>
    </xf>
    <xf numFmtId="165" fontId="12" fillId="0" borderId="0" xfId="6" applyNumberFormat="1" applyFont="1" applyFill="1" applyBorder="1" applyAlignment="1">
      <alignment horizontal="right"/>
    </xf>
    <xf numFmtId="165" fontId="12" fillId="0" borderId="0" xfId="6" applyNumberFormat="1" applyFont="1" applyFill="1" applyBorder="1"/>
    <xf numFmtId="9" fontId="12" fillId="0" borderId="0" xfId="7" applyFont="1" applyFill="1" applyBorder="1" applyAlignment="1">
      <alignment horizontal="right"/>
    </xf>
    <xf numFmtId="164" fontId="13" fillId="0" borderId="0" xfId="7" applyNumberFormat="1" applyFont="1" applyFill="1" applyBorder="1" applyAlignment="1">
      <alignment horizontal="right"/>
    </xf>
    <xf numFmtId="164" fontId="13" fillId="0" borderId="0" xfId="7" applyNumberFormat="1" applyFont="1" applyFill="1" applyBorder="1"/>
    <xf numFmtId="178" fontId="13" fillId="0" borderId="0" xfId="7" applyNumberFormat="1" applyFont="1" applyFill="1" applyBorder="1" applyAlignment="1">
      <alignment horizontal="right"/>
    </xf>
    <xf numFmtId="178" fontId="13" fillId="0" borderId="4" xfId="7" applyNumberFormat="1" applyFont="1" applyFill="1" applyBorder="1" applyAlignment="1">
      <alignment horizontal="right"/>
    </xf>
    <xf numFmtId="9" fontId="12" fillId="0" borderId="4" xfId="7" applyFont="1" applyFill="1" applyBorder="1" applyAlignment="1">
      <alignment horizontal="right"/>
    </xf>
    <xf numFmtId="9" fontId="6" fillId="4" borderId="4" xfId="7" applyFont="1" applyFill="1" applyBorder="1" applyAlignment="1">
      <alignment horizontal="right" vertical="center"/>
    </xf>
    <xf numFmtId="164" fontId="12" fillId="0" borderId="4" xfId="7" applyNumberFormat="1" applyFont="1" applyFill="1" applyBorder="1"/>
    <xf numFmtId="178" fontId="12" fillId="0" borderId="4" xfId="7" applyNumberFormat="1" applyFont="1" applyFill="1" applyBorder="1"/>
    <xf numFmtId="9" fontId="2" fillId="0" borderId="4" xfId="7" applyFont="1" applyFill="1" applyBorder="1" applyAlignment="1">
      <alignment vertical="center"/>
    </xf>
    <xf numFmtId="179" fontId="13" fillId="0" borderId="4" xfId="7" applyNumberFormat="1" applyFont="1" applyFill="1" applyBorder="1"/>
    <xf numFmtId="9" fontId="12" fillId="0" borderId="0" xfId="7" applyFont="1" applyFill="1" applyBorder="1"/>
    <xf numFmtId="165" fontId="11" fillId="6" borderId="4" xfId="6" applyNumberFormat="1" applyFont="1" applyFill="1" applyBorder="1"/>
    <xf numFmtId="9" fontId="11" fillId="6" borderId="4" xfId="7" applyFont="1" applyFill="1" applyBorder="1"/>
    <xf numFmtId="164" fontId="13" fillId="0" borderId="4" xfId="7" applyNumberFormat="1" applyFont="1" applyBorder="1" applyAlignment="1">
      <alignment horizontal="right"/>
    </xf>
    <xf numFmtId="164" fontId="6" fillId="4" borderId="4" xfId="7" applyNumberFormat="1" applyFont="1" applyFill="1" applyBorder="1" applyAlignment="1">
      <alignment horizontal="right" vertical="center"/>
    </xf>
    <xf numFmtId="9" fontId="11" fillId="0" borderId="3" xfId="7" applyFont="1" applyFill="1" applyBorder="1"/>
    <xf numFmtId="164" fontId="2" fillId="0" borderId="0" xfId="7" applyNumberFormat="1" applyFont="1" applyAlignment="1">
      <alignment vertical="center"/>
    </xf>
    <xf numFmtId="9" fontId="0" fillId="0" borderId="0" xfId="7" applyFont="1"/>
    <xf numFmtId="164" fontId="13" fillId="0" borderId="6" xfId="7" applyNumberFormat="1" applyFont="1" applyFill="1" applyBorder="1"/>
    <xf numFmtId="178" fontId="13" fillId="0" borderId="6" xfId="7" applyNumberFormat="1" applyFont="1" applyFill="1" applyBorder="1"/>
    <xf numFmtId="164" fontId="13" fillId="0" borderId="6" xfId="7" applyNumberFormat="1" applyFont="1" applyFill="1" applyBorder="1" applyAlignment="1">
      <alignment horizontal="right"/>
    </xf>
    <xf numFmtId="164" fontId="2" fillId="0" borderId="0" xfId="7" applyNumberFormat="1" applyFont="1" applyBorder="1" applyAlignment="1">
      <alignment vertical="center"/>
    </xf>
    <xf numFmtId="179" fontId="13" fillId="0" borderId="0" xfId="7" applyNumberFormat="1" applyFont="1" applyFill="1" applyBorder="1"/>
    <xf numFmtId="173" fontId="2" fillId="0" borderId="0" xfId="0" applyNumberFormat="1" applyFont="1" applyAlignment="1">
      <alignment vertical="center"/>
    </xf>
    <xf numFmtId="0" fontId="21" fillId="3" borderId="2" xfId="0" applyFont="1" applyFill="1" applyBorder="1" applyAlignment="1">
      <alignment horizontal="center" vertical="center"/>
    </xf>
    <xf numFmtId="0" fontId="21" fillId="3" borderId="0" xfId="0" applyFont="1" applyFill="1"/>
    <xf numFmtId="0" fontId="24" fillId="3" borderId="0" xfId="0" applyFont="1" applyFill="1"/>
    <xf numFmtId="165" fontId="11" fillId="8" borderId="7" xfId="6" applyNumberFormat="1" applyFont="1" applyFill="1" applyBorder="1"/>
    <xf numFmtId="165" fontId="11" fillId="0" borderId="8" xfId="6" applyNumberFormat="1" applyFont="1" applyBorder="1"/>
    <xf numFmtId="165" fontId="12" fillId="0" borderId="8" xfId="6" applyNumberFormat="1" applyFont="1" applyBorder="1"/>
    <xf numFmtId="165" fontId="11" fillId="8" borderId="8" xfId="6" applyNumberFormat="1" applyFont="1" applyFill="1" applyBorder="1"/>
    <xf numFmtId="164" fontId="13" fillId="0" borderId="8" xfId="7" applyNumberFormat="1" applyFont="1" applyBorder="1" applyAlignment="1">
      <alignment horizontal="right"/>
    </xf>
    <xf numFmtId="165" fontId="11" fillId="0" borderId="8" xfId="6" applyNumberFormat="1" applyFont="1" applyFill="1" applyBorder="1"/>
    <xf numFmtId="165" fontId="12" fillId="0" borderId="8" xfId="6" applyNumberFormat="1" applyFont="1" applyFill="1" applyBorder="1"/>
    <xf numFmtId="164" fontId="13" fillId="0" borderId="8" xfId="7" applyNumberFormat="1" applyFont="1" applyFill="1" applyBorder="1"/>
    <xf numFmtId="170" fontId="11" fillId="0" borderId="8" xfId="6" applyNumberFormat="1" applyFont="1" applyFill="1" applyBorder="1"/>
    <xf numFmtId="165" fontId="2" fillId="0" borderId="8" xfId="0" applyNumberFormat="1" applyFont="1" applyBorder="1" applyAlignment="1">
      <alignment vertical="center"/>
    </xf>
    <xf numFmtId="165" fontId="2" fillId="0" borderId="9" xfId="0" applyNumberFormat="1" applyFont="1" applyBorder="1" applyAlignment="1">
      <alignment vertical="center"/>
    </xf>
    <xf numFmtId="165" fontId="11" fillId="8" borderId="8" xfId="6" applyNumberFormat="1" applyFont="1" applyFill="1" applyBorder="1" applyAlignment="1">
      <alignment horizontal="right"/>
    </xf>
    <xf numFmtId="164" fontId="13" fillId="0" borderId="8" xfId="7" applyNumberFormat="1" applyFont="1" applyFill="1" applyBorder="1" applyAlignment="1">
      <alignment horizontal="right"/>
    </xf>
    <xf numFmtId="165" fontId="2" fillId="0" borderId="7" xfId="0" applyNumberFormat="1" applyFont="1" applyBorder="1" applyAlignment="1">
      <alignment vertical="center"/>
    </xf>
    <xf numFmtId="165" fontId="2" fillId="0" borderId="8" xfId="0" applyNumberFormat="1" applyFont="1" applyBorder="1" applyAlignment="1">
      <alignment horizontal="right" vertical="center"/>
    </xf>
    <xf numFmtId="164" fontId="2" fillId="0" borderId="8" xfId="7" applyNumberFormat="1" applyFont="1" applyFill="1" applyBorder="1" applyAlignment="1">
      <alignment horizontal="right" vertical="center"/>
    </xf>
    <xf numFmtId="168" fontId="2" fillId="0" borderId="8" xfId="6" applyNumberFormat="1" applyFont="1" applyFill="1" applyBorder="1" applyAlignment="1">
      <alignment vertical="center"/>
    </xf>
    <xf numFmtId="167" fontId="2" fillId="0" borderId="8" xfId="6" applyNumberFormat="1" applyFont="1" applyFill="1" applyBorder="1" applyAlignment="1">
      <alignment horizontal="right" vertical="center"/>
    </xf>
    <xf numFmtId="165" fontId="6" fillId="6" borderId="8" xfId="0" applyNumberFormat="1" applyFont="1" applyFill="1" applyBorder="1" applyAlignment="1">
      <alignment vertical="center"/>
    </xf>
    <xf numFmtId="164" fontId="14" fillId="0" borderId="8" xfId="7" applyNumberFormat="1" applyFont="1" applyBorder="1" applyAlignment="1">
      <alignment vertical="center"/>
    </xf>
    <xf numFmtId="166" fontId="6" fillId="8" borderId="8" xfId="0" applyNumberFormat="1" applyFont="1" applyFill="1" applyBorder="1" applyAlignment="1">
      <alignment vertical="center"/>
    </xf>
    <xf numFmtId="0" fontId="22" fillId="2" borderId="1" xfId="13" applyFont="1" applyAlignment="1">
      <alignment horizontal="center" vertical="center"/>
    </xf>
    <xf numFmtId="0" fontId="2" fillId="0" borderId="0" xfId="0" applyFont="1" applyAlignment="1">
      <alignment horizontal="left" vertical="top" wrapText="1"/>
    </xf>
  </cellXfs>
  <cellStyles count="14">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Currency 2" xfId="8" xr:uid="{00000000-0005-0000-0000-000004000000}"/>
    <cellStyle name="Entrada" xfId="13" xr:uid="{00000000-0005-0000-0000-000005000000}"/>
    <cellStyle name="Normal" xfId="0" builtinId="0"/>
    <cellStyle name="Normal 2" xfId="9" xr:uid="{00000000-0005-0000-0000-000007000000}"/>
    <cellStyle name="Normal 4" xfId="11" xr:uid="{00000000-0005-0000-0000-000008000000}"/>
    <cellStyle name="Normal 6 2" xfId="10" xr:uid="{00000000-0005-0000-0000-000009000000}"/>
    <cellStyle name="Normal 9" xfId="12" xr:uid="{00000000-0005-0000-0000-00000A000000}"/>
    <cellStyle name="Percent" xfId="1" xr:uid="{00000000-0005-0000-0000-00000B000000}"/>
    <cellStyle name="Porcentagem" xfId="7" xr:uid="{00000000-0005-0000-0000-00000C000000}"/>
    <cellStyle name="Vírgula" xfId="6"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2'!A1"/><Relationship Id="rId7" Type="http://schemas.openxmlformats.org/officeDocument/2006/relationships/hyperlink" Target="#'6'!A1"/><Relationship Id="rId2" Type="http://schemas.openxmlformats.org/officeDocument/2006/relationships/hyperlink" Target="#'1'!A1"/><Relationship Id="rId1" Type="http://schemas.openxmlformats.org/officeDocument/2006/relationships/image" Target="../media/image1.png"/><Relationship Id="rId6" Type="http://schemas.openxmlformats.org/officeDocument/2006/relationships/hyperlink" Target="#'5'!A1"/><Relationship Id="rId5" Type="http://schemas.openxmlformats.org/officeDocument/2006/relationships/hyperlink" Target="#'4'!A1"/><Relationship Id="rId4" Type="http://schemas.openxmlformats.org/officeDocument/2006/relationships/hyperlink" Target="#'3'!A1"/></Relationships>
</file>

<file path=xl/drawings/_rels/drawing2.xml.rels><?xml version="1.0" encoding="UTF-8" standalone="yes"?>
<Relationships xmlns="http://schemas.openxmlformats.org/package/2006/relationships"><Relationship Id="rId3" Type="http://schemas.openxmlformats.org/officeDocument/2006/relationships/hyperlink" Target="#Sum&#225;rio!A1"/><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Sum&#225;rio!A1"/><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Sum&#225;rio!A1"/><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Sum&#225;rio!A1"/><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Sum&#225;rio!A1"/><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Sum&#225;rio!A1"/><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548640</xdr:colOff>
      <xdr:row>7</xdr:row>
      <xdr:rowOff>43815</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85950" cy="1114425"/>
        </a:xfrm>
        <a:prstGeom prst="rect">
          <a:avLst/>
        </a:prstGeom>
      </xdr:spPr>
    </xdr:pic>
    <xdr:clientData/>
  </xdr:twoCellAnchor>
  <xdr:twoCellAnchor>
    <xdr:from>
      <xdr:col>6</xdr:col>
      <xdr:colOff>188595</xdr:colOff>
      <xdr:row>8</xdr:row>
      <xdr:rowOff>76200</xdr:rowOff>
    </xdr:from>
    <xdr:to>
      <xdr:col>6</xdr:col>
      <xdr:colOff>451485</xdr:colOff>
      <xdr:row>8</xdr:row>
      <xdr:rowOff>259080</xdr:rowOff>
    </xdr:to>
    <xdr:sp macro="" textlink="" fLocksText="0">
      <xdr:nvSpPr>
        <xdr:cNvPr id="4" name="Seta para a Direita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3293745" y="1295400"/>
          <a:ext cx="262890" cy="182880"/>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xdr:twoCellAnchor>
    <xdr:from>
      <xdr:col>6</xdr:col>
      <xdr:colOff>306705</xdr:colOff>
      <xdr:row>9</xdr:row>
      <xdr:rowOff>83820</xdr:rowOff>
    </xdr:from>
    <xdr:to>
      <xdr:col>6</xdr:col>
      <xdr:colOff>569595</xdr:colOff>
      <xdr:row>9</xdr:row>
      <xdr:rowOff>266700</xdr:rowOff>
    </xdr:to>
    <xdr:sp macro="" textlink="" fLocksText="0">
      <xdr:nvSpPr>
        <xdr:cNvPr id="5" name="Seta para a Direita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3411855" y="1617345"/>
          <a:ext cx="262890" cy="182880"/>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xdr:twoCellAnchor>
    <xdr:from>
      <xdr:col>4</xdr:col>
      <xdr:colOff>312420</xdr:colOff>
      <xdr:row>10</xdr:row>
      <xdr:rowOff>83820</xdr:rowOff>
    </xdr:from>
    <xdr:to>
      <xdr:col>5</xdr:col>
      <xdr:colOff>3810</xdr:colOff>
      <xdr:row>10</xdr:row>
      <xdr:rowOff>266700</xdr:rowOff>
    </xdr:to>
    <xdr:sp macro="" textlink="" fLocksText="0">
      <xdr:nvSpPr>
        <xdr:cNvPr id="6" name="Seta para a Direita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2236470" y="1931670"/>
          <a:ext cx="281940" cy="182880"/>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xdr:twoCellAnchor>
    <xdr:from>
      <xdr:col>4</xdr:col>
      <xdr:colOff>289560</xdr:colOff>
      <xdr:row>11</xdr:row>
      <xdr:rowOff>83820</xdr:rowOff>
    </xdr:from>
    <xdr:to>
      <xdr:col>4</xdr:col>
      <xdr:colOff>571500</xdr:colOff>
      <xdr:row>11</xdr:row>
      <xdr:rowOff>266700</xdr:rowOff>
    </xdr:to>
    <xdr:sp macro="" textlink="" fLocksText="0">
      <xdr:nvSpPr>
        <xdr:cNvPr id="7" name="Seta para a Direita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2213610" y="2245995"/>
          <a:ext cx="281940" cy="182880"/>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xdr:twoCellAnchor>
    <xdr:from>
      <xdr:col>2</xdr:col>
      <xdr:colOff>441960</xdr:colOff>
      <xdr:row>12</xdr:row>
      <xdr:rowOff>66040</xdr:rowOff>
    </xdr:from>
    <xdr:to>
      <xdr:col>3</xdr:col>
      <xdr:colOff>146050</xdr:colOff>
      <xdr:row>12</xdr:row>
      <xdr:rowOff>248920</xdr:rowOff>
    </xdr:to>
    <xdr:sp macro="" textlink="" fLocksText="0">
      <xdr:nvSpPr>
        <xdr:cNvPr id="9" name="Seta para a Direita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1184910" y="2542540"/>
          <a:ext cx="294640" cy="182880"/>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xdr:twoCellAnchor>
    <xdr:from>
      <xdr:col>3</xdr:col>
      <xdr:colOff>508635</xdr:colOff>
      <xdr:row>13</xdr:row>
      <xdr:rowOff>78740</xdr:rowOff>
    </xdr:from>
    <xdr:to>
      <xdr:col>4</xdr:col>
      <xdr:colOff>180975</xdr:colOff>
      <xdr:row>13</xdr:row>
      <xdr:rowOff>261620</xdr:rowOff>
    </xdr:to>
    <xdr:sp macro="" textlink="" fLocksText="0">
      <xdr:nvSpPr>
        <xdr:cNvPr id="10" name="Seta para a Direita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1842135" y="2840990"/>
          <a:ext cx="262890" cy="182880"/>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13607</xdr:colOff>
      <xdr:row>0</xdr:row>
      <xdr:rowOff>109852</xdr:rowOff>
    </xdr:from>
    <xdr:to>
      <xdr:col>1</xdr:col>
      <xdr:colOff>1694362</xdr:colOff>
      <xdr:row>3</xdr:row>
      <xdr:rowOff>143819</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2875" y="114300"/>
          <a:ext cx="1676400" cy="561975"/>
        </a:xfrm>
        <a:prstGeom prst="rect">
          <a:avLst/>
        </a:prstGeom>
      </xdr:spPr>
    </xdr:pic>
    <xdr:clientData/>
  </xdr:twoCellAnchor>
  <xdr:twoCellAnchor>
    <xdr:from>
      <xdr:col>1</xdr:col>
      <xdr:colOff>3995056</xdr:colOff>
      <xdr:row>1</xdr:row>
      <xdr:rowOff>56651</xdr:rowOff>
    </xdr:from>
    <xdr:to>
      <xdr:col>1</xdr:col>
      <xdr:colOff>5046531</xdr:colOff>
      <xdr:row>3</xdr:row>
      <xdr:rowOff>76523</xdr:rowOff>
    </xdr:to>
    <xdr:grpSp>
      <xdr:nvGrpSpPr>
        <xdr:cNvPr id="5" name="Agrupar 4">
          <a:extLst>
            <a:ext uri="{FF2B5EF4-FFF2-40B4-BE49-F238E27FC236}">
              <a16:creationId xmlns:a16="http://schemas.microsoft.com/office/drawing/2014/main" id="{00000000-0008-0000-0100-000005000000}"/>
            </a:ext>
          </a:extLst>
        </xdr:cNvPr>
        <xdr:cNvGrpSpPr>
          <a:grpSpLocks/>
        </xdr:cNvGrpSpPr>
      </xdr:nvGrpSpPr>
      <xdr:grpSpPr>
        <a:xfrm>
          <a:off x="2977002" y="202327"/>
          <a:ext cx="0" cy="400872"/>
          <a:chOff x="4136570" y="198165"/>
          <a:chExt cx="1051475" cy="302901"/>
        </a:xfrm>
      </xdr:grpSpPr>
      <xdr:pic>
        <xdr:nvPicPr>
          <xdr:cNvPr id="3" name="Imagem 2" descr="Home - Free interface icon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lum bright="70000" contrast="-70000"/>
            <a:extLst>
              <a:ext uri="{28A0092B-C50C-407E-A947-70E740481C1C}">
                <a14:useLocalDpi xmlns:a14="http://schemas.microsoft.com/office/drawing/2010/main" val="0"/>
              </a:ext>
            </a:extLst>
          </a:blip>
          <a:stretch>
            <a:fillRect/>
          </a:stretch>
        </xdr:blipFill>
        <xdr:spPr bwMode="auto">
          <a:xfrm>
            <a:off x="4136570" y="198165"/>
            <a:ext cx="283110" cy="28730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aixaDe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4397862" y="261244"/>
            <a:ext cx="790183" cy="23982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pt-BR" sz="1000" b="1" i="0" u="sng" baseline="0">
                <a:solidFill>
                  <a:srgbClr val="000E40"/>
                </a:solidFill>
                <a:latin typeface="Arial"/>
                <a:ea typeface="Arial"/>
              </a:rPr>
              <a:t>CONTENTS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13605</xdr:colOff>
      <xdr:row>1</xdr:row>
      <xdr:rowOff>6252</xdr:rowOff>
    </xdr:from>
    <xdr:to>
      <xdr:col>1</xdr:col>
      <xdr:colOff>1389528</xdr:colOff>
      <xdr:row>3</xdr:row>
      <xdr:rowOff>110491</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8076" y="151928"/>
          <a:ext cx="1375923" cy="485239"/>
        </a:xfrm>
        <a:prstGeom prst="rect">
          <a:avLst/>
        </a:prstGeom>
      </xdr:spPr>
    </xdr:pic>
    <xdr:clientData/>
  </xdr:twoCellAnchor>
  <xdr:twoCellAnchor>
    <xdr:from>
      <xdr:col>1</xdr:col>
      <xdr:colOff>1895475</xdr:colOff>
      <xdr:row>1</xdr:row>
      <xdr:rowOff>57150</xdr:rowOff>
    </xdr:from>
    <xdr:to>
      <xdr:col>1</xdr:col>
      <xdr:colOff>2946950</xdr:colOff>
      <xdr:row>3</xdr:row>
      <xdr:rowOff>77022</xdr:rowOff>
    </xdr:to>
    <xdr:grpSp>
      <xdr:nvGrpSpPr>
        <xdr:cNvPr id="6" name="Agrupar 5">
          <a:extLst>
            <a:ext uri="{FF2B5EF4-FFF2-40B4-BE49-F238E27FC236}">
              <a16:creationId xmlns:a16="http://schemas.microsoft.com/office/drawing/2014/main" id="{00000000-0008-0000-0300-000006000000}"/>
            </a:ext>
          </a:extLst>
        </xdr:cNvPr>
        <xdr:cNvGrpSpPr>
          <a:grpSpLocks/>
        </xdr:cNvGrpSpPr>
      </xdr:nvGrpSpPr>
      <xdr:grpSpPr>
        <a:xfrm>
          <a:off x="2029946" y="202826"/>
          <a:ext cx="1051475" cy="400872"/>
          <a:chOff x="4136570" y="198165"/>
          <a:chExt cx="1051475" cy="302901"/>
        </a:xfrm>
      </xdr:grpSpPr>
      <xdr:pic>
        <xdr:nvPicPr>
          <xdr:cNvPr id="7" name="Imagem 6" descr="Home - Free interface icons">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lum bright="70000" contrast="-70000"/>
            <a:extLst>
              <a:ext uri="{28A0092B-C50C-407E-A947-70E740481C1C}">
                <a14:useLocalDpi xmlns:a14="http://schemas.microsoft.com/office/drawing/2010/main" val="0"/>
              </a:ext>
            </a:extLst>
          </a:blip>
          <a:stretch>
            <a:fillRect/>
          </a:stretch>
        </xdr:blipFill>
        <xdr:spPr bwMode="auto">
          <a:xfrm>
            <a:off x="4136570" y="198165"/>
            <a:ext cx="283110" cy="28730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CaixaDeTexto 7">
            <a:hlinkClick xmlns:r="http://schemas.openxmlformats.org/officeDocument/2006/relationships" r:id="rId3"/>
            <a:extLst>
              <a:ext uri="{FF2B5EF4-FFF2-40B4-BE49-F238E27FC236}">
                <a16:creationId xmlns:a16="http://schemas.microsoft.com/office/drawing/2014/main" id="{00000000-0008-0000-0300-000008000000}"/>
              </a:ext>
            </a:extLst>
          </xdr:cNvPr>
          <xdr:cNvSpPr txBox="1"/>
        </xdr:nvSpPr>
        <xdr:spPr>
          <a:xfrm>
            <a:off x="4397862" y="261244"/>
            <a:ext cx="790183" cy="23982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pt-BR" sz="1000" b="1" i="0" u="sng" baseline="0">
                <a:solidFill>
                  <a:srgbClr val="000E40"/>
                </a:solidFill>
                <a:latin typeface="Arial"/>
                <a:ea typeface="Arial"/>
              </a:rPr>
              <a:t>CONTENTS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13607</xdr:colOff>
      <xdr:row>0</xdr:row>
      <xdr:rowOff>109852</xdr:rowOff>
    </xdr:from>
    <xdr:to>
      <xdr:col>1</xdr:col>
      <xdr:colOff>1698172</xdr:colOff>
      <xdr:row>3</xdr:row>
      <xdr:rowOff>143819</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2875" y="114300"/>
          <a:ext cx="1685925" cy="561975"/>
        </a:xfrm>
        <a:prstGeom prst="rect">
          <a:avLst/>
        </a:prstGeom>
      </xdr:spPr>
    </xdr:pic>
    <xdr:clientData/>
  </xdr:twoCellAnchor>
  <xdr:twoCellAnchor>
    <xdr:from>
      <xdr:col>1</xdr:col>
      <xdr:colOff>3897087</xdr:colOff>
      <xdr:row>1</xdr:row>
      <xdr:rowOff>32658</xdr:rowOff>
    </xdr:from>
    <xdr:to>
      <xdr:col>1</xdr:col>
      <xdr:colOff>4948562</xdr:colOff>
      <xdr:row>3</xdr:row>
      <xdr:rowOff>52530</xdr:rowOff>
    </xdr:to>
    <xdr:grpSp>
      <xdr:nvGrpSpPr>
        <xdr:cNvPr id="3" name="Agrupar 2">
          <a:extLst>
            <a:ext uri="{FF2B5EF4-FFF2-40B4-BE49-F238E27FC236}">
              <a16:creationId xmlns:a16="http://schemas.microsoft.com/office/drawing/2014/main" id="{00000000-0008-0000-0400-000003000000}"/>
            </a:ext>
          </a:extLst>
        </xdr:cNvPr>
        <xdr:cNvGrpSpPr>
          <a:grpSpLocks/>
        </xdr:cNvGrpSpPr>
      </xdr:nvGrpSpPr>
      <xdr:grpSpPr>
        <a:xfrm>
          <a:off x="4031558" y="178334"/>
          <a:ext cx="0" cy="400872"/>
          <a:chOff x="4136570" y="198165"/>
          <a:chExt cx="1051475" cy="302901"/>
        </a:xfrm>
      </xdr:grpSpPr>
      <xdr:pic>
        <xdr:nvPicPr>
          <xdr:cNvPr id="4" name="Imagem 3" descr="Home - Free interface icon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lum bright="70000" contrast="-70000"/>
            <a:extLst>
              <a:ext uri="{28A0092B-C50C-407E-A947-70E740481C1C}">
                <a14:useLocalDpi xmlns:a14="http://schemas.microsoft.com/office/drawing/2010/main" val="0"/>
              </a:ext>
            </a:extLst>
          </a:blip>
          <a:stretch>
            <a:fillRect/>
          </a:stretch>
        </xdr:blipFill>
        <xdr:spPr bwMode="auto">
          <a:xfrm>
            <a:off x="4136570" y="198165"/>
            <a:ext cx="283110" cy="28730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CaixaDeTexto 4">
            <a:hlinkClick xmlns:r="http://schemas.openxmlformats.org/officeDocument/2006/relationships" r:id="rId3"/>
            <a:extLst>
              <a:ext uri="{FF2B5EF4-FFF2-40B4-BE49-F238E27FC236}">
                <a16:creationId xmlns:a16="http://schemas.microsoft.com/office/drawing/2014/main" id="{00000000-0008-0000-0400-000005000000}"/>
              </a:ext>
            </a:extLst>
          </xdr:cNvPr>
          <xdr:cNvSpPr txBox="1"/>
        </xdr:nvSpPr>
        <xdr:spPr>
          <a:xfrm>
            <a:off x="4397862" y="261244"/>
            <a:ext cx="790183" cy="23982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pt-BR" sz="1000" b="1" i="0" u="sng" baseline="0">
                <a:solidFill>
                  <a:srgbClr val="000E40"/>
                </a:solidFill>
                <a:latin typeface="Arial"/>
                <a:ea typeface="Arial"/>
              </a:rPr>
              <a:t>CONTENTS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13607</xdr:colOff>
      <xdr:row>0</xdr:row>
      <xdr:rowOff>109852</xdr:rowOff>
    </xdr:from>
    <xdr:to>
      <xdr:col>1</xdr:col>
      <xdr:colOff>1694362</xdr:colOff>
      <xdr:row>3</xdr:row>
      <xdr:rowOff>147629</xdr:rowOff>
    </xdr:to>
    <xdr:pic>
      <xdr:nvPicPr>
        <xdr:cNvPr id="2" name="Image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2875" y="114300"/>
          <a:ext cx="1676400" cy="561975"/>
        </a:xfrm>
        <a:prstGeom prst="rect">
          <a:avLst/>
        </a:prstGeom>
      </xdr:spPr>
    </xdr:pic>
    <xdr:clientData/>
  </xdr:twoCellAnchor>
  <xdr:twoCellAnchor>
    <xdr:from>
      <xdr:col>1</xdr:col>
      <xdr:colOff>2808514</xdr:colOff>
      <xdr:row>1</xdr:row>
      <xdr:rowOff>54429</xdr:rowOff>
    </xdr:from>
    <xdr:to>
      <xdr:col>1</xdr:col>
      <xdr:colOff>3859989</xdr:colOff>
      <xdr:row>3</xdr:row>
      <xdr:rowOff>74301</xdr:rowOff>
    </xdr:to>
    <xdr:grpSp>
      <xdr:nvGrpSpPr>
        <xdr:cNvPr id="3" name="Agrupar 2">
          <a:extLst>
            <a:ext uri="{FF2B5EF4-FFF2-40B4-BE49-F238E27FC236}">
              <a16:creationId xmlns:a16="http://schemas.microsoft.com/office/drawing/2014/main" id="{00000000-0008-0000-0500-000003000000}"/>
            </a:ext>
          </a:extLst>
        </xdr:cNvPr>
        <xdr:cNvGrpSpPr>
          <a:grpSpLocks/>
        </xdr:cNvGrpSpPr>
      </xdr:nvGrpSpPr>
      <xdr:grpSpPr>
        <a:xfrm>
          <a:off x="2942985" y="200105"/>
          <a:ext cx="1051475" cy="400872"/>
          <a:chOff x="4136570" y="198165"/>
          <a:chExt cx="1051475" cy="302901"/>
        </a:xfrm>
      </xdr:grpSpPr>
      <xdr:pic>
        <xdr:nvPicPr>
          <xdr:cNvPr id="4" name="Imagem 3" descr="Home - Free interface icons">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lum bright="70000" contrast="-70000"/>
            <a:extLst>
              <a:ext uri="{28A0092B-C50C-407E-A947-70E740481C1C}">
                <a14:useLocalDpi xmlns:a14="http://schemas.microsoft.com/office/drawing/2010/main" val="0"/>
              </a:ext>
            </a:extLst>
          </a:blip>
          <a:stretch>
            <a:fillRect/>
          </a:stretch>
        </xdr:blipFill>
        <xdr:spPr bwMode="auto">
          <a:xfrm>
            <a:off x="4136570" y="198165"/>
            <a:ext cx="283110" cy="28730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CaixaDeTexto 4">
            <a:hlinkClick xmlns:r="http://schemas.openxmlformats.org/officeDocument/2006/relationships" r:id="rId3"/>
            <a:extLst>
              <a:ext uri="{FF2B5EF4-FFF2-40B4-BE49-F238E27FC236}">
                <a16:creationId xmlns:a16="http://schemas.microsoft.com/office/drawing/2014/main" id="{00000000-0008-0000-0500-000005000000}"/>
              </a:ext>
            </a:extLst>
          </xdr:cNvPr>
          <xdr:cNvSpPr txBox="1"/>
        </xdr:nvSpPr>
        <xdr:spPr>
          <a:xfrm>
            <a:off x="4397862" y="261244"/>
            <a:ext cx="790183" cy="23982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pt-BR" sz="1000" b="1" i="0" u="sng" baseline="0">
                <a:solidFill>
                  <a:srgbClr val="000E40"/>
                </a:solidFill>
                <a:latin typeface="Arial"/>
                <a:ea typeface="Arial"/>
              </a:rPr>
              <a:t>CONTENTS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13607</xdr:colOff>
      <xdr:row>0</xdr:row>
      <xdr:rowOff>109852</xdr:rowOff>
    </xdr:from>
    <xdr:to>
      <xdr:col>1</xdr:col>
      <xdr:colOff>1711507</xdr:colOff>
      <xdr:row>3</xdr:row>
      <xdr:rowOff>156565</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42875" y="114300"/>
          <a:ext cx="1695450" cy="571500"/>
        </a:xfrm>
        <a:prstGeom prst="rect">
          <a:avLst/>
        </a:prstGeom>
      </xdr:spPr>
    </xdr:pic>
    <xdr:clientData/>
  </xdr:twoCellAnchor>
  <xdr:twoCellAnchor>
    <xdr:from>
      <xdr:col>1</xdr:col>
      <xdr:colOff>1979022</xdr:colOff>
      <xdr:row>1</xdr:row>
      <xdr:rowOff>17417</xdr:rowOff>
    </xdr:from>
    <xdr:to>
      <xdr:col>1</xdr:col>
      <xdr:colOff>3030497</xdr:colOff>
      <xdr:row>3</xdr:row>
      <xdr:rowOff>37289</xdr:rowOff>
    </xdr:to>
    <xdr:grpSp>
      <xdr:nvGrpSpPr>
        <xdr:cNvPr id="3" name="Agrupar 2">
          <a:extLst>
            <a:ext uri="{FF2B5EF4-FFF2-40B4-BE49-F238E27FC236}">
              <a16:creationId xmlns:a16="http://schemas.microsoft.com/office/drawing/2014/main" id="{00000000-0008-0000-0600-000003000000}"/>
            </a:ext>
          </a:extLst>
        </xdr:cNvPr>
        <xdr:cNvGrpSpPr>
          <a:grpSpLocks/>
        </xdr:cNvGrpSpPr>
      </xdr:nvGrpSpPr>
      <xdr:grpSpPr>
        <a:xfrm>
          <a:off x="2113493" y="163093"/>
          <a:ext cx="1051475" cy="400872"/>
          <a:chOff x="4136570" y="198165"/>
          <a:chExt cx="1051475" cy="302901"/>
        </a:xfrm>
      </xdr:grpSpPr>
      <xdr:pic>
        <xdr:nvPicPr>
          <xdr:cNvPr id="4" name="Imagem 3" descr="Home - Free interface icons">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lum bright="70000" contrast="-70000"/>
            <a:extLst>
              <a:ext uri="{28A0092B-C50C-407E-A947-70E740481C1C}">
                <a14:useLocalDpi xmlns:a14="http://schemas.microsoft.com/office/drawing/2010/main" val="0"/>
              </a:ext>
            </a:extLst>
          </a:blip>
          <a:stretch>
            <a:fillRect/>
          </a:stretch>
        </xdr:blipFill>
        <xdr:spPr bwMode="auto">
          <a:xfrm>
            <a:off x="4136570" y="198165"/>
            <a:ext cx="283110" cy="28730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CaixaDe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4397862" y="261244"/>
            <a:ext cx="790183" cy="23982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pt-BR" sz="1000" b="1" i="0" u="sng" baseline="0">
                <a:solidFill>
                  <a:srgbClr val="000E40"/>
                </a:solidFill>
                <a:latin typeface="Arial"/>
                <a:ea typeface="Arial"/>
              </a:rPr>
              <a:t>CONTENTS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13607</xdr:colOff>
      <xdr:row>0</xdr:row>
      <xdr:rowOff>109852</xdr:rowOff>
    </xdr:from>
    <xdr:to>
      <xdr:col>1</xdr:col>
      <xdr:colOff>1711507</xdr:colOff>
      <xdr:row>3</xdr:row>
      <xdr:rowOff>79945</xdr:rowOff>
    </xdr:to>
    <xdr:pic>
      <xdr:nvPicPr>
        <xdr:cNvPr id="2" name="Image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42875" y="114300"/>
          <a:ext cx="1695450" cy="542925"/>
        </a:xfrm>
        <a:prstGeom prst="rect">
          <a:avLst/>
        </a:prstGeom>
      </xdr:spPr>
    </xdr:pic>
    <xdr:clientData/>
  </xdr:twoCellAnchor>
  <xdr:twoCellAnchor>
    <xdr:from>
      <xdr:col>1</xdr:col>
      <xdr:colOff>3853543</xdr:colOff>
      <xdr:row>1</xdr:row>
      <xdr:rowOff>43542</xdr:rowOff>
    </xdr:from>
    <xdr:to>
      <xdr:col>1</xdr:col>
      <xdr:colOff>4905018</xdr:colOff>
      <xdr:row>3</xdr:row>
      <xdr:rowOff>63414</xdr:rowOff>
    </xdr:to>
    <xdr:grpSp>
      <xdr:nvGrpSpPr>
        <xdr:cNvPr id="3" name="Agrupar 2">
          <a:extLst>
            <a:ext uri="{FF2B5EF4-FFF2-40B4-BE49-F238E27FC236}">
              <a16:creationId xmlns:a16="http://schemas.microsoft.com/office/drawing/2014/main" id="{00000000-0008-0000-0700-000003000000}"/>
            </a:ext>
          </a:extLst>
        </xdr:cNvPr>
        <xdr:cNvGrpSpPr>
          <a:grpSpLocks/>
        </xdr:cNvGrpSpPr>
      </xdr:nvGrpSpPr>
      <xdr:grpSpPr>
        <a:xfrm>
          <a:off x="3426039" y="234042"/>
          <a:ext cx="3725" cy="400872"/>
          <a:chOff x="4136570" y="198165"/>
          <a:chExt cx="1051475" cy="302901"/>
        </a:xfrm>
      </xdr:grpSpPr>
      <xdr:pic>
        <xdr:nvPicPr>
          <xdr:cNvPr id="4" name="Imagem 3" descr="Home - Free interface icons">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lum bright="70000" contrast="-70000"/>
            <a:extLst>
              <a:ext uri="{28A0092B-C50C-407E-A947-70E740481C1C}">
                <a14:useLocalDpi xmlns:a14="http://schemas.microsoft.com/office/drawing/2010/main" val="0"/>
              </a:ext>
            </a:extLst>
          </a:blip>
          <a:stretch>
            <a:fillRect/>
          </a:stretch>
        </xdr:blipFill>
        <xdr:spPr bwMode="auto">
          <a:xfrm>
            <a:off x="4136570" y="198165"/>
            <a:ext cx="283110" cy="28730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CaixaDeTexto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4397862" y="261244"/>
            <a:ext cx="790183" cy="23982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pt-BR" sz="1000" b="1" i="0" u="sng" baseline="0">
                <a:solidFill>
                  <a:srgbClr val="000E40"/>
                </a:solidFill>
                <a:latin typeface="Arial"/>
                <a:ea typeface="Arial"/>
              </a:rPr>
              <a:t>CONTENTS</a:t>
            </a:r>
          </a:p>
        </xdr:txBody>
      </xdr:sp>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E40"/>
  </sheetPr>
  <dimension ref="B3:H14"/>
  <sheetViews>
    <sheetView showGridLines="0" tabSelected="1" workbookViewId="0">
      <selection activeCell="J10" sqref="J10"/>
    </sheetView>
  </sheetViews>
  <sheetFormatPr defaultColWidth="8.85546875" defaultRowHeight="12"/>
  <cols>
    <col min="1" max="1" width="8.85546875" style="2"/>
    <col min="2" max="2" width="2.28515625" style="2" customWidth="1"/>
    <col min="3" max="16384" width="8.85546875" style="2"/>
  </cols>
  <sheetData>
    <row r="3" spans="2:8">
      <c r="E3" s="4" t="s">
        <v>91</v>
      </c>
      <c r="H3" s="4" t="s">
        <v>22</v>
      </c>
    </row>
    <row r="4" spans="2:8">
      <c r="E4" s="126" t="s">
        <v>268</v>
      </c>
      <c r="H4" s="3" t="s">
        <v>66</v>
      </c>
    </row>
    <row r="5" spans="2:8">
      <c r="E5" s="127" t="s">
        <v>269</v>
      </c>
    </row>
    <row r="9" spans="2:8" s="6" customFormat="1" ht="25.15" customHeight="1">
      <c r="B9" s="7">
        <v>1</v>
      </c>
      <c r="C9" s="5" t="s">
        <v>103</v>
      </c>
    </row>
    <row r="10" spans="2:8" s="6" customFormat="1" ht="25.15" customHeight="1">
      <c r="B10" s="7">
        <v>2</v>
      </c>
      <c r="C10" s="5" t="s">
        <v>75</v>
      </c>
    </row>
    <row r="11" spans="2:8" s="6" customFormat="1" ht="25.15" customHeight="1">
      <c r="B11" s="7">
        <v>3</v>
      </c>
      <c r="C11" s="5" t="s">
        <v>62</v>
      </c>
    </row>
    <row r="12" spans="2:8" s="6" customFormat="1" ht="25.15" customHeight="1">
      <c r="B12" s="7">
        <v>4</v>
      </c>
      <c r="C12" s="5" t="s">
        <v>63</v>
      </c>
    </row>
    <row r="13" spans="2:8" s="6" customFormat="1" ht="22.5" customHeight="1">
      <c r="B13" s="7">
        <v>5</v>
      </c>
      <c r="C13" s="5" t="s">
        <v>65</v>
      </c>
    </row>
    <row r="14" spans="2:8" ht="21.4" customHeight="1">
      <c r="B14" s="7">
        <v>6</v>
      </c>
      <c r="C14" s="5" t="s">
        <v>64</v>
      </c>
    </row>
  </sheetData>
  <pageMargins left="0.511811024" right="0.511811024" top="0.78740157499999996" bottom="0.78740157499999996" header="0.31496062000000002" footer="0.31496062000000002"/>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5117038483843"/>
    <outlinePr summaryBelow="0"/>
    <pageSetUpPr fitToPage="1"/>
  </sheetPr>
  <dimension ref="A1:AD45"/>
  <sheetViews>
    <sheetView showGridLines="0" zoomScale="85" zoomScaleNormal="85" workbookViewId="0">
      <pane xSplit="3" ySplit="6" topLeftCell="D7" activePane="bottomRight" state="frozen"/>
      <selection pane="topRight" activeCell="D1" sqref="D1"/>
      <selection pane="bottomLeft" activeCell="A7" sqref="A7"/>
      <selection pane="bottomRight" activeCell="AE15" sqref="AE15"/>
    </sheetView>
  </sheetViews>
  <sheetFormatPr defaultColWidth="10.7109375" defaultRowHeight="17.100000000000001" customHeight="1" outlineLevelCol="1"/>
  <cols>
    <col min="1" max="1" width="2" style="8" customWidth="1"/>
    <col min="2" max="2" width="42.5703125" style="8" customWidth="1"/>
    <col min="3" max="3" width="1.7109375" customWidth="1"/>
    <col min="4" max="9" width="16.85546875" style="8" hidden="1" customWidth="1" outlineLevel="1"/>
    <col min="10" max="10" width="16.85546875" style="8" customWidth="1" collapsed="1"/>
    <col min="11" max="12" width="16.85546875" style="8" hidden="1" customWidth="1" outlineLevel="1"/>
    <col min="13" max="13" width="16.7109375" style="8" hidden="1" customWidth="1" outlineLevel="1"/>
    <col min="14" max="14" width="17" style="8" hidden="1" customWidth="1" outlineLevel="1"/>
    <col min="15" max="16" width="16.85546875" style="8" hidden="1" customWidth="1" outlineLevel="1"/>
    <col min="17" max="17" width="16.85546875" style="8" customWidth="1" collapsed="1"/>
    <col min="18" max="23" width="16.85546875" style="8" hidden="1" customWidth="1" outlineLevel="1"/>
    <col min="24" max="24" width="16.85546875" style="8" customWidth="1" collapsed="1"/>
    <col min="25" max="25" width="3.28515625" customWidth="1"/>
    <col min="26" max="26" width="1.5703125" customWidth="1"/>
    <col min="27" max="28" width="12.42578125" customWidth="1" collapsed="1"/>
    <col min="29" max="29" width="11.5703125" customWidth="1" collapsed="1"/>
    <col min="30" max="30" width="8.42578125" bestFit="1" customWidth="1" collapsed="1"/>
  </cols>
  <sheetData>
    <row r="1" spans="1:30" ht="11.25" customHeight="1"/>
    <row r="2" spans="1:30" ht="15"/>
    <row r="3" spans="1:30" ht="15">
      <c r="D3" s="1"/>
      <c r="E3" s="1"/>
      <c r="F3" s="1"/>
      <c r="G3" s="1"/>
      <c r="H3" s="1"/>
      <c r="I3" s="1"/>
      <c r="J3" s="1"/>
      <c r="K3" s="1"/>
      <c r="L3" s="1"/>
      <c r="M3" s="1"/>
      <c r="N3" s="1"/>
      <c r="O3" s="1"/>
      <c r="P3" s="1"/>
      <c r="Q3" s="1"/>
      <c r="R3" s="1"/>
      <c r="S3" s="1"/>
      <c r="T3" s="1"/>
      <c r="U3" s="1"/>
      <c r="V3" s="1"/>
      <c r="W3" s="1"/>
      <c r="X3" s="1"/>
      <c r="AA3" s="1" t="s">
        <v>151</v>
      </c>
      <c r="AB3" s="1"/>
      <c r="AC3" s="1"/>
      <c r="AD3" s="1"/>
    </row>
    <row r="4" spans="1:30" ht="15">
      <c r="K4" s="39"/>
      <c r="R4" s="1"/>
      <c r="S4" s="1"/>
      <c r="T4" s="39"/>
      <c r="U4" s="39"/>
      <c r="V4" s="39"/>
      <c r="W4" s="39"/>
      <c r="X4" s="39"/>
      <c r="AA4" s="8"/>
      <c r="AB4" s="8"/>
      <c r="AC4" s="8"/>
      <c r="AD4" s="8"/>
    </row>
    <row r="5" spans="1:30" ht="15">
      <c r="D5" s="34"/>
      <c r="E5" s="34"/>
      <c r="F5" s="34"/>
      <c r="G5" s="34"/>
      <c r="K5" s="34"/>
      <c r="L5" s="34"/>
      <c r="M5" s="34"/>
      <c r="N5" s="34"/>
      <c r="R5" s="34"/>
      <c r="S5" s="34"/>
      <c r="T5" s="34"/>
      <c r="U5" s="34"/>
      <c r="V5" s="34"/>
      <c r="W5" s="34"/>
      <c r="X5" s="34"/>
      <c r="AA5" s="8"/>
      <c r="AB5" s="8"/>
      <c r="AC5" s="8"/>
      <c r="AD5" s="8"/>
    </row>
    <row r="6" spans="1:30" ht="14.45" customHeight="1" thickBot="1">
      <c r="B6" s="9" t="s">
        <v>107</v>
      </c>
      <c r="D6" s="10" t="s">
        <v>250</v>
      </c>
      <c r="E6" s="10" t="s">
        <v>251</v>
      </c>
      <c r="F6" s="10" t="s">
        <v>252</v>
      </c>
      <c r="G6" s="10" t="s">
        <v>253</v>
      </c>
      <c r="H6" s="10" t="s">
        <v>254</v>
      </c>
      <c r="I6" s="10" t="s">
        <v>70</v>
      </c>
      <c r="J6" s="10">
        <v>2021</v>
      </c>
      <c r="K6" s="10" t="s">
        <v>163</v>
      </c>
      <c r="L6" s="10" t="s">
        <v>164</v>
      </c>
      <c r="M6" s="10" t="s">
        <v>165</v>
      </c>
      <c r="N6" s="10" t="s">
        <v>166</v>
      </c>
      <c r="O6" s="125" t="s">
        <v>255</v>
      </c>
      <c r="P6" s="10" t="s">
        <v>167</v>
      </c>
      <c r="Q6" s="10">
        <v>2022</v>
      </c>
      <c r="R6" s="10" t="s">
        <v>168</v>
      </c>
      <c r="S6" s="10" t="s">
        <v>169</v>
      </c>
      <c r="T6" s="10" t="s">
        <v>170</v>
      </c>
      <c r="U6" s="10" t="s">
        <v>171</v>
      </c>
      <c r="V6" s="125" t="s">
        <v>256</v>
      </c>
      <c r="W6" s="10" t="s">
        <v>172</v>
      </c>
      <c r="X6" s="10">
        <v>2023</v>
      </c>
      <c r="AA6" s="149" t="s">
        <v>268</v>
      </c>
      <c r="AB6" s="149" t="s">
        <v>261</v>
      </c>
      <c r="AC6" s="10" t="s">
        <v>152</v>
      </c>
      <c r="AD6" s="10" t="s">
        <v>153</v>
      </c>
    </row>
    <row r="7" spans="1:30" ht="14.45" customHeight="1" thickTop="1">
      <c r="A7" s="31">
        <v>2</v>
      </c>
      <c r="B7" s="11" t="s">
        <v>74</v>
      </c>
      <c r="D7" s="12">
        <v>2565.5039999999999</v>
      </c>
      <c r="E7" s="12">
        <f>(5385888/1000)-D7</f>
        <v>2820.384</v>
      </c>
      <c r="F7" s="12">
        <f>8328.84-H7</f>
        <v>2942.9520000000002</v>
      </c>
      <c r="G7" s="12">
        <f>11231.324-I7</f>
        <v>2902.4840000000004</v>
      </c>
      <c r="H7" s="12">
        <f>SUM(D7:E7)</f>
        <v>5385.8879999999999</v>
      </c>
      <c r="I7" s="12">
        <f>SUM(D7:F7)</f>
        <v>8328.84</v>
      </c>
      <c r="J7" s="12">
        <f>SUM(D7:G7)</f>
        <v>11231.324000000001</v>
      </c>
      <c r="K7" s="12">
        <v>3381.9160000000002</v>
      </c>
      <c r="L7" s="12">
        <v>3523.0619999999999</v>
      </c>
      <c r="M7" s="12">
        <v>3700.19</v>
      </c>
      <c r="N7" s="12">
        <v>3521.3380000000002</v>
      </c>
      <c r="O7" s="12">
        <f>SUM(K7:L7)</f>
        <v>6904.9780000000001</v>
      </c>
      <c r="P7" s="12">
        <f>SUM(K7:M7)</f>
        <v>10605.168</v>
      </c>
      <c r="Q7" s="12">
        <f>SUM(K7:N7)</f>
        <v>14126.505999999999</v>
      </c>
      <c r="R7" s="12">
        <v>3799.1959999999999</v>
      </c>
      <c r="S7" s="12">
        <v>3920.0419999999999</v>
      </c>
      <c r="T7" s="12">
        <v>4060.9960000000001</v>
      </c>
      <c r="U7" s="128">
        <f>X7-SUM(R7:T7)</f>
        <v>3777.021999999999</v>
      </c>
      <c r="V7" s="12">
        <f t="shared" ref="V7:V18" si="0">SUM(R7:S7)</f>
        <v>7719.2379999999994</v>
      </c>
      <c r="W7" s="12">
        <f>SUM(R7:T7)</f>
        <v>11780.234</v>
      </c>
      <c r="X7" s="128">
        <v>15557.255999999999</v>
      </c>
      <c r="AA7" s="12">
        <f>HLOOKUP(AA$6,$D$6:$X$40,$A7,0)</f>
        <v>3777.021999999999</v>
      </c>
      <c r="AB7" s="12">
        <f>HLOOKUP(AB$6,$D$6:$X$40,$A7,0)</f>
        <v>3521.3380000000002</v>
      </c>
      <c r="AC7" s="12">
        <f>IFERROR(AA7-AB7,"-")</f>
        <v>255.68399999999883</v>
      </c>
      <c r="AD7" s="84">
        <f>IFERROR(AA7/AB7-1,"-")</f>
        <v>7.2609899986879611E-2</v>
      </c>
    </row>
    <row r="8" spans="1:30" ht="14.45" customHeight="1">
      <c r="A8" s="31">
        <v>3</v>
      </c>
      <c r="B8" s="13" t="s">
        <v>26</v>
      </c>
      <c r="D8" s="14">
        <f t="shared" ref="D8:N8" si="1">SUM(D9:D10)</f>
        <v>-188.98999999999998</v>
      </c>
      <c r="E8" s="14">
        <f t="shared" si="1"/>
        <v>-215.126</v>
      </c>
      <c r="F8" s="14">
        <f t="shared" si="1"/>
        <v>-179.18100000000001</v>
      </c>
      <c r="G8" s="14">
        <f t="shared" si="1"/>
        <v>-229.35300000000004</v>
      </c>
      <c r="H8" s="14">
        <f>SUM(H9:H10)</f>
        <v>-404.11599999999999</v>
      </c>
      <c r="I8" s="14">
        <f>SUM(I9:I10)</f>
        <v>-583.29700000000003</v>
      </c>
      <c r="J8" s="14">
        <f>SUM(J9:J10)</f>
        <v>-812.65000000000009</v>
      </c>
      <c r="K8" s="14">
        <f t="shared" si="1"/>
        <v>-245.678</v>
      </c>
      <c r="L8" s="14">
        <f t="shared" si="1"/>
        <v>-234.69699999999997</v>
      </c>
      <c r="M8" s="14">
        <f t="shared" si="1"/>
        <v>-274.84800000000001</v>
      </c>
      <c r="N8" s="65">
        <f t="shared" si="1"/>
        <v>-242.39000000000001</v>
      </c>
      <c r="O8" s="14">
        <f>SUM(O9:O10)</f>
        <v>-480.375</v>
      </c>
      <c r="P8" s="14">
        <f>SUM(P9:P10)</f>
        <v>-755.22299999999996</v>
      </c>
      <c r="Q8" s="65">
        <f>SUM(Q9:Q10)</f>
        <v>-997.61300000000006</v>
      </c>
      <c r="R8" s="65">
        <f t="shared" ref="R8:S8" si="2">SUM(R9:R10)</f>
        <v>-265.12599999999998</v>
      </c>
      <c r="S8" s="65">
        <f t="shared" si="2"/>
        <v>-289.10199999999998</v>
      </c>
      <c r="T8" s="65">
        <f>SUM(T9:T10)</f>
        <v>-291.98200000000003</v>
      </c>
      <c r="U8" s="129">
        <f>SUM(U9:U10)</f>
        <v>-458.81099999999998</v>
      </c>
      <c r="V8" s="14">
        <f t="shared" si="0"/>
        <v>-554.22799999999995</v>
      </c>
      <c r="W8" s="65">
        <f>SUM(W9:W10)</f>
        <v>-846.21</v>
      </c>
      <c r="X8" s="129">
        <f>SUM(X9:X10)</f>
        <v>-1305.021</v>
      </c>
      <c r="AA8" s="14">
        <f t="shared" ref="AA8:AB32" si="3">HLOOKUP(AA$6,$D$6:$X$40,$A8,0)</f>
        <v>-458.81099999999998</v>
      </c>
      <c r="AB8" s="14">
        <f t="shared" si="3"/>
        <v>-242.39000000000001</v>
      </c>
      <c r="AC8" s="14">
        <f t="shared" ref="AC8:AC14" si="4">IFERROR(AA8-AB8,"-")</f>
        <v>-216.42099999999996</v>
      </c>
      <c r="AD8" s="85">
        <f t="shared" ref="AD8:AD32" si="5">IFERROR(AA8/AB8-1,"-")</f>
        <v>0.89286274186228787</v>
      </c>
    </row>
    <row r="9" spans="1:30" ht="14.45" customHeight="1">
      <c r="A9" s="31">
        <v>4</v>
      </c>
      <c r="B9" s="15" t="s">
        <v>31</v>
      </c>
      <c r="D9" s="16">
        <v>-148.92699999999999</v>
      </c>
      <c r="E9" s="16">
        <f>(-311.962)-D9</f>
        <v>-163.035</v>
      </c>
      <c r="F9" s="16">
        <f>-483.671-H9</f>
        <v>-171.709</v>
      </c>
      <c r="G9" s="16">
        <f>-654.051-I9</f>
        <v>-170.38000000000005</v>
      </c>
      <c r="H9" s="16">
        <f>SUM(D9:E9)</f>
        <v>-311.96199999999999</v>
      </c>
      <c r="I9" s="16">
        <f>SUM(D9:F9)</f>
        <v>-483.67099999999999</v>
      </c>
      <c r="J9" s="16">
        <f>SUM(D9:G9)</f>
        <v>-654.05100000000004</v>
      </c>
      <c r="K9" s="16">
        <v>-208.62</v>
      </c>
      <c r="L9" s="16">
        <v>-207.13399999999999</v>
      </c>
      <c r="M9" s="16">
        <v>-224.226</v>
      </c>
      <c r="N9" s="66">
        <v>-211.32400000000001</v>
      </c>
      <c r="O9" s="16">
        <f>SUM(K9:L9)</f>
        <v>-415.75400000000002</v>
      </c>
      <c r="P9" s="16">
        <f>SUM(K9:M9)</f>
        <v>-639.98</v>
      </c>
      <c r="Q9" s="66">
        <f>SUM(K9:N9)</f>
        <v>-851.30400000000009</v>
      </c>
      <c r="R9" s="66">
        <v>-227.19</v>
      </c>
      <c r="S9" s="66">
        <v>-238.37899999999999</v>
      </c>
      <c r="T9" s="66">
        <v>-241.56200000000001</v>
      </c>
      <c r="U9" s="130">
        <f t="shared" ref="U9:U10" si="6">X9-SUM(R9:T9)</f>
        <v>-233.40899999999999</v>
      </c>
      <c r="V9" s="16">
        <f t="shared" si="0"/>
        <v>-465.56899999999996</v>
      </c>
      <c r="W9" s="66">
        <f>SUM(R9:T9)</f>
        <v>-707.13099999999997</v>
      </c>
      <c r="X9" s="130">
        <v>-940.54</v>
      </c>
      <c r="AA9" s="16">
        <f t="shared" si="3"/>
        <v>-233.40899999999999</v>
      </c>
      <c r="AB9" s="16">
        <f t="shared" si="3"/>
        <v>-211.32400000000001</v>
      </c>
      <c r="AC9" s="16">
        <f t="shared" si="4"/>
        <v>-22.08499999999998</v>
      </c>
      <c r="AD9" s="86">
        <f t="shared" si="5"/>
        <v>0.10450777005924539</v>
      </c>
    </row>
    <row r="10" spans="1:30" ht="14.45" customHeight="1">
      <c r="A10" s="31">
        <v>5</v>
      </c>
      <c r="B10" s="15" t="s">
        <v>30</v>
      </c>
      <c r="D10" s="16">
        <v>-40.062999999999995</v>
      </c>
      <c r="E10" s="16">
        <f>-76.346-15.808-D10</f>
        <v>-52.091000000000001</v>
      </c>
      <c r="F10" s="16">
        <f>-78.925-20.701-H10</f>
        <v>-7.4720000000000084</v>
      </c>
      <c r="G10" s="16">
        <f>-126.138-32.461-I10</f>
        <v>-58.972999999999985</v>
      </c>
      <c r="H10" s="16">
        <f>SUM(D10:E10)</f>
        <v>-92.153999999999996</v>
      </c>
      <c r="I10" s="16">
        <f>SUM(D10:F10)</f>
        <v>-99.626000000000005</v>
      </c>
      <c r="J10" s="16">
        <f>SUM(D10:G10)</f>
        <v>-158.59899999999999</v>
      </c>
      <c r="K10" s="16">
        <f>-34.06-2.998</f>
        <v>-37.058</v>
      </c>
      <c r="L10" s="16">
        <v>-27.562999999999999</v>
      </c>
      <c r="M10" s="16">
        <v>-50.622</v>
      </c>
      <c r="N10" s="66">
        <v>-31.065999999999999</v>
      </c>
      <c r="O10" s="16">
        <f>SUM(K10:L10)</f>
        <v>-64.620999999999995</v>
      </c>
      <c r="P10" s="16">
        <f>SUM(K10:M10)</f>
        <v>-115.24299999999999</v>
      </c>
      <c r="Q10" s="66">
        <f>SUM(K10:N10)</f>
        <v>-146.309</v>
      </c>
      <c r="R10" s="66">
        <f>(-31107-6829)/1000</f>
        <v>-37.936</v>
      </c>
      <c r="S10" s="66">
        <v>-50.722999999999999</v>
      </c>
      <c r="T10" s="66">
        <v>-50.42</v>
      </c>
      <c r="U10" s="130">
        <f t="shared" si="6"/>
        <v>-225.40199999999999</v>
      </c>
      <c r="V10" s="16">
        <f t="shared" si="0"/>
        <v>-88.658999999999992</v>
      </c>
      <c r="W10" s="66">
        <f>SUM(R10:T10)</f>
        <v>-139.07900000000001</v>
      </c>
      <c r="X10" s="130">
        <v>-364.48099999999999</v>
      </c>
      <c r="AA10" s="16">
        <f t="shared" si="3"/>
        <v>-225.40199999999999</v>
      </c>
      <c r="AB10" s="16">
        <f t="shared" si="3"/>
        <v>-31.065999999999999</v>
      </c>
      <c r="AC10" s="16">
        <f t="shared" si="4"/>
        <v>-194.33599999999998</v>
      </c>
      <c r="AD10" s="86">
        <f t="shared" si="5"/>
        <v>6.2555848837957893</v>
      </c>
    </row>
    <row r="11" spans="1:30" ht="14.45" customHeight="1">
      <c r="A11" s="31">
        <v>6</v>
      </c>
      <c r="B11" s="17" t="s">
        <v>23</v>
      </c>
      <c r="D11" s="18">
        <f t="shared" ref="D11:N11" si="7">D7+D8</f>
        <v>2376.5140000000001</v>
      </c>
      <c r="E11" s="18">
        <f t="shared" si="7"/>
        <v>2605.2579999999998</v>
      </c>
      <c r="F11" s="18">
        <f t="shared" si="7"/>
        <v>2763.7710000000002</v>
      </c>
      <c r="G11" s="18">
        <f t="shared" si="7"/>
        <v>2673.1310000000003</v>
      </c>
      <c r="H11" s="18">
        <f t="shared" si="7"/>
        <v>4981.7719999999999</v>
      </c>
      <c r="I11" s="18">
        <f>I7+I8</f>
        <v>7745.5429999999997</v>
      </c>
      <c r="J11" s="18">
        <f>J7+J8</f>
        <v>10418.674000000001</v>
      </c>
      <c r="K11" s="18">
        <f t="shared" si="7"/>
        <v>3136.2380000000003</v>
      </c>
      <c r="L11" s="18">
        <f t="shared" si="7"/>
        <v>3288.3649999999998</v>
      </c>
      <c r="M11" s="18">
        <f t="shared" si="7"/>
        <v>3425.3420000000001</v>
      </c>
      <c r="N11" s="18">
        <f t="shared" si="7"/>
        <v>3278.9480000000003</v>
      </c>
      <c r="O11" s="18">
        <f>O7+O8</f>
        <v>6424.6030000000001</v>
      </c>
      <c r="P11" s="18">
        <f>P7+P8</f>
        <v>9849.9449999999997</v>
      </c>
      <c r="Q11" s="18">
        <f>Q7+Q8</f>
        <v>13128.893</v>
      </c>
      <c r="R11" s="18">
        <f t="shared" ref="R11:S11" si="8">R7+R8</f>
        <v>3534.0699999999997</v>
      </c>
      <c r="S11" s="18">
        <f t="shared" si="8"/>
        <v>3630.94</v>
      </c>
      <c r="T11" s="18">
        <f>T7+T8</f>
        <v>3769.0140000000001</v>
      </c>
      <c r="U11" s="131">
        <f>U7+U8</f>
        <v>3318.2109999999989</v>
      </c>
      <c r="V11" s="18">
        <f t="shared" si="0"/>
        <v>7165.01</v>
      </c>
      <c r="W11" s="18">
        <f>W7+W8</f>
        <v>10934.024000000001</v>
      </c>
      <c r="X11" s="131">
        <f>X7+X8</f>
        <v>14252.234999999999</v>
      </c>
      <c r="AA11" s="18">
        <f t="shared" si="3"/>
        <v>3318.2109999999989</v>
      </c>
      <c r="AB11" s="18">
        <f t="shared" si="3"/>
        <v>3278.9480000000003</v>
      </c>
      <c r="AC11" s="18">
        <f t="shared" si="4"/>
        <v>39.262999999998556</v>
      </c>
      <c r="AD11" s="87">
        <f t="shared" si="5"/>
        <v>1.1974267356480883E-2</v>
      </c>
    </row>
    <row r="12" spans="1:30" ht="14.45" customHeight="1">
      <c r="A12" s="31">
        <v>7</v>
      </c>
      <c r="B12" s="13" t="s">
        <v>257</v>
      </c>
      <c r="D12" s="14">
        <f t="shared" ref="D12:G12" si="9">SUM(D13:D17)</f>
        <v>-1659.2070000000001</v>
      </c>
      <c r="E12" s="14">
        <f t="shared" si="9"/>
        <v>-1782.568</v>
      </c>
      <c r="F12" s="14">
        <f t="shared" si="9"/>
        <v>-1860.4369999999997</v>
      </c>
      <c r="G12" s="14">
        <f t="shared" si="9"/>
        <v>-1999.6390000000004</v>
      </c>
      <c r="H12" s="14">
        <f t="shared" ref="H12" si="10">SUM(H13:H17)</f>
        <v>-3441.7750000000001</v>
      </c>
      <c r="I12" s="14">
        <f>SUM(I13:I17)</f>
        <v>-5302.2120000000004</v>
      </c>
      <c r="J12" s="14">
        <f>SUM(J13:J17)</f>
        <v>-7301.8510000000006</v>
      </c>
      <c r="K12" s="14">
        <f>SUM(K13:K17)</f>
        <v>-2172.223</v>
      </c>
      <c r="L12" s="14">
        <f t="shared" ref="L12:N12" si="11">SUM(L13:L17)</f>
        <v>-2365.1119999999996</v>
      </c>
      <c r="M12" s="14">
        <f t="shared" si="11"/>
        <v>-2356.2870000000003</v>
      </c>
      <c r="N12" s="65">
        <f t="shared" si="11"/>
        <v>-2436.8250000000003</v>
      </c>
      <c r="O12" s="14">
        <f>SUM(O13:O17)</f>
        <v>-4537.335</v>
      </c>
      <c r="P12" s="14">
        <f>SUM(P13:P17)</f>
        <v>-6893.6219999999994</v>
      </c>
      <c r="Q12" s="65">
        <f>SUM(Q13:Q17)</f>
        <v>-9330.4469999999983</v>
      </c>
      <c r="R12" s="65">
        <f t="shared" ref="R12:S12" si="12">SUM(R13:R17)</f>
        <v>-2483.5239999999999</v>
      </c>
      <c r="S12" s="65">
        <f t="shared" si="12"/>
        <v>-2546.4740000000002</v>
      </c>
      <c r="T12" s="65">
        <f>SUM(T13:T17)</f>
        <v>-2655.3020000000006</v>
      </c>
      <c r="U12" s="129">
        <f>SUM(U13:U17)</f>
        <v>-2679.93</v>
      </c>
      <c r="V12" s="14">
        <f t="shared" si="0"/>
        <v>-5029.9979999999996</v>
      </c>
      <c r="W12" s="65">
        <f>SUM(W13:W17)</f>
        <v>-7685.3</v>
      </c>
      <c r="X12" s="129">
        <f>SUM(X13:X17)</f>
        <v>-10365.230000000001</v>
      </c>
      <c r="AA12" s="14">
        <f t="shared" si="3"/>
        <v>-2679.93</v>
      </c>
      <c r="AB12" s="14">
        <f t="shared" si="3"/>
        <v>-2436.8250000000003</v>
      </c>
      <c r="AC12" s="14">
        <f t="shared" si="4"/>
        <v>-243.10499999999956</v>
      </c>
      <c r="AD12" s="85">
        <f t="shared" si="5"/>
        <v>9.9763011295435522E-2</v>
      </c>
    </row>
    <row r="13" spans="1:30" ht="14.45" customHeight="1">
      <c r="A13" s="31">
        <v>8</v>
      </c>
      <c r="B13" s="19" t="s">
        <v>6</v>
      </c>
      <c r="D13" s="16">
        <v>-411.56099999999998</v>
      </c>
      <c r="E13" s="16">
        <f>-889.197-D13</f>
        <v>-477.63600000000002</v>
      </c>
      <c r="F13" s="16">
        <f>-1382.908-H13</f>
        <v>-493.7109999999999</v>
      </c>
      <c r="G13" s="16">
        <f>-1934.957-I13</f>
        <v>-552.04900000000021</v>
      </c>
      <c r="H13" s="16">
        <f t="shared" ref="H13:H17" si="13">SUM(D13:E13)</f>
        <v>-889.197</v>
      </c>
      <c r="I13" s="16">
        <f>SUM(D13:F13)</f>
        <v>-1382.9079999999999</v>
      </c>
      <c r="J13" s="16">
        <f>SUM(D13:G13)</f>
        <v>-1934.9570000000001</v>
      </c>
      <c r="K13" s="16">
        <v>-593.27300000000002</v>
      </c>
      <c r="L13" s="16">
        <v>-672.09100000000001</v>
      </c>
      <c r="M13" s="16">
        <v>-681.95</v>
      </c>
      <c r="N13" s="66">
        <v>-706.26</v>
      </c>
      <c r="O13" s="16">
        <f>SUM(K13:L13)</f>
        <v>-1265.364</v>
      </c>
      <c r="P13" s="16">
        <f>SUM(K13:M13)</f>
        <v>-1947.3140000000001</v>
      </c>
      <c r="Q13" s="66">
        <f>SUM(K13:N13)</f>
        <v>-2653.5740000000001</v>
      </c>
      <c r="R13" s="66">
        <v>-707.19</v>
      </c>
      <c r="S13" s="66">
        <v>-723.35299999999995</v>
      </c>
      <c r="T13" s="66">
        <v>-731.66099999999994</v>
      </c>
      <c r="U13" s="130">
        <f t="shared" ref="U13:U17" si="14">X13-SUM(R13:T13)</f>
        <v>-745.05499999999984</v>
      </c>
      <c r="V13" s="16">
        <f t="shared" si="0"/>
        <v>-1430.5430000000001</v>
      </c>
      <c r="W13" s="66">
        <f>SUM(R13:T13)</f>
        <v>-2162.2040000000002</v>
      </c>
      <c r="X13" s="130">
        <v>-2907.259</v>
      </c>
      <c r="AA13" s="16">
        <f t="shared" si="3"/>
        <v>-745.05499999999984</v>
      </c>
      <c r="AB13" s="16">
        <f t="shared" si="3"/>
        <v>-706.26</v>
      </c>
      <c r="AC13" s="16">
        <f t="shared" si="4"/>
        <v>-38.794999999999845</v>
      </c>
      <c r="AD13" s="86">
        <f t="shared" si="5"/>
        <v>5.4930195678644989E-2</v>
      </c>
    </row>
    <row r="14" spans="1:30" ht="14.45" customHeight="1">
      <c r="A14" s="31">
        <v>9</v>
      </c>
      <c r="B14" s="19" t="s">
        <v>32</v>
      </c>
      <c r="D14" s="16">
        <v>-518.62800000000004</v>
      </c>
      <c r="E14" s="16">
        <f>-1110.087-D14</f>
        <v>-591.45899999999995</v>
      </c>
      <c r="F14" s="16">
        <f>-1603.828-H14</f>
        <v>-493.74099999999999</v>
      </c>
      <c r="G14" s="16">
        <f>-2189.873-I14</f>
        <v>-586.04500000000007</v>
      </c>
      <c r="H14" s="16">
        <f t="shared" si="13"/>
        <v>-1110.087</v>
      </c>
      <c r="I14" s="16">
        <f>SUM(D14:F14)</f>
        <v>-1603.828</v>
      </c>
      <c r="J14" s="16">
        <f>SUM(D14:G14)</f>
        <v>-2189.873</v>
      </c>
      <c r="K14" s="16">
        <v>-680.98</v>
      </c>
      <c r="L14" s="16">
        <v>-736.64099999999996</v>
      </c>
      <c r="M14" s="16">
        <v>-737.16700000000003</v>
      </c>
      <c r="N14" s="66">
        <v>-737.90099999999995</v>
      </c>
      <c r="O14" s="16">
        <f>SUM(K14:L14)</f>
        <v>-1417.6210000000001</v>
      </c>
      <c r="P14" s="16">
        <f>SUM(K14:M14)</f>
        <v>-2154.788</v>
      </c>
      <c r="Q14" s="66">
        <f>SUM(K14:N14)</f>
        <v>-2892.6889999999999</v>
      </c>
      <c r="R14" s="66">
        <v>-777.29600000000005</v>
      </c>
      <c r="S14" s="66">
        <v>-824.92899999999997</v>
      </c>
      <c r="T14" s="66">
        <v>-866.09400000000005</v>
      </c>
      <c r="U14" s="130">
        <f t="shared" si="14"/>
        <v>-910.63500000000022</v>
      </c>
      <c r="V14" s="16">
        <f t="shared" si="0"/>
        <v>-1602.2249999999999</v>
      </c>
      <c r="W14" s="66">
        <f>SUM(R14:T14)</f>
        <v>-2468.319</v>
      </c>
      <c r="X14" s="130">
        <v>-3378.9540000000002</v>
      </c>
      <c r="AA14" s="16">
        <f t="shared" si="3"/>
        <v>-910.63500000000022</v>
      </c>
      <c r="AB14" s="16">
        <f t="shared" si="3"/>
        <v>-737.90099999999995</v>
      </c>
      <c r="AC14" s="16">
        <f t="shared" si="4"/>
        <v>-172.73400000000026</v>
      </c>
      <c r="AD14" s="86">
        <f t="shared" si="5"/>
        <v>0.23408831265982877</v>
      </c>
    </row>
    <row r="15" spans="1:30" ht="14.45" customHeight="1">
      <c r="A15" s="31">
        <v>10</v>
      </c>
      <c r="B15" s="19" t="s">
        <v>106</v>
      </c>
      <c r="D15" s="16">
        <v>-552.76099999999997</v>
      </c>
      <c r="E15" s="16">
        <f>-1006.296-D15</f>
        <v>-453.53500000000008</v>
      </c>
      <c r="F15" s="16">
        <f>-1653.421-H15</f>
        <v>-647.125</v>
      </c>
      <c r="G15" s="16">
        <f>-2272.207-I15</f>
        <v>-618.78599999999983</v>
      </c>
      <c r="H15" s="16">
        <f t="shared" si="13"/>
        <v>-1006.296</v>
      </c>
      <c r="I15" s="16">
        <f>SUM(D15:F15)</f>
        <v>-1653.421</v>
      </c>
      <c r="J15" s="16">
        <f>SUM(D15:G15)</f>
        <v>-2272.2069999999999</v>
      </c>
      <c r="K15" s="16">
        <v>-646.36</v>
      </c>
      <c r="L15" s="16">
        <v>-697.53499999999997</v>
      </c>
      <c r="M15" s="16">
        <v>-682.00900000000001</v>
      </c>
      <c r="N15" s="66">
        <v>-716.09700000000021</v>
      </c>
      <c r="O15" s="16">
        <f>SUM(K15:L15)</f>
        <v>-1343.895</v>
      </c>
      <c r="P15" s="16">
        <f>SUM(K15:M15)</f>
        <v>-2025.904</v>
      </c>
      <c r="Q15" s="66">
        <f>SUM(K15:N15)</f>
        <v>-2742.0010000000002</v>
      </c>
      <c r="R15" s="66">
        <v>-720.649</v>
      </c>
      <c r="S15" s="66">
        <v>-721.19100000000003</v>
      </c>
      <c r="T15" s="66">
        <v>-776.01</v>
      </c>
      <c r="U15" s="130">
        <f t="shared" si="14"/>
        <v>-739.01199999999972</v>
      </c>
      <c r="V15" s="16">
        <f t="shared" si="0"/>
        <v>-1441.8400000000001</v>
      </c>
      <c r="W15" s="66">
        <f>SUM(R15:T15)</f>
        <v>-2217.8500000000004</v>
      </c>
      <c r="X15" s="130">
        <v>-2956.8620000000001</v>
      </c>
      <c r="AA15" s="16">
        <f t="shared" si="3"/>
        <v>-739.01199999999972</v>
      </c>
      <c r="AB15" s="16">
        <f t="shared" si="3"/>
        <v>-716.09700000000021</v>
      </c>
      <c r="AC15" s="16">
        <f t="shared" ref="AC15:AC27" si="15">0+(IFERROR(AA15-AB15,"-"))</f>
        <v>-22.914999999999509</v>
      </c>
      <c r="AD15" s="86">
        <f t="shared" si="5"/>
        <v>3.1999854768277824E-2</v>
      </c>
    </row>
    <row r="16" spans="1:30" ht="14.45" customHeight="1">
      <c r="A16" s="31">
        <v>11</v>
      </c>
      <c r="B16" s="19" t="s">
        <v>173</v>
      </c>
      <c r="D16" s="16">
        <v>-152.047</v>
      </c>
      <c r="E16" s="16">
        <f>-312.279-D16</f>
        <v>-160.232</v>
      </c>
      <c r="F16" s="16">
        <f>-469.388-H16</f>
        <v>-157.10899999999998</v>
      </c>
      <c r="G16" s="16">
        <f>-637.363-I16</f>
        <v>-167.97500000000008</v>
      </c>
      <c r="H16" s="16">
        <f t="shared" si="13"/>
        <v>-312.279</v>
      </c>
      <c r="I16" s="16">
        <f>SUM(D16:F16)</f>
        <v>-469.38799999999998</v>
      </c>
      <c r="J16" s="16">
        <f>SUM(D16:G16)</f>
        <v>-637.36300000000006</v>
      </c>
      <c r="K16" s="16">
        <v>-180.34100000000001</v>
      </c>
      <c r="L16" s="16">
        <v>-181.602</v>
      </c>
      <c r="M16" s="16">
        <v>-183.27199999999999</v>
      </c>
      <c r="N16" s="66">
        <v>-193.07599999999999</v>
      </c>
      <c r="O16" s="16">
        <f>SUM(K16:L16)</f>
        <v>-361.94299999999998</v>
      </c>
      <c r="P16" s="16">
        <f>SUM(K16:M16)</f>
        <v>-545.21499999999992</v>
      </c>
      <c r="Q16" s="66">
        <f>SUM(K16:N16)</f>
        <v>-738.29099999999994</v>
      </c>
      <c r="R16" s="66">
        <v>-190.16900000000001</v>
      </c>
      <c r="S16" s="66">
        <v>-186.179</v>
      </c>
      <c r="T16" s="66">
        <v>-193.255</v>
      </c>
      <c r="U16" s="130">
        <f t="shared" si="14"/>
        <v>-200.19399999999996</v>
      </c>
      <c r="V16" s="16">
        <f t="shared" si="0"/>
        <v>-376.34800000000001</v>
      </c>
      <c r="W16" s="66">
        <f>SUM(R16:T16)</f>
        <v>-569.60300000000007</v>
      </c>
      <c r="X16" s="130">
        <v>-769.79700000000003</v>
      </c>
      <c r="AA16" s="16">
        <f t="shared" si="3"/>
        <v>-200.19399999999996</v>
      </c>
      <c r="AB16" s="16">
        <f t="shared" si="3"/>
        <v>-193.07599999999999</v>
      </c>
      <c r="AC16" s="16">
        <f t="shared" ref="AC16" si="16">IFERROR(AA16-AB16,"-")</f>
        <v>-7.1179999999999666</v>
      </c>
      <c r="AD16" s="86">
        <f t="shared" si="5"/>
        <v>3.6866311711450273E-2</v>
      </c>
    </row>
    <row r="17" spans="1:30" ht="14.45" customHeight="1">
      <c r="A17" s="31">
        <v>12</v>
      </c>
      <c r="B17" s="19" t="s">
        <v>104</v>
      </c>
      <c r="D17" s="16">
        <v>-24.21</v>
      </c>
      <c r="E17" s="16">
        <f>-123.916-D17</f>
        <v>-99.705999999999989</v>
      </c>
      <c r="F17" s="16">
        <f>-192.667-H17</f>
        <v>-68.751000000000005</v>
      </c>
      <c r="G17" s="16">
        <f>-267.451-I17</f>
        <v>-74.78400000000002</v>
      </c>
      <c r="H17" s="16">
        <f t="shared" si="13"/>
        <v>-123.916</v>
      </c>
      <c r="I17" s="16">
        <f>SUM(D17:F17)</f>
        <v>-192.667</v>
      </c>
      <c r="J17" s="16">
        <f>SUM(D17:G17)</f>
        <v>-267.45100000000002</v>
      </c>
      <c r="K17" s="16">
        <v>-71.269000000000005</v>
      </c>
      <c r="L17" s="16">
        <v>-77.242999999999995</v>
      </c>
      <c r="M17" s="16">
        <v>-71.888999999999996</v>
      </c>
      <c r="N17" s="66">
        <v>-83.490999999999985</v>
      </c>
      <c r="O17" s="16">
        <f>SUM(K17:L17)</f>
        <v>-148.512</v>
      </c>
      <c r="P17" s="16">
        <f>SUM(K17:M17)</f>
        <v>-220.40100000000001</v>
      </c>
      <c r="Q17" s="66">
        <f>SUM(K17:N17)</f>
        <v>-303.892</v>
      </c>
      <c r="R17" s="66">
        <v>-88.22</v>
      </c>
      <c r="S17" s="66">
        <v>-90.822000000000003</v>
      </c>
      <c r="T17" s="66">
        <v>-88.281999999999996</v>
      </c>
      <c r="U17" s="130">
        <f t="shared" si="14"/>
        <v>-85.033999999999992</v>
      </c>
      <c r="V17" s="16">
        <f t="shared" si="0"/>
        <v>-179.042</v>
      </c>
      <c r="W17" s="66">
        <f>SUM(R17:T17)</f>
        <v>-267.32400000000001</v>
      </c>
      <c r="X17" s="130">
        <v>-352.358</v>
      </c>
      <c r="AA17" s="16">
        <f t="shared" si="3"/>
        <v>-85.033999999999992</v>
      </c>
      <c r="AB17" s="16">
        <f t="shared" si="3"/>
        <v>-83.490999999999985</v>
      </c>
      <c r="AC17" s="16">
        <f t="shared" si="15"/>
        <v>-1.5430000000000064</v>
      </c>
      <c r="AD17" s="86">
        <f t="shared" si="5"/>
        <v>1.8481033883891662E-2</v>
      </c>
    </row>
    <row r="18" spans="1:30" ht="14.45" customHeight="1">
      <c r="A18" s="31">
        <v>13</v>
      </c>
      <c r="B18" s="17" t="s">
        <v>12</v>
      </c>
      <c r="D18" s="18">
        <f t="shared" ref="D18:G18" si="17">D11+D12</f>
        <v>717.30700000000002</v>
      </c>
      <c r="E18" s="18">
        <f t="shared" si="17"/>
        <v>822.68999999999983</v>
      </c>
      <c r="F18" s="18">
        <f t="shared" si="17"/>
        <v>903.33400000000051</v>
      </c>
      <c r="G18" s="18">
        <f t="shared" si="17"/>
        <v>673.49199999999996</v>
      </c>
      <c r="H18" s="18">
        <f t="shared" ref="H18:N18" si="18">H11+H12</f>
        <v>1539.9969999999998</v>
      </c>
      <c r="I18" s="18">
        <f>I11+I12</f>
        <v>2443.3309999999992</v>
      </c>
      <c r="J18" s="18">
        <f>J11+J12</f>
        <v>3116.8230000000003</v>
      </c>
      <c r="K18" s="18">
        <f t="shared" si="18"/>
        <v>964.01500000000033</v>
      </c>
      <c r="L18" s="18">
        <f t="shared" si="18"/>
        <v>923.25300000000016</v>
      </c>
      <c r="M18" s="18">
        <f t="shared" si="18"/>
        <v>1069.0549999999998</v>
      </c>
      <c r="N18" s="18">
        <f t="shared" si="18"/>
        <v>842.12300000000005</v>
      </c>
      <c r="O18" s="18">
        <f>O11+O12</f>
        <v>1887.268</v>
      </c>
      <c r="P18" s="18">
        <f>P11+P12</f>
        <v>2956.3230000000003</v>
      </c>
      <c r="Q18" s="18">
        <f>Q11+Q12</f>
        <v>3798.4460000000017</v>
      </c>
      <c r="R18" s="18">
        <f t="shared" ref="R18:S18" si="19">R11+R12</f>
        <v>1050.5459999999998</v>
      </c>
      <c r="S18" s="18">
        <f t="shared" si="19"/>
        <v>1084.4659999999999</v>
      </c>
      <c r="T18" s="18">
        <f>T11+T12</f>
        <v>1113.7119999999995</v>
      </c>
      <c r="U18" s="131">
        <f>U11+U12</f>
        <v>638.28099999999904</v>
      </c>
      <c r="V18" s="18">
        <f t="shared" si="0"/>
        <v>2135.0119999999997</v>
      </c>
      <c r="W18" s="18">
        <f>W11+W12</f>
        <v>3248.7240000000011</v>
      </c>
      <c r="X18" s="131">
        <f>X11+X12</f>
        <v>3887.0049999999974</v>
      </c>
      <c r="AA18" s="18">
        <f t="shared" si="3"/>
        <v>638.28099999999904</v>
      </c>
      <c r="AB18" s="18">
        <f t="shared" si="3"/>
        <v>842.12300000000005</v>
      </c>
      <c r="AC18" s="18">
        <f t="shared" si="15"/>
        <v>-203.84200000000101</v>
      </c>
      <c r="AD18" s="87">
        <f t="shared" si="5"/>
        <v>-0.24205727666861132</v>
      </c>
    </row>
    <row r="19" spans="1:30" ht="14.45" customHeight="1">
      <c r="A19" s="31">
        <v>14</v>
      </c>
      <c r="B19" s="20" t="s">
        <v>105</v>
      </c>
      <c r="D19" s="21">
        <f t="shared" ref="D19:G19" si="20">IFERROR(D18/D11,"-")</f>
        <v>0.30183159030411771</v>
      </c>
      <c r="E19" s="21">
        <f t="shared" si="20"/>
        <v>0.31578062518184374</v>
      </c>
      <c r="F19" s="21">
        <f t="shared" si="20"/>
        <v>0.3268483532101612</v>
      </c>
      <c r="G19" s="21">
        <f t="shared" si="20"/>
        <v>0.25194874474913498</v>
      </c>
      <c r="H19" s="21">
        <f t="shared" ref="H19" si="21">IFERROR(H18/H11,"-")</f>
        <v>0.30912635102529779</v>
      </c>
      <c r="I19" s="21">
        <f>IFERROR(I18/I11,"-")</f>
        <v>0.31544993036640545</v>
      </c>
      <c r="J19" s="21">
        <f>IFERROR(J18/J11,"-")</f>
        <v>0.29915735918025654</v>
      </c>
      <c r="K19" s="21">
        <f t="shared" ref="K19:N19" si="22">IFERROR(K18/K11,"-")</f>
        <v>0.30737941444494971</v>
      </c>
      <c r="L19" s="21">
        <f t="shared" si="22"/>
        <v>0.28076354054370489</v>
      </c>
      <c r="M19" s="21">
        <f t="shared" si="22"/>
        <v>0.31210168210940681</v>
      </c>
      <c r="N19" s="67">
        <f t="shared" si="22"/>
        <v>0.25682718969620744</v>
      </c>
      <c r="O19" s="21">
        <f>IFERROR(O18/O11,"-")</f>
        <v>0.29375636128800486</v>
      </c>
      <c r="P19" s="21">
        <f>IFERROR(P18/P11,"-")</f>
        <v>0.3001359906070542</v>
      </c>
      <c r="Q19" s="67">
        <f>IFERROR(Q18/Q11,"-")</f>
        <v>0.28931959457663353</v>
      </c>
      <c r="R19" s="67">
        <f t="shared" ref="R19:S19" si="23">IFERROR(R18/R11,"-")</f>
        <v>0.29726236322427113</v>
      </c>
      <c r="S19" s="67">
        <f t="shared" si="23"/>
        <v>0.29867362170677564</v>
      </c>
      <c r="T19" s="114">
        <f>IFERROR(T18/T11,"-")</f>
        <v>0.29549160602746488</v>
      </c>
      <c r="U19" s="132">
        <f>IFERROR(U18/U11,"-")</f>
        <v>0.19235696584695766</v>
      </c>
      <c r="V19" s="21">
        <f>IFERROR(V18/V11,"-")</f>
        <v>0.29797753248076408</v>
      </c>
      <c r="W19" s="67">
        <f>IFERROR(W18/W11,"-")</f>
        <v>0.29712062091687386</v>
      </c>
      <c r="X19" s="132">
        <f>IFERROR(X18/X11,"-")</f>
        <v>0.27272950523198625</v>
      </c>
      <c r="AA19" s="21">
        <f t="shared" si="3"/>
        <v>0.19235696584695766</v>
      </c>
      <c r="AB19" s="21">
        <f t="shared" si="3"/>
        <v>0.25682718969620744</v>
      </c>
      <c r="AC19" s="88">
        <f>IFERROR((AA19-AB19)*100,"-")</f>
        <v>-6.4470223849249777</v>
      </c>
      <c r="AD19" s="89">
        <f t="shared" si="5"/>
        <v>-0.25102569523697826</v>
      </c>
    </row>
    <row r="20" spans="1:30" ht="14.45" customHeight="1">
      <c r="A20" s="31">
        <v>15</v>
      </c>
      <c r="B20" s="22" t="s">
        <v>13</v>
      </c>
      <c r="D20" s="14">
        <f t="shared" ref="D20:S20" si="24">SUM(D21:D24)</f>
        <v>-674.99400000000003</v>
      </c>
      <c r="E20" s="14">
        <f t="shared" si="24"/>
        <v>-1020.5499999999998</v>
      </c>
      <c r="F20" s="14">
        <f t="shared" si="24"/>
        <v>-649.95100000000002</v>
      </c>
      <c r="G20" s="14">
        <f t="shared" si="24"/>
        <v>-720.75300000000027</v>
      </c>
      <c r="H20" s="14">
        <f t="shared" si="24"/>
        <v>-1695.5439999999999</v>
      </c>
      <c r="I20" s="14">
        <f t="shared" si="24"/>
        <v>-2345.4949999999999</v>
      </c>
      <c r="J20" s="14">
        <f t="shared" si="24"/>
        <v>-3066.2480000000005</v>
      </c>
      <c r="K20" s="14">
        <f t="shared" si="24"/>
        <v>-744.678</v>
      </c>
      <c r="L20" s="14">
        <f t="shared" si="24"/>
        <v>-698.52500000000009</v>
      </c>
      <c r="M20" s="14">
        <f t="shared" si="24"/>
        <v>-766.02300000000002</v>
      </c>
      <c r="N20" s="65">
        <f t="shared" si="24"/>
        <v>-655.06799999999998</v>
      </c>
      <c r="O20" s="14">
        <f t="shared" si="24"/>
        <v>-1443.2030000000002</v>
      </c>
      <c r="P20" s="14">
        <f t="shared" si="24"/>
        <v>-2209.2260000000001</v>
      </c>
      <c r="Q20" s="65">
        <f t="shared" si="24"/>
        <v>-2864.2939999999999</v>
      </c>
      <c r="R20" s="65">
        <f t="shared" si="24"/>
        <v>-754.40700000000004</v>
      </c>
      <c r="S20" s="65">
        <f t="shared" si="24"/>
        <v>-842.56600000000003</v>
      </c>
      <c r="T20" s="65">
        <v>-792.40099999999995</v>
      </c>
      <c r="U20" s="129">
        <f>SUM(U21:U24)</f>
        <v>-585.93000000000006</v>
      </c>
      <c r="V20" s="14">
        <f t="shared" ref="V20:V25" si="25">SUM(R20:S20)</f>
        <v>-1596.973</v>
      </c>
      <c r="W20" s="65">
        <f>SUM(W21:W24)</f>
        <v>-2389.373</v>
      </c>
      <c r="X20" s="129">
        <f>SUM(X21:X24)</f>
        <v>-2975.3030000000003</v>
      </c>
      <c r="AA20" s="14">
        <f t="shared" si="3"/>
        <v>-585.93000000000006</v>
      </c>
      <c r="AB20" s="14">
        <f t="shared" si="3"/>
        <v>-655.06799999999998</v>
      </c>
      <c r="AC20" s="14">
        <f t="shared" si="15"/>
        <v>69.13799999999992</v>
      </c>
      <c r="AD20" s="85">
        <f t="shared" si="5"/>
        <v>-0.10554324131235215</v>
      </c>
    </row>
    <row r="21" spans="1:30" ht="14.45" customHeight="1">
      <c r="A21" s="31">
        <v>16</v>
      </c>
      <c r="B21" s="19" t="s">
        <v>6</v>
      </c>
      <c r="D21" s="16">
        <f>(-202034-35151-149396)/1000</f>
        <v>-386.58100000000002</v>
      </c>
      <c r="E21" s="16">
        <f>-419.416-85.556-633.956-D21</f>
        <v>-752.34699999999987</v>
      </c>
      <c r="F21" s="16">
        <f>-662.202-116.297-642.449-H21</f>
        <v>-282.02</v>
      </c>
      <c r="G21" s="16">
        <f>-878.535-68.625-695.242-I21</f>
        <v>-221.45400000000018</v>
      </c>
      <c r="H21" s="16">
        <f t="shared" ref="H21:H23" si="26">SUM(D21:E21)</f>
        <v>-1138.9279999999999</v>
      </c>
      <c r="I21" s="16">
        <f t="shared" ref="I21:I25" si="27">SUM(D21:F21)</f>
        <v>-1420.9479999999999</v>
      </c>
      <c r="J21" s="16">
        <f t="shared" ref="J21:J25" si="28">SUM(D21:G21)</f>
        <v>-1642.402</v>
      </c>
      <c r="K21" s="16">
        <v>-337.02800000000002</v>
      </c>
      <c r="L21" s="16">
        <v>-297.90100000000001</v>
      </c>
      <c r="M21" s="16">
        <v>-299.79700000000003</v>
      </c>
      <c r="N21" s="66">
        <v>-289.3599999999999</v>
      </c>
      <c r="O21" s="16">
        <f t="shared" ref="O21:O25" si="29">SUM(K21:L21)</f>
        <v>-634.92900000000009</v>
      </c>
      <c r="P21" s="16">
        <f t="shared" ref="P21:P25" si="30">SUM(K21:M21)</f>
        <v>-934.72600000000011</v>
      </c>
      <c r="Q21" s="66">
        <f t="shared" ref="Q21:Q25" si="31">SUM(K21:N21)</f>
        <v>-1224.086</v>
      </c>
      <c r="R21" s="66">
        <v>-308.34899999999999</v>
      </c>
      <c r="S21" s="16">
        <f>(-258552-41085-18269)/1000</f>
        <v>-317.90600000000001</v>
      </c>
      <c r="T21" s="66">
        <f>-261.627+12.93-20.354</f>
        <v>-269.05099999999999</v>
      </c>
      <c r="U21" s="130">
        <f t="shared" ref="U21:U25" si="32">X21-SUM(R21:T21)</f>
        <v>-167.46900000000005</v>
      </c>
      <c r="V21" s="16">
        <f t="shared" si="25"/>
        <v>-626.255</v>
      </c>
      <c r="W21" s="66">
        <f>SUM(R21:T21)</f>
        <v>-895.30600000000004</v>
      </c>
      <c r="X21" s="130">
        <v>-1062.7750000000001</v>
      </c>
      <c r="AA21" s="16">
        <f t="shared" si="3"/>
        <v>-167.46900000000005</v>
      </c>
      <c r="AB21" s="16">
        <f t="shared" si="3"/>
        <v>-289.3599999999999</v>
      </c>
      <c r="AC21" s="16">
        <f t="shared" si="15"/>
        <v>121.89099999999985</v>
      </c>
      <c r="AD21" s="86">
        <f t="shared" si="5"/>
        <v>-0.42124343378490425</v>
      </c>
    </row>
    <row r="22" spans="1:30" ht="14.45" customHeight="1">
      <c r="A22" s="31">
        <v>17</v>
      </c>
      <c r="B22" s="19" t="s">
        <v>106</v>
      </c>
      <c r="D22" s="16">
        <f>(-143311-16887-34619)/1000</f>
        <v>-194.81700000000001</v>
      </c>
      <c r="E22" s="16">
        <f>-283.113-35.984-72.183-D22</f>
        <v>-196.46299999999997</v>
      </c>
      <c r="F22" s="16">
        <f>-492.102-54.375-45.814-H22</f>
        <v>-201.01099999999997</v>
      </c>
      <c r="G22" s="16">
        <f>-693.143-85.717-62.607-I22</f>
        <v>-249.17600000000004</v>
      </c>
      <c r="H22" s="16">
        <f t="shared" si="26"/>
        <v>-391.28</v>
      </c>
      <c r="I22" s="16">
        <f t="shared" si="27"/>
        <v>-592.29099999999994</v>
      </c>
      <c r="J22" s="16">
        <f t="shared" si="28"/>
        <v>-841.46699999999998</v>
      </c>
      <c r="K22" s="16">
        <v>-238.88499999999999</v>
      </c>
      <c r="L22" s="16">
        <v>-244.14599999999999</v>
      </c>
      <c r="M22" s="16">
        <v>-267.63</v>
      </c>
      <c r="N22" s="66">
        <v>-279.03200000000004</v>
      </c>
      <c r="O22" s="16">
        <f t="shared" si="29"/>
        <v>-483.03099999999995</v>
      </c>
      <c r="P22" s="16">
        <f t="shared" si="30"/>
        <v>-750.66099999999994</v>
      </c>
      <c r="Q22" s="66">
        <f t="shared" si="31"/>
        <v>-1029.693</v>
      </c>
      <c r="R22" s="66">
        <v>-255.72300000000001</v>
      </c>
      <c r="S22" s="66">
        <f>(-246859-19502-20298)/1000</f>
        <v>-286.65899999999999</v>
      </c>
      <c r="T22" s="66">
        <f>-231.529-26.961-16.337</f>
        <v>-274.827</v>
      </c>
      <c r="U22" s="130">
        <f t="shared" si="32"/>
        <v>-275.97900000000004</v>
      </c>
      <c r="V22" s="16">
        <f t="shared" si="25"/>
        <v>-542.38200000000006</v>
      </c>
      <c r="W22" s="66">
        <f>SUM(R22:T22)</f>
        <v>-817.20900000000006</v>
      </c>
      <c r="X22" s="130">
        <v>-1093.1880000000001</v>
      </c>
      <c r="AA22" s="16">
        <f t="shared" si="3"/>
        <v>-275.97900000000004</v>
      </c>
      <c r="AB22" s="16">
        <f t="shared" si="3"/>
        <v>-279.03200000000004</v>
      </c>
      <c r="AC22" s="16">
        <f t="shared" si="15"/>
        <v>3.0529999999999973</v>
      </c>
      <c r="AD22" s="86">
        <f t="shared" si="5"/>
        <v>-1.0941397402448483E-2</v>
      </c>
    </row>
    <row r="23" spans="1:30" ht="14.45" customHeight="1">
      <c r="A23" s="31">
        <v>18</v>
      </c>
      <c r="B23" s="19" t="s">
        <v>173</v>
      </c>
      <c r="D23" s="16">
        <f>-59004/1000</f>
        <v>-59.003999999999998</v>
      </c>
      <c r="E23" s="16">
        <f>-110.565-D23</f>
        <v>-51.561</v>
      </c>
      <c r="F23" s="16">
        <f>-198.241-H23</f>
        <v>-87.676000000000016</v>
      </c>
      <c r="G23" s="16">
        <f>-292.398-I23</f>
        <v>-94.157000000000011</v>
      </c>
      <c r="H23" s="16">
        <f t="shared" si="26"/>
        <v>-110.565</v>
      </c>
      <c r="I23" s="16">
        <f t="shared" si="27"/>
        <v>-198.24100000000001</v>
      </c>
      <c r="J23" s="16">
        <f t="shared" si="28"/>
        <v>-292.39800000000002</v>
      </c>
      <c r="K23" s="16">
        <v>-91.759</v>
      </c>
      <c r="L23" s="16">
        <v>-103.43</v>
      </c>
      <c r="M23" s="16">
        <v>-112.944</v>
      </c>
      <c r="N23" s="66">
        <v>-65.09899999999999</v>
      </c>
      <c r="O23" s="16">
        <f t="shared" si="29"/>
        <v>-195.18900000000002</v>
      </c>
      <c r="P23" s="16">
        <f t="shared" si="30"/>
        <v>-308.13300000000004</v>
      </c>
      <c r="Q23" s="66">
        <f t="shared" si="31"/>
        <v>-373.23200000000003</v>
      </c>
      <c r="R23" s="66">
        <v>-119.82599999999999</v>
      </c>
      <c r="S23" s="66">
        <f>-124212/1000</f>
        <v>-124.212</v>
      </c>
      <c r="T23" s="66">
        <v>-136.57400000000001</v>
      </c>
      <c r="U23" s="130">
        <f t="shared" si="32"/>
        <v>-145.89499999999992</v>
      </c>
      <c r="V23" s="16">
        <f t="shared" si="25"/>
        <v>-244.03800000000001</v>
      </c>
      <c r="W23" s="66">
        <f>SUM(R23:T23)</f>
        <v>-380.61200000000002</v>
      </c>
      <c r="X23" s="130">
        <v>-526.50699999999995</v>
      </c>
      <c r="AA23" s="16">
        <f t="shared" si="3"/>
        <v>-145.89499999999992</v>
      </c>
      <c r="AB23" s="16">
        <f t="shared" si="3"/>
        <v>-65.09899999999999</v>
      </c>
      <c r="AC23" s="16">
        <f t="shared" si="15"/>
        <v>-80.795999999999935</v>
      </c>
      <c r="AD23" s="86">
        <f t="shared" si="5"/>
        <v>1.2411250556844182</v>
      </c>
    </row>
    <row r="24" spans="1:30" ht="14.45" customHeight="1">
      <c r="A24" s="31">
        <v>19</v>
      </c>
      <c r="B24" s="19" t="s">
        <v>93</v>
      </c>
      <c r="D24" s="16">
        <f>(-6215+3412-31789)/1000</f>
        <v>-34.591999999999999</v>
      </c>
      <c r="E24" s="16">
        <f>-11.895+21.43-64.306-D24</f>
        <v>-20.179000000000002</v>
      </c>
      <c r="F24" s="16">
        <f>-21.238-6.251-106.526-H24</f>
        <v>-79.243999999999986</v>
      </c>
      <c r="G24" s="16">
        <f>-52.875-69.017-168.089-I24</f>
        <v>-155.96600000000001</v>
      </c>
      <c r="H24" s="16">
        <f t="shared" ref="H24" si="33">SUM(D24:E24)</f>
        <v>-54.771000000000001</v>
      </c>
      <c r="I24" s="16">
        <f t="shared" ref="I24" si="34">SUM(D24:F24)</f>
        <v>-134.01499999999999</v>
      </c>
      <c r="J24" s="16">
        <f t="shared" ref="J24" si="35">SUM(D24:G24)</f>
        <v>-289.98099999999999</v>
      </c>
      <c r="K24" s="16">
        <v>-77.006</v>
      </c>
      <c r="L24" s="16">
        <v>-53.048000000000002</v>
      </c>
      <c r="M24" s="16">
        <v>-85.652000000000001</v>
      </c>
      <c r="N24" s="66">
        <v>-21.57699999999997</v>
      </c>
      <c r="O24" s="16">
        <f t="shared" ref="O24" si="36">SUM(K24:L24)</f>
        <v>-130.054</v>
      </c>
      <c r="P24" s="16">
        <f t="shared" ref="P24" si="37">SUM(K24:M24)</f>
        <v>-215.70600000000002</v>
      </c>
      <c r="Q24" s="66">
        <f t="shared" ref="Q24" si="38">SUM(K24:N24)</f>
        <v>-237.28299999999999</v>
      </c>
      <c r="R24" s="66">
        <v>-70.509</v>
      </c>
      <c r="S24" s="66">
        <f>(-4596-25576-83617)/1000</f>
        <v>-113.789</v>
      </c>
      <c r="T24" s="66">
        <f>-2.972-70.447-38.529</f>
        <v>-111.94800000000001</v>
      </c>
      <c r="U24" s="130">
        <f t="shared" si="32"/>
        <v>3.4129999999999541</v>
      </c>
      <c r="V24" s="16">
        <f t="shared" si="25"/>
        <v>-184.298</v>
      </c>
      <c r="W24" s="66">
        <f>SUM(R24:T24)</f>
        <v>-296.24599999999998</v>
      </c>
      <c r="X24" s="130">
        <v>-292.83300000000003</v>
      </c>
      <c r="AA24" s="16">
        <f t="shared" si="3"/>
        <v>3.4129999999999541</v>
      </c>
      <c r="AB24" s="16">
        <f t="shared" si="3"/>
        <v>-21.57699999999997</v>
      </c>
      <c r="AC24" s="16">
        <f t="shared" si="15"/>
        <v>24.989999999999924</v>
      </c>
      <c r="AD24" s="86">
        <f t="shared" si="5"/>
        <v>-1.1581776892060971</v>
      </c>
    </row>
    <row r="25" spans="1:30" ht="14.45" customHeight="1">
      <c r="A25" s="31">
        <v>20</v>
      </c>
      <c r="B25" s="13" t="s">
        <v>94</v>
      </c>
      <c r="D25" s="14">
        <f>(11341-1227)/1000</f>
        <v>10.114000000000001</v>
      </c>
      <c r="E25" s="14">
        <f>23.911-2.975-D25</f>
        <v>10.821999999999999</v>
      </c>
      <c r="F25" s="14">
        <f>41.8-11.913-H25</f>
        <v>8.950999999999997</v>
      </c>
      <c r="G25" s="14">
        <f>58.32-20.38-I25</f>
        <v>8.0530000000000008</v>
      </c>
      <c r="H25" s="14">
        <f>SUM(D25:E25)</f>
        <v>20.936</v>
      </c>
      <c r="I25" s="14">
        <f t="shared" si="27"/>
        <v>29.886999999999997</v>
      </c>
      <c r="J25" s="14">
        <f t="shared" si="28"/>
        <v>37.94</v>
      </c>
      <c r="K25" s="14">
        <f>69.318-0.219</f>
        <v>69.099000000000004</v>
      </c>
      <c r="L25" s="14">
        <f>4.359-1.821</f>
        <v>2.5380000000000003</v>
      </c>
      <c r="M25" s="14">
        <v>4.8959999999999999</v>
      </c>
      <c r="N25" s="65">
        <v>5.9109999999999996</v>
      </c>
      <c r="O25" s="14">
        <f t="shared" si="29"/>
        <v>71.637</v>
      </c>
      <c r="P25" s="14">
        <f t="shared" si="30"/>
        <v>76.533000000000001</v>
      </c>
      <c r="Q25" s="65">
        <f t="shared" si="31"/>
        <v>82.444000000000003</v>
      </c>
      <c r="R25" s="65">
        <v>9.8849999999999998</v>
      </c>
      <c r="S25" s="65">
        <v>-26.53</v>
      </c>
      <c r="T25" s="14">
        <f>9.639</f>
        <v>9.6389999999999993</v>
      </c>
      <c r="U25" s="133">
        <f t="shared" si="32"/>
        <v>8.6270000000000042</v>
      </c>
      <c r="V25" s="14">
        <f t="shared" si="25"/>
        <v>-16.645000000000003</v>
      </c>
      <c r="W25" s="65">
        <f>SUM(R25:T25)</f>
        <v>-7.0060000000000038</v>
      </c>
      <c r="X25" s="134">
        <v>1.621</v>
      </c>
      <c r="AA25" s="14">
        <f t="shared" si="3"/>
        <v>8.6270000000000042</v>
      </c>
      <c r="AB25" s="14">
        <f t="shared" si="3"/>
        <v>5.9109999999999996</v>
      </c>
      <c r="AC25" s="14">
        <f t="shared" si="15"/>
        <v>2.7160000000000046</v>
      </c>
      <c r="AD25" s="85">
        <f t="shared" si="5"/>
        <v>0.45948232109626197</v>
      </c>
    </row>
    <row r="26" spans="1:30" ht="14.45" customHeight="1">
      <c r="A26" s="31">
        <v>21</v>
      </c>
      <c r="B26" s="17" t="s">
        <v>108</v>
      </c>
      <c r="D26" s="18">
        <f t="shared" ref="D26:S26" si="39">D18+D20+D25</f>
        <v>52.426999999999992</v>
      </c>
      <c r="E26" s="18">
        <f t="shared" si="39"/>
        <v>-187.03800000000001</v>
      </c>
      <c r="F26" s="18">
        <f t="shared" si="39"/>
        <v>262.33400000000051</v>
      </c>
      <c r="G26" s="18">
        <f t="shared" si="39"/>
        <v>-39.208000000000311</v>
      </c>
      <c r="H26" s="18">
        <f t="shared" si="39"/>
        <v>-134.61100000000002</v>
      </c>
      <c r="I26" s="18">
        <f t="shared" si="39"/>
        <v>127.72299999999933</v>
      </c>
      <c r="J26" s="18">
        <f t="shared" si="39"/>
        <v>88.514999999999816</v>
      </c>
      <c r="K26" s="18">
        <f t="shared" si="39"/>
        <v>288.43600000000032</v>
      </c>
      <c r="L26" s="18">
        <f t="shared" si="39"/>
        <v>227.26600000000008</v>
      </c>
      <c r="M26" s="18">
        <f t="shared" si="39"/>
        <v>307.92799999999983</v>
      </c>
      <c r="N26" s="18">
        <f t="shared" si="39"/>
        <v>192.96600000000007</v>
      </c>
      <c r="O26" s="18">
        <f t="shared" si="39"/>
        <v>515.70199999999977</v>
      </c>
      <c r="P26" s="18">
        <f t="shared" si="39"/>
        <v>823.63000000000022</v>
      </c>
      <c r="Q26" s="18">
        <f t="shared" si="39"/>
        <v>1016.5960000000018</v>
      </c>
      <c r="R26" s="18">
        <f t="shared" si="39"/>
        <v>306.02399999999977</v>
      </c>
      <c r="S26" s="18">
        <f t="shared" si="39"/>
        <v>215.36999999999986</v>
      </c>
      <c r="T26" s="18">
        <f>T18+T20+T25</f>
        <v>330.94999999999959</v>
      </c>
      <c r="U26" s="131">
        <f>U18+U20+U25</f>
        <v>60.977999999998978</v>
      </c>
      <c r="V26" s="18">
        <f t="shared" ref="V26" si="40">V18+V20+V25</f>
        <v>521.39399999999978</v>
      </c>
      <c r="W26" s="18">
        <f>W18+W20+W25</f>
        <v>852.34500000000105</v>
      </c>
      <c r="X26" s="131">
        <f>X18+X20+X25</f>
        <v>913.32299999999702</v>
      </c>
      <c r="AA26" s="18">
        <f t="shared" si="3"/>
        <v>60.977999999998978</v>
      </c>
      <c r="AB26" s="18">
        <f t="shared" si="3"/>
        <v>192.96600000000007</v>
      </c>
      <c r="AC26" s="18">
        <f t="shared" si="15"/>
        <v>-131.98800000000108</v>
      </c>
      <c r="AD26" s="87">
        <f t="shared" si="5"/>
        <v>-0.68399614439850054</v>
      </c>
    </row>
    <row r="27" spans="1:30" ht="14.45" customHeight="1">
      <c r="A27" s="31">
        <v>22</v>
      </c>
      <c r="B27" s="13" t="s">
        <v>174</v>
      </c>
      <c r="D27" s="14">
        <f t="shared" ref="D27:G27" si="41">SUM(D28:D29)</f>
        <v>-123.95999999999998</v>
      </c>
      <c r="E27" s="14">
        <f t="shared" si="41"/>
        <v>-50.535000000000018</v>
      </c>
      <c r="F27" s="14">
        <f t="shared" si="41"/>
        <v>-116.78100000000001</v>
      </c>
      <c r="G27" s="14">
        <f t="shared" si="41"/>
        <v>-171.46600000000001</v>
      </c>
      <c r="H27" s="14">
        <f>SUM(H28:H29)</f>
        <v>-174.495</v>
      </c>
      <c r="I27" s="14">
        <f>SUM(I28:I29)</f>
        <v>-291.27600000000001</v>
      </c>
      <c r="J27" s="14">
        <f>SUM(J28:J29)</f>
        <v>-462.74200000000002</v>
      </c>
      <c r="K27" s="14">
        <f t="shared" ref="K27:N27" si="42">SUM(K28:K29)</f>
        <v>-254.768</v>
      </c>
      <c r="L27" s="14">
        <f t="shared" si="42"/>
        <v>-374.41999999999996</v>
      </c>
      <c r="M27" s="14">
        <f t="shared" si="42"/>
        <v>-422.32899999999995</v>
      </c>
      <c r="N27" s="65">
        <f t="shared" si="42"/>
        <v>-543.87400000000002</v>
      </c>
      <c r="O27" s="14">
        <f>SUM(O28:O29)</f>
        <v>-629.18799999999999</v>
      </c>
      <c r="P27" s="14">
        <f>SUM(P28:P29)</f>
        <v>-1051.5170000000001</v>
      </c>
      <c r="Q27" s="65">
        <f>SUM(Q28:Q29)</f>
        <v>-1595.3909999999998</v>
      </c>
      <c r="R27" s="65">
        <f t="shared" ref="R27" si="43">SUM(R28:R29)</f>
        <v>-534.86199999999997</v>
      </c>
      <c r="S27" s="65">
        <v>-445.07799999999997</v>
      </c>
      <c r="T27" s="65">
        <f>SUM(T28:T29)</f>
        <v>-460.15100000000007</v>
      </c>
      <c r="U27" s="129">
        <f>SUM(U28:U29)</f>
        <v>-469.18500000000012</v>
      </c>
      <c r="V27" s="14">
        <f>SUM(R27:S27)</f>
        <v>-979.93999999999994</v>
      </c>
      <c r="W27" s="65">
        <f>SUM(W28:W29)</f>
        <v>-1440.0919999999999</v>
      </c>
      <c r="X27" s="129">
        <f>SUM(X28:X29)</f>
        <v>-1909.277</v>
      </c>
      <c r="AA27" s="14">
        <f t="shared" si="3"/>
        <v>-469.18500000000012</v>
      </c>
      <c r="AB27" s="14">
        <f t="shared" si="3"/>
        <v>-543.87400000000002</v>
      </c>
      <c r="AC27" s="14">
        <f t="shared" si="15"/>
        <v>74.688999999999908</v>
      </c>
      <c r="AD27" s="85">
        <f t="shared" si="5"/>
        <v>-0.137327763415791</v>
      </c>
    </row>
    <row r="28" spans="1:30" ht="14.45" customHeight="1">
      <c r="A28" s="31">
        <v>23</v>
      </c>
      <c r="B28" s="19" t="s">
        <v>175</v>
      </c>
      <c r="D28" s="16">
        <v>56.091000000000001</v>
      </c>
      <c r="E28" s="16">
        <f>100.195-D28</f>
        <v>44.103999999999992</v>
      </c>
      <c r="F28" s="16">
        <f>135.286-H28</f>
        <v>35.091000000000008</v>
      </c>
      <c r="G28" s="16">
        <f>206.45-I28</f>
        <v>71.163999999999987</v>
      </c>
      <c r="H28" s="16">
        <f>SUM(D28:E28)</f>
        <v>100.19499999999999</v>
      </c>
      <c r="I28" s="16">
        <f>SUM(D28:F28)</f>
        <v>135.286</v>
      </c>
      <c r="J28" s="16">
        <f>SUM(C28:G28)</f>
        <v>206.45</v>
      </c>
      <c r="K28" s="16">
        <v>108.251</v>
      </c>
      <c r="L28" s="16">
        <v>154.88300000000001</v>
      </c>
      <c r="M28" s="16">
        <v>72.337999999999994</v>
      </c>
      <c r="N28" s="66">
        <v>9.1029999999999998</v>
      </c>
      <c r="O28" s="16">
        <f>SUM(K28:L28)</f>
        <v>263.13400000000001</v>
      </c>
      <c r="P28" s="16">
        <f>SUM(K28:M28)</f>
        <v>335.47199999999998</v>
      </c>
      <c r="Q28" s="66">
        <f>SUM(K28:N28)</f>
        <v>344.57499999999999</v>
      </c>
      <c r="R28" s="66">
        <v>62.51</v>
      </c>
      <c r="S28" s="66">
        <f>119.11-6.932</f>
        <v>112.178</v>
      </c>
      <c r="T28" s="66">
        <v>102.054</v>
      </c>
      <c r="U28" s="130">
        <f t="shared" ref="U28:U30" si="44">X28-SUM(R28:T28)</f>
        <v>20.077000000000055</v>
      </c>
      <c r="V28" s="16">
        <f>SUM(R28:S28)</f>
        <v>174.68799999999999</v>
      </c>
      <c r="W28" s="66">
        <f>SUM(R28:T28)</f>
        <v>276.74199999999996</v>
      </c>
      <c r="X28" s="130">
        <v>296.81900000000002</v>
      </c>
      <c r="AA28" s="16">
        <f t="shared" si="3"/>
        <v>20.077000000000055</v>
      </c>
      <c r="AB28" s="16">
        <f t="shared" si="3"/>
        <v>9.1029999999999998</v>
      </c>
      <c r="AC28" s="16">
        <f t="shared" ref="AC28" si="45">IFERROR((AA28-AB28)*100,"-")</f>
        <v>1097.4000000000055</v>
      </c>
      <c r="AD28" s="86">
        <f t="shared" si="5"/>
        <v>1.2055366362737621</v>
      </c>
    </row>
    <row r="29" spans="1:30" ht="14.45" customHeight="1">
      <c r="A29" s="31">
        <v>24</v>
      </c>
      <c r="B29" s="19" t="s">
        <v>176</v>
      </c>
      <c r="D29" s="16">
        <v>-180.05099999999999</v>
      </c>
      <c r="E29" s="16">
        <f>-274.69-D29</f>
        <v>-94.63900000000001</v>
      </c>
      <c r="F29" s="16">
        <f>-426.562-H29</f>
        <v>-151.87200000000001</v>
      </c>
      <c r="G29" s="16">
        <f>-669.192-I29</f>
        <v>-242.63</v>
      </c>
      <c r="H29" s="16">
        <f>SUM(D29:E29)</f>
        <v>-274.69</v>
      </c>
      <c r="I29" s="16">
        <f>SUM(D29:F29)</f>
        <v>-426.56200000000001</v>
      </c>
      <c r="J29" s="16">
        <f>SUM(D29:G29)</f>
        <v>-669.19200000000001</v>
      </c>
      <c r="K29" s="16">
        <v>-363.01900000000001</v>
      </c>
      <c r="L29" s="16">
        <v>-529.303</v>
      </c>
      <c r="M29" s="16">
        <v>-494.66699999999997</v>
      </c>
      <c r="N29" s="66">
        <v>-552.97699999999998</v>
      </c>
      <c r="O29" s="16">
        <f>SUM(K29:L29)</f>
        <v>-892.322</v>
      </c>
      <c r="P29" s="16">
        <f>SUM(K29:M29)</f>
        <v>-1386.989</v>
      </c>
      <c r="Q29" s="66">
        <f>SUM(K29:N29)</f>
        <v>-1939.9659999999999</v>
      </c>
      <c r="R29" s="66">
        <v>-597.37199999999996</v>
      </c>
      <c r="S29" s="66">
        <v>-557.25699999999995</v>
      </c>
      <c r="T29" s="66">
        <v>-562.20500000000004</v>
      </c>
      <c r="U29" s="130">
        <f t="shared" si="44"/>
        <v>-489.26200000000017</v>
      </c>
      <c r="V29" s="16">
        <f>SUM(R29:S29)</f>
        <v>-1154.6289999999999</v>
      </c>
      <c r="W29" s="66">
        <f>SUM(R29:T29)</f>
        <v>-1716.8339999999998</v>
      </c>
      <c r="X29" s="130">
        <v>-2206.096</v>
      </c>
      <c r="AA29" s="16">
        <f t="shared" si="3"/>
        <v>-489.26200000000017</v>
      </c>
      <c r="AB29" s="16">
        <f t="shared" si="3"/>
        <v>-552.97699999999998</v>
      </c>
      <c r="AC29" s="16">
        <f t="shared" ref="AC29:AC31" si="46">0+(IFERROR(AA29-AB29,"-"))</f>
        <v>63.714999999999804</v>
      </c>
      <c r="AD29" s="86">
        <f t="shared" si="5"/>
        <v>-0.11522179041804592</v>
      </c>
    </row>
    <row r="30" spans="1:30" ht="14.45" customHeight="1">
      <c r="A30" s="31">
        <v>25</v>
      </c>
      <c r="B30" s="13" t="s">
        <v>177</v>
      </c>
      <c r="D30" s="14">
        <v>60.625</v>
      </c>
      <c r="E30" s="14">
        <f>183.162-D30</f>
        <v>122.53700000000001</v>
      </c>
      <c r="F30" s="14">
        <f>113.379-H30</f>
        <v>-69.783000000000001</v>
      </c>
      <c r="G30" s="14">
        <f>157.29-I30</f>
        <v>43.910999999999987</v>
      </c>
      <c r="H30" s="14">
        <f>SUM(D30:E30)</f>
        <v>183.16200000000001</v>
      </c>
      <c r="I30" s="14">
        <f>SUM(D30:F30)</f>
        <v>113.379</v>
      </c>
      <c r="J30" s="14">
        <f>SUM(D30:G30)</f>
        <v>157.29</v>
      </c>
      <c r="K30" s="14">
        <v>2.9209999999999998</v>
      </c>
      <c r="L30" s="14">
        <f>90.496-63.556</f>
        <v>26.939999999999998</v>
      </c>
      <c r="M30" s="14">
        <v>25.256</v>
      </c>
      <c r="N30" s="65">
        <v>135.91200000000001</v>
      </c>
      <c r="O30" s="14">
        <f>SUM(K30:L30)</f>
        <v>29.860999999999997</v>
      </c>
      <c r="P30" s="14">
        <f>SUM(K30:M30)</f>
        <v>55.116999999999997</v>
      </c>
      <c r="Q30" s="65">
        <f>SUM(K30:N30)</f>
        <v>191.029</v>
      </c>
      <c r="R30" s="65">
        <v>61.088000000000001</v>
      </c>
      <c r="S30" s="65">
        <v>-54.35</v>
      </c>
      <c r="T30" s="65">
        <v>-53.622</v>
      </c>
      <c r="U30" s="129">
        <f t="shared" si="44"/>
        <v>-86.932000000000002</v>
      </c>
      <c r="V30" s="14">
        <f>SUM(R30:S30)</f>
        <v>6.7379999999999995</v>
      </c>
      <c r="W30" s="65">
        <f>SUM(R30:T30)</f>
        <v>-46.884</v>
      </c>
      <c r="X30" s="129">
        <v>-133.816</v>
      </c>
      <c r="AA30" s="14">
        <f t="shared" si="3"/>
        <v>-86.932000000000002</v>
      </c>
      <c r="AB30" s="14">
        <f t="shared" si="3"/>
        <v>135.91200000000001</v>
      </c>
      <c r="AC30" s="14">
        <f t="shared" si="46"/>
        <v>-222.84399999999999</v>
      </c>
      <c r="AD30" s="85">
        <f t="shared" si="5"/>
        <v>-1.6396197539584438</v>
      </c>
    </row>
    <row r="31" spans="1:30" ht="14.45" customHeight="1">
      <c r="A31" s="31">
        <v>26</v>
      </c>
      <c r="B31" s="17" t="s">
        <v>136</v>
      </c>
      <c r="D31" s="18">
        <f>D26+D27+D30</f>
        <v>-10.907999999999987</v>
      </c>
      <c r="E31" s="18">
        <f t="shared" ref="E31:S31" si="47">E26+E27+E30</f>
        <v>-115.03600000000003</v>
      </c>
      <c r="F31" s="18">
        <f t="shared" si="47"/>
        <v>75.770000000000508</v>
      </c>
      <c r="G31" s="18">
        <f t="shared" si="47"/>
        <v>-166.76300000000032</v>
      </c>
      <c r="H31" s="18">
        <f t="shared" si="47"/>
        <v>-125.94399999999999</v>
      </c>
      <c r="I31" s="18">
        <f t="shared" si="47"/>
        <v>-50.174000000000675</v>
      </c>
      <c r="J31" s="18">
        <f t="shared" si="47"/>
        <v>-216.93700000000021</v>
      </c>
      <c r="K31" s="18">
        <f t="shared" si="47"/>
        <v>36.589000000000318</v>
      </c>
      <c r="L31" s="18">
        <f t="shared" si="47"/>
        <v>-120.21399999999988</v>
      </c>
      <c r="M31" s="18">
        <f t="shared" si="47"/>
        <v>-89.145000000000124</v>
      </c>
      <c r="N31" s="18">
        <f t="shared" si="47"/>
        <v>-214.99599999999995</v>
      </c>
      <c r="O31" s="18">
        <f t="shared" si="47"/>
        <v>-83.625000000000227</v>
      </c>
      <c r="P31" s="18">
        <f t="shared" si="47"/>
        <v>-172.76999999999984</v>
      </c>
      <c r="Q31" s="18">
        <f t="shared" si="47"/>
        <v>-387.76599999999803</v>
      </c>
      <c r="R31" s="18">
        <f t="shared" si="47"/>
        <v>-167.7500000000002</v>
      </c>
      <c r="S31" s="18">
        <f t="shared" si="47"/>
        <v>-284.05800000000011</v>
      </c>
      <c r="T31" s="18">
        <f>T26+T27+T30</f>
        <v>-182.82300000000049</v>
      </c>
      <c r="U31" s="131">
        <f>U26+U27+U30</f>
        <v>-495.13900000000115</v>
      </c>
      <c r="V31" s="18">
        <f>SUM(R31:S31)</f>
        <v>-451.80800000000033</v>
      </c>
      <c r="W31" s="18">
        <f>W26+W27+W30</f>
        <v>-634.63099999999883</v>
      </c>
      <c r="X31" s="131">
        <f>X26+X27+X30</f>
        <v>-1129.7700000000029</v>
      </c>
      <c r="AA31" s="18">
        <f t="shared" si="3"/>
        <v>-495.13900000000115</v>
      </c>
      <c r="AB31" s="18">
        <f t="shared" si="3"/>
        <v>-214.99599999999995</v>
      </c>
      <c r="AC31" s="18">
        <f t="shared" si="46"/>
        <v>-280.14300000000117</v>
      </c>
      <c r="AD31" s="87">
        <f t="shared" si="5"/>
        <v>1.3030149398128397</v>
      </c>
    </row>
    <row r="32" spans="1:30" ht="14.45" customHeight="1">
      <c r="A32" s="31">
        <v>27</v>
      </c>
      <c r="B32" s="20" t="s">
        <v>178</v>
      </c>
      <c r="D32" s="21">
        <f t="shared" ref="D32:S32" si="48">IFERROR(D31/D11,"-")</f>
        <v>-4.5899161545019246E-3</v>
      </c>
      <c r="E32" s="21">
        <f t="shared" si="48"/>
        <v>-4.415531974184516E-2</v>
      </c>
      <c r="F32" s="21">
        <f t="shared" si="48"/>
        <v>2.7415440714878513E-2</v>
      </c>
      <c r="G32" s="21">
        <f t="shared" si="48"/>
        <v>-6.2384896213466642E-2</v>
      </c>
      <c r="H32" s="21">
        <f t="shared" si="48"/>
        <v>-2.5280964283391529E-2</v>
      </c>
      <c r="I32" s="21">
        <f t="shared" si="48"/>
        <v>-6.4777898721885187E-3</v>
      </c>
      <c r="J32" s="21">
        <f t="shared" si="48"/>
        <v>-2.0821939528965029E-2</v>
      </c>
      <c r="K32" s="21">
        <f t="shared" si="48"/>
        <v>1.1666525308347235E-2</v>
      </c>
      <c r="L32" s="21">
        <f t="shared" si="48"/>
        <v>-3.6557377298444632E-2</v>
      </c>
      <c r="M32" s="21">
        <f t="shared" si="48"/>
        <v>-2.602513851171653E-2</v>
      </c>
      <c r="N32" s="67">
        <f t="shared" si="48"/>
        <v>-6.5568590901716017E-2</v>
      </c>
      <c r="O32" s="21">
        <f t="shared" si="48"/>
        <v>-1.3016368482223761E-2</v>
      </c>
      <c r="P32" s="21">
        <f t="shared" si="48"/>
        <v>-1.754019946304267E-2</v>
      </c>
      <c r="Q32" s="67">
        <f t="shared" si="48"/>
        <v>-2.9535315734540456E-2</v>
      </c>
      <c r="R32" s="67">
        <f t="shared" si="48"/>
        <v>-4.7466518772972865E-2</v>
      </c>
      <c r="S32" s="67">
        <f t="shared" si="48"/>
        <v>-7.8232633973571608E-2</v>
      </c>
      <c r="T32" s="114">
        <f>IFERROR(T31/T11,"-")</f>
        <v>-4.8506850863382432E-2</v>
      </c>
      <c r="U32" s="132">
        <f>IFERROR(U31/U11,"-")</f>
        <v>-0.14921866029616601</v>
      </c>
      <c r="V32" s="21">
        <f t="shared" ref="V32" si="49">IFERROR(V31/V11,"-")</f>
        <v>-6.3057553304182459E-2</v>
      </c>
      <c r="W32" s="67">
        <f>IFERROR(W31/W11,"-")</f>
        <v>-5.804185174643834E-2</v>
      </c>
      <c r="X32" s="132">
        <f>IFERROR(X31/X11,"-")</f>
        <v>-7.9269672440848968E-2</v>
      </c>
      <c r="AA32" s="21">
        <f t="shared" si="3"/>
        <v>-0.14921866029616601</v>
      </c>
      <c r="AB32" s="21">
        <f t="shared" si="3"/>
        <v>-6.5568590901716017E-2</v>
      </c>
      <c r="AC32" s="88">
        <f>IFERROR((AA32-AB32)*100,"-")</f>
        <v>-8.3650069394449993</v>
      </c>
      <c r="AD32" s="90">
        <f t="shared" si="5"/>
        <v>1.2757643292935361</v>
      </c>
    </row>
    <row r="33" spans="1:30" ht="14.45" customHeight="1">
      <c r="A33" s="31">
        <v>28</v>
      </c>
      <c r="B33" s="23"/>
      <c r="D33" s="24"/>
      <c r="E33" s="24"/>
      <c r="F33" s="24"/>
      <c r="G33" s="24"/>
      <c r="H33" s="24"/>
      <c r="I33" s="24"/>
      <c r="J33" s="24"/>
      <c r="K33" s="24"/>
      <c r="L33" s="63"/>
      <c r="M33" s="24"/>
      <c r="N33" s="24"/>
      <c r="O33" s="24"/>
      <c r="P33" s="24"/>
      <c r="Q33" s="24"/>
      <c r="R33" s="24"/>
      <c r="S33" s="24"/>
      <c r="T33" s="24"/>
      <c r="U33" s="24"/>
      <c r="V33" s="24"/>
      <c r="W33" s="24"/>
      <c r="X33" s="24"/>
      <c r="AA33" s="24"/>
      <c r="AB33" s="24"/>
      <c r="AC33" s="8"/>
      <c r="AD33" s="39"/>
    </row>
    <row r="34" spans="1:30" ht="14.45" customHeight="1" thickBot="1">
      <c r="A34" s="31">
        <v>29</v>
      </c>
      <c r="B34" s="9" t="s">
        <v>138</v>
      </c>
      <c r="D34" s="10" t="str">
        <f>D6</f>
        <v>1Q21</v>
      </c>
      <c r="E34" s="10" t="str">
        <f t="shared" ref="E34:X34" si="50">E6</f>
        <v>2Q21</v>
      </c>
      <c r="F34" s="10" t="str">
        <f t="shared" si="50"/>
        <v>3Q21</v>
      </c>
      <c r="G34" s="10" t="str">
        <f t="shared" si="50"/>
        <v>4Q21</v>
      </c>
      <c r="H34" s="10" t="str">
        <f t="shared" si="50"/>
        <v>6M21</v>
      </c>
      <c r="I34" s="10" t="str">
        <f t="shared" si="50"/>
        <v>9M21</v>
      </c>
      <c r="J34" s="10">
        <f t="shared" si="50"/>
        <v>2021</v>
      </c>
      <c r="K34" s="10" t="str">
        <f t="shared" si="50"/>
        <v>1Q22</v>
      </c>
      <c r="L34" s="10" t="str">
        <f t="shared" si="50"/>
        <v>2Q22</v>
      </c>
      <c r="M34" s="10" t="str">
        <f t="shared" si="50"/>
        <v>3Q22</v>
      </c>
      <c r="N34" s="10" t="str">
        <f t="shared" si="50"/>
        <v>4Q22</v>
      </c>
      <c r="O34" s="10" t="str">
        <f t="shared" si="50"/>
        <v>6M22</v>
      </c>
      <c r="P34" s="10" t="str">
        <f t="shared" si="50"/>
        <v>9M22</v>
      </c>
      <c r="Q34" s="10">
        <f t="shared" si="50"/>
        <v>2022</v>
      </c>
      <c r="R34" s="10" t="str">
        <f t="shared" si="50"/>
        <v>1Q23</v>
      </c>
      <c r="S34" s="10" t="str">
        <f t="shared" si="50"/>
        <v>2Q23</v>
      </c>
      <c r="T34" s="10" t="str">
        <f t="shared" si="50"/>
        <v>3Q23</v>
      </c>
      <c r="U34" s="10" t="str">
        <f t="shared" si="50"/>
        <v>4Q23</v>
      </c>
      <c r="V34" s="10" t="str">
        <f t="shared" si="50"/>
        <v>6M23</v>
      </c>
      <c r="W34" s="10" t="str">
        <f t="shared" si="50"/>
        <v>9M23</v>
      </c>
      <c r="X34" s="10">
        <f t="shared" si="50"/>
        <v>2023</v>
      </c>
      <c r="AA34" s="10" t="str">
        <f>AA6</f>
        <v>4Q23</v>
      </c>
      <c r="AB34" s="10" t="str">
        <f>AB6</f>
        <v>4Q22</v>
      </c>
      <c r="AC34" s="10" t="str">
        <f>AC6</f>
        <v>Var. (Vol)</v>
      </c>
      <c r="AD34" s="91" t="str">
        <f>AD6</f>
        <v>Var. (%)</v>
      </c>
    </row>
    <row r="35" spans="1:30" ht="14.45" customHeight="1" thickTop="1">
      <c r="A35" s="31">
        <v>30</v>
      </c>
      <c r="B35" s="27" t="s">
        <v>136</v>
      </c>
      <c r="D35" s="28">
        <f>D31</f>
        <v>-10.907999999999987</v>
      </c>
      <c r="E35" s="28">
        <f t="shared" ref="E35:S35" si="51">E31</f>
        <v>-115.03600000000003</v>
      </c>
      <c r="F35" s="28">
        <f t="shared" si="51"/>
        <v>75.770000000000508</v>
      </c>
      <c r="G35" s="28">
        <f t="shared" si="51"/>
        <v>-166.76300000000032</v>
      </c>
      <c r="H35" s="28">
        <f t="shared" si="51"/>
        <v>-125.94399999999999</v>
      </c>
      <c r="I35" s="28">
        <f t="shared" si="51"/>
        <v>-50.174000000000675</v>
      </c>
      <c r="J35" s="28">
        <f t="shared" si="51"/>
        <v>-216.93700000000021</v>
      </c>
      <c r="K35" s="28">
        <f t="shared" si="51"/>
        <v>36.589000000000318</v>
      </c>
      <c r="L35" s="28">
        <f t="shared" si="51"/>
        <v>-120.21399999999988</v>
      </c>
      <c r="M35" s="28">
        <f t="shared" si="51"/>
        <v>-89.145000000000124</v>
      </c>
      <c r="N35" s="28">
        <f t="shared" si="51"/>
        <v>-214.99599999999995</v>
      </c>
      <c r="O35" s="28">
        <f t="shared" si="51"/>
        <v>-83.625000000000227</v>
      </c>
      <c r="P35" s="28">
        <f t="shared" si="51"/>
        <v>-172.76999999999984</v>
      </c>
      <c r="Q35" s="28">
        <f t="shared" si="51"/>
        <v>-387.76599999999803</v>
      </c>
      <c r="R35" s="28">
        <f t="shared" si="51"/>
        <v>-167.7500000000002</v>
      </c>
      <c r="S35" s="28">
        <f t="shared" si="51"/>
        <v>-284.05800000000011</v>
      </c>
      <c r="T35" s="28">
        <f>T31</f>
        <v>-182.82300000000049</v>
      </c>
      <c r="U35" s="28">
        <f>U31</f>
        <v>-495.13900000000115</v>
      </c>
      <c r="V35" s="28">
        <f t="shared" ref="V35" si="52">V31</f>
        <v>-451.80800000000033</v>
      </c>
      <c r="W35" s="28">
        <f>W31</f>
        <v>-634.63099999999883</v>
      </c>
      <c r="X35" s="28">
        <f t="shared" ref="X35:X39" si="53">SUM(R35:U35)</f>
        <v>-1129.7700000000018</v>
      </c>
      <c r="AA35" s="28">
        <f t="shared" ref="AA35:AB40" si="54">HLOOKUP(AA$6,$D$6:$X$40,$A35,0)</f>
        <v>-495.13900000000115</v>
      </c>
      <c r="AB35" s="28">
        <f t="shared" si="54"/>
        <v>-214.99599999999995</v>
      </c>
      <c r="AC35" s="25">
        <f>0+(IFERROR(AA35-AB35,"-"))</f>
        <v>-280.14300000000117</v>
      </c>
      <c r="AD35" s="92">
        <f t="shared" ref="AD35:AD39" si="55">IFERROR(AA35/AB35-1,"-")</f>
        <v>1.3030149398128397</v>
      </c>
    </row>
    <row r="36" spans="1:30" ht="14.45" customHeight="1">
      <c r="A36" s="31">
        <v>31</v>
      </c>
      <c r="B36" s="55" t="s">
        <v>110</v>
      </c>
      <c r="D36" s="26">
        <f>D27*-1</f>
        <v>123.95999999999998</v>
      </c>
      <c r="E36" s="26">
        <f t="shared" ref="E36:S36" si="56">E27*-1</f>
        <v>50.535000000000018</v>
      </c>
      <c r="F36" s="26">
        <f t="shared" si="56"/>
        <v>116.78100000000001</v>
      </c>
      <c r="G36" s="26">
        <f t="shared" si="56"/>
        <v>171.46600000000001</v>
      </c>
      <c r="H36" s="26">
        <f t="shared" si="56"/>
        <v>174.495</v>
      </c>
      <c r="I36" s="26">
        <f t="shared" si="56"/>
        <v>291.27600000000001</v>
      </c>
      <c r="J36" s="26">
        <f t="shared" si="56"/>
        <v>462.74200000000002</v>
      </c>
      <c r="K36" s="26">
        <f t="shared" si="56"/>
        <v>254.768</v>
      </c>
      <c r="L36" s="26">
        <f t="shared" si="56"/>
        <v>374.41999999999996</v>
      </c>
      <c r="M36" s="26">
        <f t="shared" si="56"/>
        <v>422.32899999999995</v>
      </c>
      <c r="N36" s="26">
        <f t="shared" si="56"/>
        <v>543.87400000000002</v>
      </c>
      <c r="O36" s="26">
        <f t="shared" si="56"/>
        <v>629.18799999999999</v>
      </c>
      <c r="P36" s="26">
        <f t="shared" si="56"/>
        <v>1051.5170000000001</v>
      </c>
      <c r="Q36" s="26">
        <f t="shared" si="56"/>
        <v>1595.3909999999998</v>
      </c>
      <c r="R36" s="26">
        <f t="shared" si="56"/>
        <v>534.86199999999997</v>
      </c>
      <c r="S36" s="26">
        <f t="shared" si="56"/>
        <v>445.07799999999997</v>
      </c>
      <c r="T36" s="26">
        <f>T27*-1</f>
        <v>460.15100000000007</v>
      </c>
      <c r="U36" s="26">
        <f>U27*-1</f>
        <v>469.18500000000012</v>
      </c>
      <c r="V36" s="26">
        <f t="shared" ref="V36" si="57">V27*-1</f>
        <v>979.93999999999994</v>
      </c>
      <c r="W36" s="26">
        <f>W27*-1</f>
        <v>1440.0919999999999</v>
      </c>
      <c r="X36" s="26">
        <f t="shared" si="53"/>
        <v>1909.2760000000001</v>
      </c>
      <c r="AA36" s="16">
        <f t="shared" si="54"/>
        <v>469.18500000000012</v>
      </c>
      <c r="AB36" s="16">
        <f t="shared" si="54"/>
        <v>543.87400000000002</v>
      </c>
      <c r="AC36" s="16">
        <f t="shared" ref="AC36:AC39" si="58">0+(IFERROR(AA36-AB36,"-"))</f>
        <v>-74.688999999999908</v>
      </c>
      <c r="AD36" s="86">
        <f t="shared" si="55"/>
        <v>-0.137327763415791</v>
      </c>
    </row>
    <row r="37" spans="1:30" ht="14.45" customHeight="1">
      <c r="A37" s="31">
        <v>32</v>
      </c>
      <c r="B37" s="55" t="s">
        <v>111</v>
      </c>
      <c r="D37" s="26">
        <f>D30*-1</f>
        <v>-60.625</v>
      </c>
      <c r="E37" s="26">
        <f t="shared" ref="E37:S37" si="59">E30*-1</f>
        <v>-122.53700000000001</v>
      </c>
      <c r="F37" s="26">
        <f t="shared" si="59"/>
        <v>69.783000000000001</v>
      </c>
      <c r="G37" s="26">
        <f t="shared" si="59"/>
        <v>-43.910999999999987</v>
      </c>
      <c r="H37" s="26">
        <f t="shared" si="59"/>
        <v>-183.16200000000001</v>
      </c>
      <c r="I37" s="26">
        <f t="shared" si="59"/>
        <v>-113.379</v>
      </c>
      <c r="J37" s="26">
        <f t="shared" si="59"/>
        <v>-157.29</v>
      </c>
      <c r="K37" s="26">
        <f t="shared" si="59"/>
        <v>-2.9209999999999998</v>
      </c>
      <c r="L37" s="26">
        <f t="shared" si="59"/>
        <v>-26.939999999999998</v>
      </c>
      <c r="M37" s="26">
        <f t="shared" si="59"/>
        <v>-25.256</v>
      </c>
      <c r="N37" s="26">
        <f t="shared" si="59"/>
        <v>-135.91200000000001</v>
      </c>
      <c r="O37" s="26">
        <f t="shared" si="59"/>
        <v>-29.860999999999997</v>
      </c>
      <c r="P37" s="26">
        <f t="shared" si="59"/>
        <v>-55.116999999999997</v>
      </c>
      <c r="Q37" s="26">
        <f t="shared" si="59"/>
        <v>-191.029</v>
      </c>
      <c r="R37" s="26">
        <f t="shared" si="59"/>
        <v>-61.088000000000001</v>
      </c>
      <c r="S37" s="26">
        <f t="shared" si="59"/>
        <v>54.35</v>
      </c>
      <c r="T37" s="26">
        <f>T30*-1</f>
        <v>53.622</v>
      </c>
      <c r="U37" s="26">
        <f>U30*-1</f>
        <v>86.932000000000002</v>
      </c>
      <c r="V37" s="26">
        <f t="shared" ref="V37" si="60">V30*-1</f>
        <v>-6.7379999999999995</v>
      </c>
      <c r="W37" s="26">
        <f>W30*-1</f>
        <v>46.884</v>
      </c>
      <c r="X37" s="26">
        <f t="shared" si="53"/>
        <v>133.816</v>
      </c>
      <c r="AA37" s="16">
        <f t="shared" si="54"/>
        <v>86.932000000000002</v>
      </c>
      <c r="AB37" s="16">
        <f t="shared" si="54"/>
        <v>-135.91200000000001</v>
      </c>
      <c r="AC37" s="16">
        <f t="shared" si="58"/>
        <v>222.84399999999999</v>
      </c>
      <c r="AD37" s="86">
        <f t="shared" si="55"/>
        <v>-1.6396197539584438</v>
      </c>
    </row>
    <row r="38" spans="1:30" ht="14.45" customHeight="1">
      <c r="A38" s="31">
        <v>33</v>
      </c>
      <c r="B38" s="55" t="s">
        <v>112</v>
      </c>
      <c r="D38" s="26">
        <f>(D16+D23)*-1</f>
        <v>211.05099999999999</v>
      </c>
      <c r="E38" s="26">
        <f t="shared" ref="E38:S38" si="61">(E16+E23)*-1</f>
        <v>211.79300000000001</v>
      </c>
      <c r="F38" s="26">
        <f t="shared" si="61"/>
        <v>244.785</v>
      </c>
      <c r="G38" s="26">
        <f t="shared" si="61"/>
        <v>262.13200000000006</v>
      </c>
      <c r="H38" s="26">
        <f t="shared" si="61"/>
        <v>422.84399999999999</v>
      </c>
      <c r="I38" s="26">
        <f t="shared" si="61"/>
        <v>667.62900000000002</v>
      </c>
      <c r="J38" s="26">
        <f t="shared" si="61"/>
        <v>929.76100000000008</v>
      </c>
      <c r="K38" s="26">
        <f t="shared" si="61"/>
        <v>272.10000000000002</v>
      </c>
      <c r="L38" s="26">
        <f t="shared" si="61"/>
        <v>285.03200000000004</v>
      </c>
      <c r="M38" s="26">
        <f t="shared" si="61"/>
        <v>296.21600000000001</v>
      </c>
      <c r="N38" s="26">
        <f t="shared" si="61"/>
        <v>258.17499999999995</v>
      </c>
      <c r="O38" s="26">
        <f t="shared" si="61"/>
        <v>557.13200000000006</v>
      </c>
      <c r="P38" s="26">
        <f t="shared" si="61"/>
        <v>853.34799999999996</v>
      </c>
      <c r="Q38" s="26">
        <f t="shared" si="61"/>
        <v>1111.5229999999999</v>
      </c>
      <c r="R38" s="26">
        <f t="shared" si="61"/>
        <v>309.995</v>
      </c>
      <c r="S38" s="26">
        <f t="shared" si="61"/>
        <v>310.39100000000002</v>
      </c>
      <c r="T38" s="26">
        <f>(T16+T23)*-1</f>
        <v>329.82900000000001</v>
      </c>
      <c r="U38" s="26">
        <f>(U16+U23)*-1</f>
        <v>346.08899999999988</v>
      </c>
      <c r="V38" s="26">
        <f t="shared" ref="V38" si="62">(V16+V23)*-1</f>
        <v>620.38599999999997</v>
      </c>
      <c r="W38" s="26">
        <f>(W16+W23)*-1</f>
        <v>950.21500000000015</v>
      </c>
      <c r="X38" s="26">
        <f t="shared" si="53"/>
        <v>1296.3039999999999</v>
      </c>
      <c r="AA38" s="16">
        <f t="shared" si="54"/>
        <v>346.08899999999988</v>
      </c>
      <c r="AB38" s="16">
        <f t="shared" si="54"/>
        <v>258.17499999999995</v>
      </c>
      <c r="AC38" s="16">
        <f t="shared" si="58"/>
        <v>87.91399999999993</v>
      </c>
      <c r="AD38" s="86">
        <f t="shared" si="55"/>
        <v>0.34052096446208946</v>
      </c>
    </row>
    <row r="39" spans="1:30" ht="14.45" customHeight="1">
      <c r="A39" s="31">
        <v>34</v>
      </c>
      <c r="B39" s="27" t="s">
        <v>113</v>
      </c>
      <c r="D39" s="28">
        <f>SUM(D35:D38)</f>
        <v>263.47799999999995</v>
      </c>
      <c r="E39" s="28">
        <f t="shared" ref="E39:S39" si="63">SUM(E35:E38)</f>
        <v>24.754999999999995</v>
      </c>
      <c r="F39" s="28">
        <f t="shared" si="63"/>
        <v>507.11900000000048</v>
      </c>
      <c r="G39" s="28">
        <f t="shared" si="63"/>
        <v>222.92399999999975</v>
      </c>
      <c r="H39" s="28">
        <f t="shared" si="63"/>
        <v>288.233</v>
      </c>
      <c r="I39" s="28">
        <f t="shared" si="63"/>
        <v>795.35199999999941</v>
      </c>
      <c r="J39" s="28">
        <f t="shared" si="63"/>
        <v>1018.2759999999998</v>
      </c>
      <c r="K39" s="28">
        <f t="shared" si="63"/>
        <v>560.53600000000029</v>
      </c>
      <c r="L39" s="28">
        <f t="shared" si="63"/>
        <v>512.29800000000012</v>
      </c>
      <c r="M39" s="28">
        <f t="shared" si="63"/>
        <v>604.14399999999989</v>
      </c>
      <c r="N39" s="28">
        <f t="shared" si="63"/>
        <v>451.14099999999996</v>
      </c>
      <c r="O39" s="28">
        <f t="shared" si="63"/>
        <v>1072.8339999999998</v>
      </c>
      <c r="P39" s="28">
        <f t="shared" si="63"/>
        <v>1676.9780000000001</v>
      </c>
      <c r="Q39" s="28">
        <f t="shared" si="63"/>
        <v>2128.1190000000015</v>
      </c>
      <c r="R39" s="28">
        <f t="shared" si="63"/>
        <v>616.01899999999978</v>
      </c>
      <c r="S39" s="28">
        <f t="shared" si="63"/>
        <v>525.76099999999985</v>
      </c>
      <c r="T39" s="28">
        <f>SUM(T35:T38)</f>
        <v>660.77899999999954</v>
      </c>
      <c r="U39" s="28">
        <f>SUM(U35:U38)</f>
        <v>407.06699999999887</v>
      </c>
      <c r="V39" s="28">
        <f t="shared" ref="V39" si="64">SUM(V35:V38)</f>
        <v>1141.7799999999995</v>
      </c>
      <c r="W39" s="28">
        <f>SUM(W35:W38)</f>
        <v>1802.5600000000013</v>
      </c>
      <c r="X39" s="28">
        <f t="shared" si="53"/>
        <v>2209.6259999999984</v>
      </c>
      <c r="AA39" s="18">
        <f t="shared" si="54"/>
        <v>407.06699999999887</v>
      </c>
      <c r="AB39" s="18">
        <f t="shared" si="54"/>
        <v>451.14099999999996</v>
      </c>
      <c r="AC39" s="18">
        <f t="shared" si="58"/>
        <v>-44.074000000001092</v>
      </c>
      <c r="AD39" s="87">
        <f t="shared" si="55"/>
        <v>-9.769451235866633E-2</v>
      </c>
    </row>
    <row r="40" spans="1:30" ht="14.45" customHeight="1">
      <c r="A40" s="31">
        <v>35</v>
      </c>
      <c r="B40" s="27" t="s">
        <v>21</v>
      </c>
      <c r="D40" s="29">
        <f>IFERROR(D39/D11,"-")</f>
        <v>0.11086743019397316</v>
      </c>
      <c r="E40" s="29">
        <f t="shared" ref="E40:S40" si="65">IFERROR(E39/E11,"-")</f>
        <v>9.5019380038368559E-3</v>
      </c>
      <c r="F40" s="29">
        <f t="shared" si="65"/>
        <v>0.18348806757144512</v>
      </c>
      <c r="G40" s="29">
        <f t="shared" si="65"/>
        <v>8.3394341691447119E-2</v>
      </c>
      <c r="H40" s="29">
        <f t="shared" si="65"/>
        <v>5.7857525394578474E-2</v>
      </c>
      <c r="I40" s="29">
        <f t="shared" si="65"/>
        <v>0.10268511839647645</v>
      </c>
      <c r="J40" s="29">
        <f t="shared" si="65"/>
        <v>9.7735661947000146E-2</v>
      </c>
      <c r="K40" s="29">
        <f t="shared" si="65"/>
        <v>0.17872878270080275</v>
      </c>
      <c r="L40" s="29">
        <f t="shared" si="65"/>
        <v>0.15579109983228753</v>
      </c>
      <c r="M40" s="29">
        <f t="shared" si="65"/>
        <v>0.17637479702756684</v>
      </c>
      <c r="N40" s="29">
        <f t="shared" si="65"/>
        <v>0.13758711635561161</v>
      </c>
      <c r="O40" s="29">
        <f t="shared" si="65"/>
        <v>0.16698837266676242</v>
      </c>
      <c r="P40" s="29">
        <f t="shared" si="65"/>
        <v>0.17025252425267351</v>
      </c>
      <c r="Q40" s="29">
        <f t="shared" si="65"/>
        <v>0.16209432128055287</v>
      </c>
      <c r="R40" s="29">
        <f t="shared" si="65"/>
        <v>0.17430865828916797</v>
      </c>
      <c r="S40" s="29">
        <f t="shared" si="65"/>
        <v>0.14480024456476831</v>
      </c>
      <c r="T40" s="115">
        <f>IFERROR(T39/T11,"-")</f>
        <v>0.17531879690550353</v>
      </c>
      <c r="U40" s="115">
        <f>IFERROR(U39/U11,"-")</f>
        <v>0.12267664714510289</v>
      </c>
      <c r="V40" s="29">
        <f t="shared" ref="V40" si="66">IFERROR(V39/V11,"-")</f>
        <v>0.15935497647595739</v>
      </c>
      <c r="W40" s="29">
        <f>IFERROR(W39/W11,"-")</f>
        <v>0.16485787849011499</v>
      </c>
      <c r="X40" s="29">
        <f>IFERROR(X39/X11,"-")</f>
        <v>0.15503715733006077</v>
      </c>
      <c r="AA40" s="29">
        <f t="shared" si="54"/>
        <v>0.12267664714510289</v>
      </c>
      <c r="AB40" s="29">
        <f t="shared" si="54"/>
        <v>0.13758711635561161</v>
      </c>
      <c r="AC40" s="93">
        <f>IFERROR((AA40-AB40)*100,"-")</f>
        <v>-1.4910469210508717</v>
      </c>
      <c r="AD40" s="87"/>
    </row>
    <row r="41" spans="1:30" ht="14.45" customHeight="1">
      <c r="D41" s="30"/>
      <c r="E41" s="30"/>
      <c r="F41" s="30"/>
      <c r="G41" s="30"/>
      <c r="H41" s="30"/>
      <c r="I41" s="30"/>
      <c r="J41" s="30"/>
      <c r="K41" s="30"/>
      <c r="L41" s="30"/>
      <c r="M41" s="30"/>
      <c r="N41" s="30"/>
      <c r="O41" s="30"/>
      <c r="P41" s="30"/>
      <c r="Q41" s="30"/>
      <c r="R41" s="30"/>
      <c r="S41" s="30"/>
      <c r="T41" s="30"/>
      <c r="U41" s="30"/>
      <c r="V41" s="30"/>
      <c r="W41" s="30"/>
      <c r="X41" s="30"/>
    </row>
    <row r="42" spans="1:30" ht="14.45" customHeight="1">
      <c r="B42" s="150" t="s">
        <v>109</v>
      </c>
      <c r="N42" s="64"/>
      <c r="O42" s="64"/>
    </row>
    <row r="43" spans="1:30" ht="17.100000000000001" customHeight="1">
      <c r="B43" s="150"/>
      <c r="D43" s="40"/>
      <c r="E43" s="40"/>
      <c r="F43" s="62"/>
      <c r="G43" s="62"/>
      <c r="J43" s="48"/>
      <c r="M43" s="40"/>
      <c r="N43" s="64"/>
      <c r="O43" s="64"/>
      <c r="Q43" s="64"/>
      <c r="R43" s="40"/>
      <c r="S43" s="40"/>
      <c r="T43" s="40"/>
      <c r="U43" s="40"/>
      <c r="V43" s="40"/>
      <c r="W43" s="40"/>
      <c r="X43" s="40"/>
    </row>
    <row r="44" spans="1:30" ht="17.100000000000001" customHeight="1">
      <c r="B44" s="150"/>
      <c r="D44" s="40"/>
      <c r="E44" s="40"/>
      <c r="F44" s="62"/>
      <c r="G44" s="62"/>
      <c r="J44" s="48"/>
      <c r="M44" s="40"/>
      <c r="N44" s="64"/>
      <c r="O44" s="64"/>
      <c r="R44" s="40"/>
      <c r="S44" s="40"/>
      <c r="T44" s="40"/>
      <c r="U44" s="40"/>
      <c r="V44" s="40"/>
      <c r="W44" s="40"/>
      <c r="X44" s="40"/>
    </row>
    <row r="45" spans="1:30" ht="17.100000000000001" customHeight="1">
      <c r="B45" s="81"/>
      <c r="D45" s="40"/>
      <c r="E45" s="40"/>
      <c r="F45" s="62"/>
      <c r="G45" s="62"/>
      <c r="J45" s="48"/>
      <c r="M45" s="40"/>
      <c r="N45" s="64"/>
      <c r="O45" s="64"/>
      <c r="R45" s="40"/>
      <c r="S45" s="40"/>
      <c r="T45" s="40"/>
      <c r="U45" s="40"/>
      <c r="V45" s="40"/>
      <c r="W45" s="40"/>
      <c r="X45" s="40"/>
    </row>
  </sheetData>
  <mergeCells count="1">
    <mergeCell ref="B42:B44"/>
  </mergeCells>
  <pageMargins left="0.25" right="0.25" top="0.75" bottom="0.75" header="0.3" footer="0.3"/>
  <pageSetup paperSize="9" scale="47" fitToHeight="0" orientation="landscape" r:id="rId1"/>
  <ignoredErrors>
    <ignoredError sqref="D11:G12 H29:H30 O30:Q30 O29:P29 D18:G19 I29:I30 P9:P11 O9:O19 K8:N8 J9:N9 Q9:S9 R8:S8 H13:H17 H18:H19 I7 H11:H12 I6 H7 I9:I19 H9:H10 J11:N11 J10 L10:N10 J18:N19 J12 L12:N12 J13:L13 J14:L14 J15:L15 J16:L16 J17:L17 Q12:S19 Q11:R11 Q10 S10 P13:P19" formulaRange="1"/>
    <ignoredError sqref="I27:I28 O28:P28 H27:H28 D27:G27 O7 P7 P8 O20:P20 O24:P24 O21:P21 O25:P25 O22:P22 O23:P23 O8 K27:Q27 Q23 Q22 Q25 Q21 Q24 Q20:S20 J23:K23 J22 R27 J25 J26:S26 J27 J21 J24 J20:N20 Q8 H21 I25 I21 H22 I22 H23 I23 H25 H24:I24 H20:I20 D20:G20 H8 I8 J8 M25:N25 M23:N23" formula="1" formulaRange="1"/>
    <ignoredError sqref="Q7 D28 D26:I26 J28:N28 Q28:R2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B30"/>
  <sheetViews>
    <sheetView workbookViewId="0">
      <selection activeCell="B7" sqref="B7:B18"/>
    </sheetView>
  </sheetViews>
  <sheetFormatPr defaultColWidth="8.85546875" defaultRowHeight="12"/>
  <cols>
    <col min="1" max="16384" width="8.85546875" style="1"/>
  </cols>
  <sheetData>
    <row r="3" spans="2:2">
      <c r="B3" s="1">
        <v>2020</v>
      </c>
    </row>
    <row r="4" spans="2:2">
      <c r="B4" s="1">
        <v>2021</v>
      </c>
    </row>
    <row r="5" spans="2:2">
      <c r="B5" s="1">
        <v>2022</v>
      </c>
    </row>
    <row r="6" spans="2:2">
      <c r="B6" s="1">
        <v>2023</v>
      </c>
    </row>
    <row r="7" spans="2:2">
      <c r="B7" s="1" t="s">
        <v>9</v>
      </c>
    </row>
    <row r="8" spans="2:2">
      <c r="B8" s="1" t="s">
        <v>10</v>
      </c>
    </row>
    <row r="9" spans="2:2">
      <c r="B9" s="1" t="s">
        <v>59</v>
      </c>
    </row>
    <row r="10" spans="2:2">
      <c r="B10" s="1" t="s">
        <v>98</v>
      </c>
    </row>
    <row r="11" spans="2:2">
      <c r="B11" s="1" t="s">
        <v>25</v>
      </c>
    </row>
    <row r="12" spans="2:2">
      <c r="B12" s="1" t="s">
        <v>24</v>
      </c>
    </row>
    <row r="13" spans="2:2">
      <c r="B13" s="1" t="s">
        <v>60</v>
      </c>
    </row>
    <row r="14" spans="2:2">
      <c r="B14" s="1" t="s">
        <v>99</v>
      </c>
    </row>
    <row r="15" spans="2:2">
      <c r="B15" s="1" t="s">
        <v>28</v>
      </c>
    </row>
    <row r="16" spans="2:2">
      <c r="B16" s="1" t="s">
        <v>27</v>
      </c>
    </row>
    <row r="17" spans="2:2">
      <c r="B17" s="1" t="s">
        <v>61</v>
      </c>
    </row>
    <row r="18" spans="2:2">
      <c r="B18" s="1" t="s">
        <v>139</v>
      </c>
    </row>
    <row r="19" spans="2:2">
      <c r="B19" s="1" t="s">
        <v>57</v>
      </c>
    </row>
    <row r="20" spans="2:2">
      <c r="B20" s="1" t="s">
        <v>29</v>
      </c>
    </row>
    <row r="21" spans="2:2">
      <c r="B21" s="1" t="s">
        <v>71</v>
      </c>
    </row>
    <row r="22" spans="2:2">
      <c r="B22" s="1" t="s">
        <v>147</v>
      </c>
    </row>
    <row r="23" spans="2:2">
      <c r="B23" s="1" t="s">
        <v>67</v>
      </c>
    </row>
    <row r="24" spans="2:2">
      <c r="B24" s="1" t="s">
        <v>69</v>
      </c>
    </row>
    <row r="25" spans="2:2">
      <c r="B25" s="1" t="s">
        <v>72</v>
      </c>
    </row>
    <row r="26" spans="2:2">
      <c r="B26" s="1" t="s">
        <v>100</v>
      </c>
    </row>
    <row r="27" spans="2:2">
      <c r="B27" s="1" t="s">
        <v>68</v>
      </c>
    </row>
    <row r="28" spans="2:2">
      <c r="B28" s="1" t="s">
        <v>70</v>
      </c>
    </row>
    <row r="29" spans="2:2">
      <c r="B29" s="1" t="s">
        <v>73</v>
      </c>
    </row>
    <row r="30" spans="2:2">
      <c r="B30" s="1" t="s">
        <v>140</v>
      </c>
    </row>
  </sheetData>
  <pageMargins left="0.511811024" right="0.511811024" top="0.78740157499999996" bottom="0.78740157499999996" header="0.31496062000000002" footer="0.31496062000000002"/>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5117038483843"/>
    <outlinePr summaryBelow="0"/>
    <pageSetUpPr fitToPage="1"/>
  </sheetPr>
  <dimension ref="A1:AH51"/>
  <sheetViews>
    <sheetView showGridLines="0" zoomScale="85" zoomScaleNormal="85" workbookViewId="0">
      <pane xSplit="3" ySplit="6" topLeftCell="J7" activePane="bottomRight" state="frozen"/>
      <selection pane="topRight" activeCell="D1" sqref="D1"/>
      <selection pane="bottomLeft" activeCell="A7" sqref="A7"/>
      <selection pane="bottomRight" activeCell="AC16" sqref="AC16"/>
    </sheetView>
  </sheetViews>
  <sheetFormatPr defaultColWidth="10.7109375" defaultRowHeight="17.100000000000001" customHeight="1" outlineLevelRow="1" outlineLevelCol="2"/>
  <cols>
    <col min="1" max="1" width="2" style="47" customWidth="1"/>
    <col min="2" max="2" width="63.5703125" style="8" customWidth="1"/>
    <col min="3" max="3" width="1.7109375" customWidth="1"/>
    <col min="4" max="7" width="16.28515625" style="8" hidden="1" customWidth="1" outlineLevel="1"/>
    <col min="8" max="9" width="16.28515625" style="8" hidden="1" customWidth="1" outlineLevel="2"/>
    <col min="10" max="10" width="16.28515625" style="8" customWidth="1" collapsed="1"/>
    <col min="11" max="14" width="16.85546875" style="8" hidden="1" customWidth="1" outlineLevel="1"/>
    <col min="15" max="16" width="16.85546875" style="8" hidden="1" customWidth="1" outlineLevel="2"/>
    <col min="17" max="17" width="16.85546875" style="8" customWidth="1" collapsed="1"/>
    <col min="18" max="23" width="16.85546875" style="8" hidden="1" customWidth="1" outlineLevel="1"/>
    <col min="24" max="24" width="16.85546875" style="8" customWidth="1" collapsed="1"/>
    <col min="25" max="25" width="4.28515625" customWidth="1"/>
    <col min="26" max="26" width="2.28515625" customWidth="1"/>
    <col min="27" max="28" width="12.42578125" style="8" customWidth="1" collapsed="1"/>
    <col min="29" max="29" width="10.85546875" style="8" customWidth="1" collapsed="1"/>
    <col min="30" max="30" width="9.5703125" style="8" customWidth="1" collapsed="1"/>
  </cols>
  <sheetData>
    <row r="1" spans="1:30" ht="11.25" customHeight="1"/>
    <row r="2" spans="1:30" ht="15"/>
    <row r="3" spans="1:30" ht="15">
      <c r="D3" s="1"/>
      <c r="E3" s="1"/>
      <c r="F3" s="1"/>
      <c r="G3" s="1"/>
      <c r="H3" s="1"/>
      <c r="I3" s="1"/>
      <c r="J3" s="1"/>
      <c r="K3" s="1"/>
      <c r="M3" s="1"/>
      <c r="N3" s="1"/>
      <c r="O3" s="1"/>
      <c r="P3" s="1"/>
      <c r="Q3" s="1"/>
      <c r="R3" s="1"/>
      <c r="S3" s="1"/>
      <c r="T3" s="1"/>
      <c r="U3" s="1"/>
      <c r="V3" s="1"/>
      <c r="W3" s="1"/>
      <c r="X3" s="1"/>
      <c r="AA3" s="1" t="s">
        <v>151</v>
      </c>
      <c r="AB3" s="1"/>
      <c r="AC3" s="1"/>
      <c r="AD3" s="1"/>
    </row>
    <row r="4" spans="1:30" ht="15">
      <c r="D4" s="40"/>
      <c r="E4" s="40"/>
      <c r="F4" s="40"/>
      <c r="G4" s="40"/>
      <c r="H4" s="40"/>
      <c r="I4" s="40"/>
      <c r="J4" s="40"/>
      <c r="K4" s="40"/>
      <c r="L4" s="40"/>
      <c r="M4" s="40"/>
      <c r="N4" s="40"/>
      <c r="O4" s="40"/>
      <c r="P4" s="40"/>
      <c r="Q4" s="40"/>
      <c r="R4" s="40"/>
      <c r="S4" s="40"/>
      <c r="T4" s="40"/>
      <c r="W4" s="40"/>
      <c r="X4" s="39"/>
    </row>
    <row r="5" spans="1:30" ht="15">
      <c r="D5" s="34"/>
      <c r="E5" s="34"/>
      <c r="F5" s="34"/>
      <c r="G5" s="34"/>
      <c r="K5" s="34"/>
      <c r="L5" s="34"/>
      <c r="M5" s="34"/>
      <c r="N5" s="34"/>
      <c r="O5" s="34"/>
      <c r="P5" s="34"/>
      <c r="Q5" s="34"/>
      <c r="R5" s="34"/>
      <c r="S5" s="34"/>
      <c r="T5" s="34"/>
      <c r="U5" s="34"/>
      <c r="V5" s="34"/>
      <c r="W5" s="34"/>
      <c r="X5" s="34"/>
    </row>
    <row r="6" spans="1:30" ht="14.45" customHeight="1" thickBot="1">
      <c r="B6" s="9" t="s">
        <v>158</v>
      </c>
      <c r="D6" s="10" t="s">
        <v>250</v>
      </c>
      <c r="E6" s="10" t="s">
        <v>251</v>
      </c>
      <c r="F6" s="10" t="s">
        <v>252</v>
      </c>
      <c r="G6" s="10" t="s">
        <v>253</v>
      </c>
      <c r="H6" s="10" t="s">
        <v>254</v>
      </c>
      <c r="I6" s="10" t="s">
        <v>70</v>
      </c>
      <c r="J6" s="10">
        <v>2021</v>
      </c>
      <c r="K6" s="10" t="s">
        <v>179</v>
      </c>
      <c r="L6" s="10" t="s">
        <v>180</v>
      </c>
      <c r="M6" s="10" t="s">
        <v>181</v>
      </c>
      <c r="N6" s="10" t="s">
        <v>182</v>
      </c>
      <c r="O6" s="125" t="s">
        <v>255</v>
      </c>
      <c r="P6" s="10" t="s">
        <v>184</v>
      </c>
      <c r="Q6" s="10">
        <v>2022</v>
      </c>
      <c r="R6" s="10" t="s">
        <v>185</v>
      </c>
      <c r="S6" s="10" t="s">
        <v>186</v>
      </c>
      <c r="T6" s="10" t="s">
        <v>187</v>
      </c>
      <c r="U6" s="10" t="s">
        <v>188</v>
      </c>
      <c r="V6" s="125" t="s">
        <v>256</v>
      </c>
      <c r="W6" s="10" t="s">
        <v>190</v>
      </c>
      <c r="X6" s="10">
        <v>2023</v>
      </c>
      <c r="AA6" s="149" t="s">
        <v>268</v>
      </c>
      <c r="AB6" s="149" t="s">
        <v>261</v>
      </c>
      <c r="AC6" s="10" t="s">
        <v>152</v>
      </c>
      <c r="AD6" s="10" t="s">
        <v>153</v>
      </c>
    </row>
    <row r="7" spans="1:30" ht="14.45" customHeight="1" thickTop="1">
      <c r="A7" s="31">
        <v>2</v>
      </c>
      <c r="B7" s="11" t="s">
        <v>74</v>
      </c>
      <c r="D7" s="12">
        <f>'4'!D7+'3'!D7</f>
        <v>2569.4343130186003</v>
      </c>
      <c r="E7" s="12">
        <f>'4'!E7+'3'!E7</f>
        <v>2825.1283873599996</v>
      </c>
      <c r="F7" s="12">
        <f>'4'!F7+'3'!F7</f>
        <v>2942.9502309700001</v>
      </c>
      <c r="G7" s="12">
        <f>'4'!G7+'3'!G7</f>
        <v>2902.4848310499997</v>
      </c>
      <c r="H7" s="12">
        <f>SUM(D7:E7)</f>
        <v>5394.5627003785994</v>
      </c>
      <c r="I7" s="12">
        <f t="shared" ref="I7:I27" si="0">SUM(D7:F7)</f>
        <v>8337.5129313485995</v>
      </c>
      <c r="J7" s="12">
        <f>SUM(D7:G7)</f>
        <v>11239.9977623986</v>
      </c>
      <c r="K7" s="12">
        <f>'4'!K7+'3'!K7</f>
        <v>3381.9168325599999</v>
      </c>
      <c r="L7" s="12">
        <f>'4'!L7+'3'!L7</f>
        <v>3523.0604160699995</v>
      </c>
      <c r="M7" s="12">
        <f>'4'!M7+'3'!M7</f>
        <v>3700.1956602</v>
      </c>
      <c r="N7" s="12">
        <f>'4'!N7+'3'!N7</f>
        <v>3521.3346276400007</v>
      </c>
      <c r="O7" s="12">
        <f>SUM(K7:L7)</f>
        <v>6904.9772486299989</v>
      </c>
      <c r="P7" s="12">
        <f t="shared" ref="P7:P17" si="1">SUM(K7:M7)</f>
        <v>10605.172908829998</v>
      </c>
      <c r="Q7" s="12">
        <f>SUM(K7:N7)</f>
        <v>14126.507536469999</v>
      </c>
      <c r="R7" s="12">
        <f>'4'!R7+'3'!R7</f>
        <v>3799.1970214799994</v>
      </c>
      <c r="S7" s="12">
        <f>'4'!S7+'3'!S7</f>
        <v>3920.0420000000004</v>
      </c>
      <c r="T7" s="12">
        <f>'4'!T7+'3'!T7</f>
        <v>4060.9938646199998</v>
      </c>
      <c r="U7" s="128">
        <v>3777.021999999999</v>
      </c>
      <c r="V7" s="12">
        <f>SUM(R7:S7)</f>
        <v>7719.2390214799998</v>
      </c>
      <c r="W7" s="12">
        <f t="shared" ref="W7:W17" si="2">SUM(R7:T7)</f>
        <v>11780.232886099999</v>
      </c>
      <c r="X7" s="12">
        <f>SUM(R7:U7)</f>
        <v>15557.254886099998</v>
      </c>
      <c r="AA7" s="12">
        <f>HLOOKUP(AA$6,$D$6:$X$41,$A7,0)</f>
        <v>3777.021999999999</v>
      </c>
      <c r="AB7" s="12">
        <f>HLOOKUP(AB$6,$D$6:$X$41,$A7,0)</f>
        <v>3521.3346276400007</v>
      </c>
      <c r="AC7" s="12">
        <f>IFERROR(AA7-AB7,"-")</f>
        <v>255.68737235999834</v>
      </c>
      <c r="AD7" s="84">
        <f>IFERROR(AA7/AB7-1,"-")</f>
        <v>7.2610927218626831E-2</v>
      </c>
    </row>
    <row r="8" spans="1:30" ht="14.45" customHeight="1">
      <c r="A8" s="31">
        <v>3</v>
      </c>
      <c r="B8" s="13" t="s">
        <v>26</v>
      </c>
      <c r="D8" s="14">
        <f t="shared" ref="D8" si="3">SUM(D9:D10)</f>
        <v>-196.61877771423116</v>
      </c>
      <c r="E8" s="14">
        <f t="shared" ref="E8" si="4">SUM(E9:E10)</f>
        <v>-221.89506053004678</v>
      </c>
      <c r="F8" s="14">
        <f t="shared" ref="F8" si="5">SUM(F9:F10)</f>
        <v>-221.74422954000005</v>
      </c>
      <c r="G8" s="14">
        <f t="shared" ref="G8" si="6">SUM(G9:G10)</f>
        <v>-229.35337549999986</v>
      </c>
      <c r="H8" s="14">
        <f t="shared" ref="H8:H17" si="7">SUM(D8:E8)</f>
        <v>-418.51383824427796</v>
      </c>
      <c r="I8" s="14">
        <f t="shared" si="0"/>
        <v>-640.25806778427796</v>
      </c>
      <c r="J8" s="14">
        <f t="shared" ref="J8:J17" si="8">SUM(D8:G8)</f>
        <v>-869.61144328427781</v>
      </c>
      <c r="K8" s="14">
        <f t="shared" ref="K8" si="9">SUM(K9:K10)</f>
        <v>-245.67780729000006</v>
      </c>
      <c r="L8" s="14">
        <f t="shared" ref="L8" si="10">SUM(L9:L10)</f>
        <v>-234.69847001000005</v>
      </c>
      <c r="M8" s="14">
        <f t="shared" ref="M8" si="11">SUM(M9:M10)</f>
        <v>-274.84570296000004</v>
      </c>
      <c r="N8" s="14">
        <f t="shared" ref="N8" si="12">SUM(N9:N10)</f>
        <v>-242.39051520999999</v>
      </c>
      <c r="O8" s="14">
        <f t="shared" ref="O8:O17" si="13">SUM(K8:L8)</f>
        <v>-480.37627730000008</v>
      </c>
      <c r="P8" s="14">
        <f t="shared" si="1"/>
        <v>-755.22198026000012</v>
      </c>
      <c r="Q8" s="14">
        <f t="shared" ref="Q8:Q17" si="14">SUM(K8:N8)</f>
        <v>-997.61249547000011</v>
      </c>
      <c r="R8" s="14">
        <f t="shared" ref="R8:T8" si="15">SUM(R9:R10)</f>
        <v>-265.12592375999998</v>
      </c>
      <c r="S8" s="14">
        <f t="shared" si="15"/>
        <v>-289.10199999999998</v>
      </c>
      <c r="T8" s="14">
        <f t="shared" si="15"/>
        <v>-291.98200000000003</v>
      </c>
      <c r="U8" s="133">
        <v>-458.81099999999998</v>
      </c>
      <c r="V8" s="14">
        <f t="shared" ref="V8:V17" si="16">SUM(R8:S8)</f>
        <v>-554.22792375999995</v>
      </c>
      <c r="W8" s="14">
        <f t="shared" si="2"/>
        <v>-846.20992376000004</v>
      </c>
      <c r="X8" s="14">
        <f t="shared" ref="X8:X17" si="17">SUM(R8:U8)</f>
        <v>-1305.02092376</v>
      </c>
      <c r="AA8" s="14">
        <f t="shared" ref="AA8:AB22" si="18">HLOOKUP(AA$6,$D$6:$X$41,$A8,0)</f>
        <v>-458.81099999999998</v>
      </c>
      <c r="AB8" s="14">
        <f t="shared" si="18"/>
        <v>-242.39051520999999</v>
      </c>
      <c r="AC8" s="14">
        <f t="shared" ref="AC8:AC17" si="19">IFERROR(AA8-AB8,"-")</f>
        <v>-216.42048478999999</v>
      </c>
      <c r="AD8" s="85">
        <f t="shared" ref="AD8:AD17" si="20">IFERROR(AA8/AB8-1,"-")</f>
        <v>0.89285871851256093</v>
      </c>
    </row>
    <row r="9" spans="1:30" ht="14.45" customHeight="1">
      <c r="A9" s="31">
        <v>4</v>
      </c>
      <c r="B9" s="15" t="s">
        <v>31</v>
      </c>
      <c r="D9" s="16">
        <v>-148.92911396939999</v>
      </c>
      <c r="E9" s="16">
        <v>-163.01016453999998</v>
      </c>
      <c r="F9" s="16">
        <v>-171.71158575000004</v>
      </c>
      <c r="G9" s="16">
        <v>-170.37902638999989</v>
      </c>
      <c r="H9" s="16">
        <f t="shared" si="7"/>
        <v>-311.93927850939997</v>
      </c>
      <c r="I9" s="16">
        <f t="shared" si="0"/>
        <v>-483.65086425940001</v>
      </c>
      <c r="J9" s="16">
        <f t="shared" si="8"/>
        <v>-654.02989064939993</v>
      </c>
      <c r="K9" s="16">
        <v>-208.62136785000007</v>
      </c>
      <c r="L9" s="16">
        <v>-207.13291793000005</v>
      </c>
      <c r="M9" s="16">
        <v>-224.21804392000001</v>
      </c>
      <c r="N9" s="16">
        <v>-211.33140277999999</v>
      </c>
      <c r="O9" s="16">
        <f t="shared" si="13"/>
        <v>-415.75428578000015</v>
      </c>
      <c r="P9" s="16">
        <f t="shared" si="1"/>
        <v>-639.97232970000016</v>
      </c>
      <c r="Q9" s="16">
        <f t="shared" si="14"/>
        <v>-851.30373248000012</v>
      </c>
      <c r="R9" s="16">
        <v>-227.18998980999999</v>
      </c>
      <c r="S9" s="16">
        <v>-238.37899999999999</v>
      </c>
      <c r="T9" s="16">
        <f>'1'!T9</f>
        <v>-241.56200000000001</v>
      </c>
      <c r="U9" s="134">
        <v>-233.40899999999999</v>
      </c>
      <c r="V9" s="16">
        <f t="shared" si="16"/>
        <v>-465.56898980999995</v>
      </c>
      <c r="W9" s="16">
        <f t="shared" si="2"/>
        <v>-707.13098980999996</v>
      </c>
      <c r="X9" s="16">
        <f t="shared" si="17"/>
        <v>-940.53998980999995</v>
      </c>
      <c r="AA9" s="16">
        <f t="shared" si="18"/>
        <v>-233.40899999999999</v>
      </c>
      <c r="AB9" s="16">
        <f t="shared" si="18"/>
        <v>-211.33140277999999</v>
      </c>
      <c r="AC9" s="16">
        <f t="shared" si="19"/>
        <v>-22.077597220000001</v>
      </c>
      <c r="AD9" s="86">
        <f t="shared" si="20"/>
        <v>0.10446907998326771</v>
      </c>
    </row>
    <row r="10" spans="1:30" ht="14.45" customHeight="1">
      <c r="A10" s="31">
        <v>5</v>
      </c>
      <c r="B10" s="15" t="s">
        <v>30</v>
      </c>
      <c r="D10" s="16">
        <v>-47.689663744831172</v>
      </c>
      <c r="E10" s="16">
        <v>-58.8848959900468</v>
      </c>
      <c r="F10" s="16">
        <v>-50.032643790000016</v>
      </c>
      <c r="G10" s="16">
        <v>-58.974349109999963</v>
      </c>
      <c r="H10" s="16">
        <f t="shared" si="7"/>
        <v>-106.57455973487797</v>
      </c>
      <c r="I10" s="16">
        <f t="shared" si="0"/>
        <v>-156.60720352487797</v>
      </c>
      <c r="J10" s="16">
        <f t="shared" si="8"/>
        <v>-215.58155263487794</v>
      </c>
      <c r="K10" s="16">
        <v>-37.056439439999991</v>
      </c>
      <c r="L10" s="16">
        <v>-27.56555208</v>
      </c>
      <c r="M10" s="16">
        <v>-50.627659040000012</v>
      </c>
      <c r="N10" s="16">
        <v>-31.05911243000001</v>
      </c>
      <c r="O10" s="16">
        <f t="shared" si="13"/>
        <v>-64.621991519999995</v>
      </c>
      <c r="P10" s="16">
        <f t="shared" si="1"/>
        <v>-115.24965056000001</v>
      </c>
      <c r="Q10" s="16">
        <f t="shared" si="14"/>
        <v>-146.30876299000002</v>
      </c>
      <c r="R10" s="16">
        <v>-37.935933950000006</v>
      </c>
      <c r="S10" s="16">
        <v>-50.722999999999999</v>
      </c>
      <c r="T10" s="16">
        <f>'1'!T10</f>
        <v>-50.42</v>
      </c>
      <c r="U10" s="134">
        <v>-225.40199999999999</v>
      </c>
      <c r="V10" s="16">
        <f t="shared" si="16"/>
        <v>-88.658933950000005</v>
      </c>
      <c r="W10" s="16">
        <f t="shared" si="2"/>
        <v>-139.07893395000002</v>
      </c>
      <c r="X10" s="16">
        <f t="shared" si="17"/>
        <v>-364.48093395000001</v>
      </c>
      <c r="AA10" s="16">
        <f t="shared" si="18"/>
        <v>-225.40199999999999</v>
      </c>
      <c r="AB10" s="16">
        <f t="shared" si="18"/>
        <v>-31.05911243000001</v>
      </c>
      <c r="AC10" s="16">
        <f t="shared" si="19"/>
        <v>-194.34288756999999</v>
      </c>
      <c r="AD10" s="86">
        <f t="shared" si="20"/>
        <v>6.2571938592258061</v>
      </c>
    </row>
    <row r="11" spans="1:30" ht="14.45" customHeight="1">
      <c r="A11" s="31">
        <v>6</v>
      </c>
      <c r="B11" s="17" t="s">
        <v>23</v>
      </c>
      <c r="D11" s="18">
        <f t="shared" ref="D11:N11" si="21">D7+D8</f>
        <v>2372.815535304369</v>
      </c>
      <c r="E11" s="18">
        <f t="shared" ref="E11:G11" si="22">E7+E8</f>
        <v>2603.2333268299526</v>
      </c>
      <c r="F11" s="18">
        <f t="shared" si="22"/>
        <v>2721.20600143</v>
      </c>
      <c r="G11" s="18">
        <f t="shared" si="22"/>
        <v>2673.1314555499998</v>
      </c>
      <c r="H11" s="18">
        <f t="shared" si="7"/>
        <v>4976.0488621343211</v>
      </c>
      <c r="I11" s="18">
        <f t="shared" si="0"/>
        <v>7697.2548635643216</v>
      </c>
      <c r="J11" s="18">
        <f t="shared" si="8"/>
        <v>10370.386319114321</v>
      </c>
      <c r="K11" s="18">
        <f t="shared" ref="K11:M11" si="23">K7+K8</f>
        <v>3136.2390252699997</v>
      </c>
      <c r="L11" s="18">
        <f t="shared" si="23"/>
        <v>3288.3619460599994</v>
      </c>
      <c r="M11" s="18">
        <f t="shared" si="23"/>
        <v>3425.3499572400001</v>
      </c>
      <c r="N11" s="18">
        <f t="shared" si="21"/>
        <v>3278.9441124300006</v>
      </c>
      <c r="O11" s="18">
        <f t="shared" si="13"/>
        <v>6424.6009713299991</v>
      </c>
      <c r="P11" s="18">
        <f t="shared" si="1"/>
        <v>9849.9509285699987</v>
      </c>
      <c r="Q11" s="18">
        <f t="shared" si="14"/>
        <v>13128.895041</v>
      </c>
      <c r="R11" s="18">
        <f t="shared" ref="R11:U11" si="24">R7+R8</f>
        <v>3534.0710977199997</v>
      </c>
      <c r="S11" s="18">
        <f t="shared" si="24"/>
        <v>3630.9400000000005</v>
      </c>
      <c r="T11" s="18">
        <f t="shared" si="24"/>
        <v>3769.0118646199999</v>
      </c>
      <c r="U11" s="131">
        <f t="shared" si="24"/>
        <v>3318.2109999999989</v>
      </c>
      <c r="V11" s="18">
        <f t="shared" si="16"/>
        <v>7165.0110977200002</v>
      </c>
      <c r="W11" s="18">
        <f t="shared" si="2"/>
        <v>10934.022962340001</v>
      </c>
      <c r="X11" s="18">
        <f t="shared" si="17"/>
        <v>14252.23396234</v>
      </c>
      <c r="AA11" s="18">
        <f t="shared" si="18"/>
        <v>3318.2109999999989</v>
      </c>
      <c r="AB11" s="18">
        <f t="shared" si="18"/>
        <v>3278.9441124300006</v>
      </c>
      <c r="AC11" s="18">
        <f t="shared" si="19"/>
        <v>39.266887569998289</v>
      </c>
      <c r="AD11" s="87">
        <f t="shared" si="20"/>
        <v>1.197546716979514E-2</v>
      </c>
    </row>
    <row r="12" spans="1:30" ht="14.45" customHeight="1">
      <c r="A12" s="31">
        <v>7</v>
      </c>
      <c r="B12" s="13" t="s">
        <v>146</v>
      </c>
      <c r="D12" s="14">
        <f>SUM(D13:D16)</f>
        <v>-1593.5923421129391</v>
      </c>
      <c r="E12" s="14">
        <f>SUM(E13:E16)</f>
        <v>-1703.1707974619026</v>
      </c>
      <c r="F12" s="14">
        <f>SUM(F13:F16)</f>
        <v>-1800.900619682104</v>
      </c>
      <c r="G12" s="14">
        <f>SUM(G13:G16)</f>
        <v>-1972.7032796169087</v>
      </c>
      <c r="H12" s="14">
        <f t="shared" si="7"/>
        <v>-3296.7631395748417</v>
      </c>
      <c r="I12" s="14">
        <f t="shared" si="0"/>
        <v>-5097.6637592569459</v>
      </c>
      <c r="J12" s="14">
        <f t="shared" si="8"/>
        <v>-7070.3670388738547</v>
      </c>
      <c r="K12" s="14">
        <f>SUM(K13:K16)</f>
        <v>-2120.0296925590469</v>
      </c>
      <c r="L12" s="14">
        <f>SUM(L13:L16)</f>
        <v>-2265.804800792188</v>
      </c>
      <c r="M12" s="14">
        <f>SUM(M13:M16)</f>
        <v>-2301.2532514738391</v>
      </c>
      <c r="N12" s="14">
        <f>SUM(N13:N16)</f>
        <v>-2353.9382090178551</v>
      </c>
      <c r="O12" s="14">
        <f t="shared" si="13"/>
        <v>-4385.8344933512344</v>
      </c>
      <c r="P12" s="14">
        <f t="shared" si="1"/>
        <v>-6687.087744825074</v>
      </c>
      <c r="Q12" s="14">
        <f t="shared" si="14"/>
        <v>-9041.0259538429291</v>
      </c>
      <c r="R12" s="14">
        <f>SUM(R13:R16)</f>
        <v>-2428.4069812248363</v>
      </c>
      <c r="S12" s="14">
        <f>SUM(S13:S16)</f>
        <v>-2568.9149366369488</v>
      </c>
      <c r="T12" s="14">
        <f>SUM(T13:T16)</f>
        <v>-2590.9107420931773</v>
      </c>
      <c r="U12" s="133">
        <f>SUM(U13:U16)</f>
        <v>-2618.4706221515326</v>
      </c>
      <c r="V12" s="14">
        <f t="shared" si="16"/>
        <v>-4997.3219178617856</v>
      </c>
      <c r="W12" s="14">
        <f t="shared" si="2"/>
        <v>-7588.2326599549633</v>
      </c>
      <c r="X12" s="14">
        <f t="shared" si="17"/>
        <v>-10206.703282106497</v>
      </c>
      <c r="AA12" s="14">
        <f t="shared" si="18"/>
        <v>-2618.4706221515326</v>
      </c>
      <c r="AB12" s="14">
        <f t="shared" si="18"/>
        <v>-2353.9382090178551</v>
      </c>
      <c r="AC12" s="14">
        <f t="shared" si="19"/>
        <v>-264.53241313367744</v>
      </c>
      <c r="AD12" s="85">
        <f t="shared" si="20"/>
        <v>0.11237865638115019</v>
      </c>
    </row>
    <row r="13" spans="1:30" ht="14.45" customHeight="1">
      <c r="A13" s="31">
        <v>8</v>
      </c>
      <c r="B13" s="15" t="s">
        <v>6</v>
      </c>
      <c r="D13" s="16">
        <v>-478.38041564370008</v>
      </c>
      <c r="E13" s="16">
        <v>-547.01995809441951</v>
      </c>
      <c r="F13" s="16">
        <v>-552.41146463788232</v>
      </c>
      <c r="G13" s="16">
        <v>-627.036772175029</v>
      </c>
      <c r="H13" s="16">
        <f t="shared" si="7"/>
        <v>-1025.4003737381195</v>
      </c>
      <c r="I13" s="16">
        <f t="shared" si="0"/>
        <v>-1577.8118383760018</v>
      </c>
      <c r="J13" s="16">
        <f t="shared" si="8"/>
        <v>-2204.848610551031</v>
      </c>
      <c r="K13" s="16">
        <v>-651.81634664148385</v>
      </c>
      <c r="L13" s="16">
        <f>-725.9+47</f>
        <v>-678.9</v>
      </c>
      <c r="M13" s="16">
        <v>-722.04017258568831</v>
      </c>
      <c r="N13" s="16">
        <v>-714.4833507925</v>
      </c>
      <c r="O13" s="16">
        <f t="shared" si="13"/>
        <v>-1330.7163466414838</v>
      </c>
      <c r="P13" s="16">
        <f t="shared" si="1"/>
        <v>-2052.7565192271722</v>
      </c>
      <c r="Q13" s="16">
        <f t="shared" si="14"/>
        <v>-2767.2398700196723</v>
      </c>
      <c r="R13" s="16">
        <v>-744.90367005976304</v>
      </c>
      <c r="S13" s="16">
        <v>-803.91298099111043</v>
      </c>
      <c r="T13" s="16">
        <v>-765.70361536317716</v>
      </c>
      <c r="U13" s="134">
        <v>-787.58745451563425</v>
      </c>
      <c r="V13" s="16">
        <f t="shared" si="16"/>
        <v>-1548.8166510508736</v>
      </c>
      <c r="W13" s="16">
        <f t="shared" si="2"/>
        <v>-2314.5202664140506</v>
      </c>
      <c r="X13" s="16">
        <f t="shared" si="17"/>
        <v>-3102.107720929685</v>
      </c>
      <c r="AA13" s="16">
        <f t="shared" si="18"/>
        <v>-787.58745451563425</v>
      </c>
      <c r="AB13" s="16">
        <f t="shared" si="18"/>
        <v>-714.4833507925</v>
      </c>
      <c r="AC13" s="16">
        <f t="shared" si="19"/>
        <v>-73.104103723134244</v>
      </c>
      <c r="AD13" s="86">
        <f t="shared" si="20"/>
        <v>0.10231743488780753</v>
      </c>
    </row>
    <row r="14" spans="1:30" ht="14.45" customHeight="1">
      <c r="A14" s="31">
        <v>9</v>
      </c>
      <c r="B14" s="15" t="s">
        <v>32</v>
      </c>
      <c r="D14" s="16">
        <v>-489.77863922600011</v>
      </c>
      <c r="E14" s="16">
        <v>-540.49248993782453</v>
      </c>
      <c r="F14" s="16">
        <v>-569.23128942399478</v>
      </c>
      <c r="G14" s="16">
        <v>-673.10179155816195</v>
      </c>
      <c r="H14" s="16">
        <f t="shared" si="7"/>
        <v>-1030.2711291638248</v>
      </c>
      <c r="I14" s="16">
        <f t="shared" si="0"/>
        <v>-1599.5024185878196</v>
      </c>
      <c r="J14" s="16">
        <f t="shared" si="8"/>
        <v>-2272.6042101459816</v>
      </c>
      <c r="K14" s="16">
        <v>-675.83374002822075</v>
      </c>
      <c r="L14" s="16">
        <v>-735.06421972751878</v>
      </c>
      <c r="M14" s="16">
        <v>-737.16684670000006</v>
      </c>
      <c r="N14" s="16">
        <v>-737.90350521999994</v>
      </c>
      <c r="O14" s="16">
        <f t="shared" si="13"/>
        <v>-1410.8979597557395</v>
      </c>
      <c r="P14" s="16">
        <f t="shared" si="1"/>
        <v>-2148.0648064557395</v>
      </c>
      <c r="Q14" s="16">
        <f t="shared" si="14"/>
        <v>-2885.9683116757396</v>
      </c>
      <c r="R14" s="16">
        <v>-777.29389627999967</v>
      </c>
      <c r="S14" s="16">
        <v>-824.93393035999998</v>
      </c>
      <c r="T14" s="16">
        <v>-866.09071999999992</v>
      </c>
      <c r="U14" s="134">
        <v>-910.635281069999</v>
      </c>
      <c r="V14" s="16">
        <f t="shared" si="16"/>
        <v>-1602.2278266399996</v>
      </c>
      <c r="W14" s="16">
        <f t="shared" si="2"/>
        <v>-2468.3185466399996</v>
      </c>
      <c r="X14" s="16">
        <f t="shared" si="17"/>
        <v>-3378.9538277099987</v>
      </c>
      <c r="AA14" s="16">
        <f t="shared" si="18"/>
        <v>-910.635281069999</v>
      </c>
      <c r="AB14" s="16">
        <f t="shared" si="18"/>
        <v>-737.90350521999994</v>
      </c>
      <c r="AC14" s="16">
        <f t="shared" si="19"/>
        <v>-172.73177584999905</v>
      </c>
      <c r="AD14" s="86">
        <f t="shared" si="20"/>
        <v>0.23408450377058521</v>
      </c>
    </row>
    <row r="15" spans="1:30" ht="14.45" customHeight="1">
      <c r="A15" s="31">
        <v>10</v>
      </c>
      <c r="B15" s="15" t="s">
        <v>106</v>
      </c>
      <c r="D15" s="16">
        <v>-572.64049251323888</v>
      </c>
      <c r="E15" s="16">
        <v>-552.39203013965857</v>
      </c>
      <c r="F15" s="16">
        <v>-603.58050803022695</v>
      </c>
      <c r="G15" s="16">
        <v>-598.5302902637178</v>
      </c>
      <c r="H15" s="16">
        <f t="shared" si="7"/>
        <v>-1125.0325226528976</v>
      </c>
      <c r="I15" s="16">
        <f t="shared" si="0"/>
        <v>-1728.6130306831246</v>
      </c>
      <c r="J15" s="16">
        <f t="shared" si="8"/>
        <v>-2327.1433209468423</v>
      </c>
      <c r="K15" s="16">
        <v>-721.31136572934201</v>
      </c>
      <c r="L15" s="16">
        <v>-774.59882305466908</v>
      </c>
      <c r="M15" s="16">
        <v>-770.1588683381508</v>
      </c>
      <c r="N15" s="16">
        <v>-818.05872868535494</v>
      </c>
      <c r="O15" s="16">
        <f t="shared" si="13"/>
        <v>-1495.9101887840111</v>
      </c>
      <c r="P15" s="16">
        <f t="shared" si="1"/>
        <v>-2266.0690571221621</v>
      </c>
      <c r="Q15" s="16">
        <f t="shared" si="14"/>
        <v>-3084.1277858075173</v>
      </c>
      <c r="R15" s="16">
        <v>-817.99055442507358</v>
      </c>
      <c r="S15" s="16">
        <v>-854.6922139258379</v>
      </c>
      <c r="T15" s="16">
        <v>-871.81458771000007</v>
      </c>
      <c r="U15" s="134">
        <v>-842.96022040589878</v>
      </c>
      <c r="V15" s="16">
        <f t="shared" si="16"/>
        <v>-1672.6827683509114</v>
      </c>
      <c r="W15" s="16">
        <f t="shared" si="2"/>
        <v>-2544.4973560609114</v>
      </c>
      <c r="X15" s="16">
        <f t="shared" si="17"/>
        <v>-3387.4575764668102</v>
      </c>
      <c r="AA15" s="16">
        <f t="shared" si="18"/>
        <v>-842.96022040589878</v>
      </c>
      <c r="AB15" s="16">
        <f t="shared" si="18"/>
        <v>-818.05872868535494</v>
      </c>
      <c r="AC15" s="16">
        <f t="shared" si="19"/>
        <v>-24.901491720543845</v>
      </c>
      <c r="AD15" s="86">
        <f t="shared" si="20"/>
        <v>3.0439735983945004E-2</v>
      </c>
    </row>
    <row r="16" spans="1:30" ht="14.45" customHeight="1">
      <c r="A16" s="31">
        <v>11</v>
      </c>
      <c r="B16" s="15" t="s">
        <v>104</v>
      </c>
      <c r="D16" s="16">
        <v>-52.792794729999997</v>
      </c>
      <c r="E16" s="16">
        <v>-63.266319289999984</v>
      </c>
      <c r="F16" s="16">
        <v>-75.677357589999986</v>
      </c>
      <c r="G16" s="16">
        <v>-74.03442562000005</v>
      </c>
      <c r="H16" s="16">
        <f t="shared" si="7"/>
        <v>-116.05911401999998</v>
      </c>
      <c r="I16" s="16">
        <f t="shared" si="0"/>
        <v>-191.73647160999997</v>
      </c>
      <c r="J16" s="16">
        <f t="shared" si="8"/>
        <v>-265.77089723</v>
      </c>
      <c r="K16" s="16">
        <v>-71.06824016000003</v>
      </c>
      <c r="L16" s="16">
        <v>-77.241758010000012</v>
      </c>
      <c r="M16" s="16">
        <v>-71.887363850000014</v>
      </c>
      <c r="N16" s="16">
        <v>-83.492624320000004</v>
      </c>
      <c r="O16" s="16">
        <f t="shared" si="13"/>
        <v>-148.30999817000003</v>
      </c>
      <c r="P16" s="16">
        <f t="shared" si="1"/>
        <v>-220.19736202000004</v>
      </c>
      <c r="Q16" s="16">
        <f t="shared" si="14"/>
        <v>-303.68998634000002</v>
      </c>
      <c r="R16" s="16">
        <v>-88.218860460000002</v>
      </c>
      <c r="S16" s="16">
        <v>-85.375811360000029</v>
      </c>
      <c r="T16" s="16">
        <v>-87.301819019999996</v>
      </c>
      <c r="U16" s="134">
        <v>-77.287666160000185</v>
      </c>
      <c r="V16" s="16">
        <f t="shared" si="16"/>
        <v>-173.59467182000003</v>
      </c>
      <c r="W16" s="16">
        <f t="shared" si="2"/>
        <v>-260.89649084000001</v>
      </c>
      <c r="X16" s="16">
        <f t="shared" si="17"/>
        <v>-338.1841570000002</v>
      </c>
      <c r="AA16" s="16">
        <f t="shared" si="18"/>
        <v>-77.287666160000185</v>
      </c>
      <c r="AB16" s="16">
        <f t="shared" si="18"/>
        <v>-83.492624320000004</v>
      </c>
      <c r="AC16" s="16">
        <f t="shared" si="19"/>
        <v>6.2049581599998191</v>
      </c>
      <c r="AD16" s="86">
        <f t="shared" si="20"/>
        <v>-7.4317440738456586E-2</v>
      </c>
    </row>
    <row r="17" spans="1:30" ht="14.45" customHeight="1">
      <c r="A17" s="31">
        <v>12</v>
      </c>
      <c r="B17" s="17" t="s">
        <v>12</v>
      </c>
      <c r="D17" s="18">
        <f>D11+D12</f>
        <v>779.2231931914298</v>
      </c>
      <c r="E17" s="18">
        <f>E11+E12</f>
        <v>900.06252936805004</v>
      </c>
      <c r="F17" s="18">
        <f>F11+F12</f>
        <v>920.30538174789604</v>
      </c>
      <c r="G17" s="18">
        <f>G11+G12</f>
        <v>700.4281759330911</v>
      </c>
      <c r="H17" s="18">
        <f t="shared" si="7"/>
        <v>1679.2857225594798</v>
      </c>
      <c r="I17" s="18">
        <f t="shared" si="0"/>
        <v>2599.5911043073756</v>
      </c>
      <c r="J17" s="18">
        <f t="shared" si="8"/>
        <v>3300.0192802404667</v>
      </c>
      <c r="K17" s="18">
        <f>K11+K12</f>
        <v>1016.2093327109528</v>
      </c>
      <c r="L17" s="18">
        <f>L11+L12</f>
        <v>1022.5571452678114</v>
      </c>
      <c r="M17" s="18">
        <f>M11+M12</f>
        <v>1124.096705766161</v>
      </c>
      <c r="N17" s="18">
        <f>N11+N12</f>
        <v>925.00590341214547</v>
      </c>
      <c r="O17" s="18">
        <f t="shared" si="13"/>
        <v>2038.7664779787642</v>
      </c>
      <c r="P17" s="18">
        <f t="shared" si="1"/>
        <v>3162.8631837449252</v>
      </c>
      <c r="Q17" s="18">
        <f t="shared" si="14"/>
        <v>4087.8690871570707</v>
      </c>
      <c r="R17" s="18">
        <f>R11+R12</f>
        <v>1105.6641164951634</v>
      </c>
      <c r="S17" s="18">
        <f t="shared" ref="S17:U17" si="25">S11+S12</f>
        <v>1062.0250633630517</v>
      </c>
      <c r="T17" s="18">
        <f t="shared" si="25"/>
        <v>1178.1011225268226</v>
      </c>
      <c r="U17" s="131">
        <f t="shared" si="25"/>
        <v>699.74037784846632</v>
      </c>
      <c r="V17" s="18">
        <f t="shared" si="16"/>
        <v>2167.6891798582151</v>
      </c>
      <c r="W17" s="18">
        <f t="shared" si="2"/>
        <v>3345.7903023850376</v>
      </c>
      <c r="X17" s="18">
        <f t="shared" si="17"/>
        <v>4045.530680233504</v>
      </c>
      <c r="AA17" s="18">
        <f t="shared" si="18"/>
        <v>699.74037784846632</v>
      </c>
      <c r="AB17" s="18">
        <f t="shared" si="18"/>
        <v>925.00590341214547</v>
      </c>
      <c r="AC17" s="18">
        <f t="shared" si="19"/>
        <v>-225.26552556367915</v>
      </c>
      <c r="AD17" s="87">
        <f t="shared" si="20"/>
        <v>-0.24352874368987665</v>
      </c>
    </row>
    <row r="18" spans="1:30" ht="14.45" customHeight="1">
      <c r="A18" s="31">
        <v>13</v>
      </c>
      <c r="B18" s="20" t="s">
        <v>105</v>
      </c>
      <c r="D18" s="21">
        <f t="shared" ref="D18:U18" si="26">IFERROR(D17/D11,"-")</f>
        <v>0.32839602640728505</v>
      </c>
      <c r="E18" s="21">
        <f t="shared" si="26"/>
        <v>0.34574792819823313</v>
      </c>
      <c r="F18" s="21">
        <f t="shared" si="26"/>
        <v>0.33819761578663043</v>
      </c>
      <c r="G18" s="21">
        <f t="shared" si="26"/>
        <v>0.26202533903779796</v>
      </c>
      <c r="H18" s="21">
        <f t="shared" si="26"/>
        <v>0.3374737204327215</v>
      </c>
      <c r="I18" s="21">
        <f t="shared" si="26"/>
        <v>0.33772963873299611</v>
      </c>
      <c r="J18" s="21">
        <f t="shared" si="26"/>
        <v>0.31821565549182973</v>
      </c>
      <c r="K18" s="21">
        <f t="shared" si="26"/>
        <v>0.32402164647621751</v>
      </c>
      <c r="L18" s="21">
        <f t="shared" si="26"/>
        <v>0.31096246764836932</v>
      </c>
      <c r="M18" s="21">
        <f t="shared" si="26"/>
        <v>0.32816988623022619</v>
      </c>
      <c r="N18" s="21">
        <f t="shared" si="26"/>
        <v>0.28210480926026843</v>
      </c>
      <c r="O18" s="21">
        <f t="shared" ref="O18:Q18" si="27">IFERROR(O17/O11,"-")</f>
        <v>0.3173374482052394</v>
      </c>
      <c r="P18" s="21">
        <f t="shared" si="27"/>
        <v>0.32110446099492446</v>
      </c>
      <c r="Q18" s="21">
        <f t="shared" si="27"/>
        <v>0.31136429032231083</v>
      </c>
      <c r="R18" s="21">
        <f t="shared" si="26"/>
        <v>0.31285848131591942</v>
      </c>
      <c r="S18" s="21">
        <f t="shared" si="26"/>
        <v>0.29249314595202663</v>
      </c>
      <c r="T18" s="21">
        <f t="shared" si="26"/>
        <v>0.31257559403984558</v>
      </c>
      <c r="U18" s="135">
        <f t="shared" si="26"/>
        <v>0.21087880723934269</v>
      </c>
      <c r="V18" s="21">
        <f t="shared" ref="V18:X18" si="28">IFERROR(V17/V11,"-")</f>
        <v>0.30253814687712094</v>
      </c>
      <c r="W18" s="21">
        <f t="shared" si="28"/>
        <v>0.30599810462342414</v>
      </c>
      <c r="X18" s="21">
        <f t="shared" si="28"/>
        <v>0.28385239050407007</v>
      </c>
      <c r="AA18" s="21">
        <f t="shared" si="18"/>
        <v>0.21087880723934269</v>
      </c>
      <c r="AB18" s="21">
        <f t="shared" si="18"/>
        <v>0.28210480926026843</v>
      </c>
      <c r="AC18" s="94">
        <f>IFERROR((AA18-AB18)*100,"-")</f>
        <v>-7.1226002020925741</v>
      </c>
      <c r="AD18" s="21"/>
    </row>
    <row r="19" spans="1:30" ht="14.45" customHeight="1">
      <c r="A19" s="31">
        <v>14</v>
      </c>
      <c r="B19" s="22" t="s">
        <v>114</v>
      </c>
      <c r="D19" s="14">
        <v>-290.214</v>
      </c>
      <c r="E19" s="14">
        <v>-319.53813247847302</v>
      </c>
      <c r="F19" s="14">
        <v>-385.42609820299401</v>
      </c>
      <c r="G19" s="14">
        <v>-375.80308830674898</v>
      </c>
      <c r="H19" s="14">
        <f t="shared" ref="H19:H27" si="29">SUM(D19:E19)</f>
        <v>-609.75213247847296</v>
      </c>
      <c r="I19" s="14">
        <f t="shared" si="0"/>
        <v>-995.17823068146697</v>
      </c>
      <c r="J19" s="14">
        <f t="shared" ref="J19:J27" si="30">SUM(D19:G19)</f>
        <v>-1370.9813189882159</v>
      </c>
      <c r="K19" s="14">
        <v>-469.649379801642</v>
      </c>
      <c r="L19" s="14">
        <v>-463.9</v>
      </c>
      <c r="M19" s="14">
        <v>-526.1151798261609</v>
      </c>
      <c r="N19" s="14">
        <v>-457.97515074214499</v>
      </c>
      <c r="O19" s="14">
        <f t="shared" ref="O19:O27" si="31">SUM(K19:L19)</f>
        <v>-933.54937980164198</v>
      </c>
      <c r="P19" s="14">
        <f t="shared" ref="P19:P27" si="32">SUM(K19:M19)</f>
        <v>-1459.6645596278029</v>
      </c>
      <c r="Q19" s="14">
        <f t="shared" ref="Q19:Q27" si="33">SUM(K19:N19)</f>
        <v>-1917.6397103699478</v>
      </c>
      <c r="R19" s="14">
        <v>-482.41002270516401</v>
      </c>
      <c r="S19" s="14">
        <v>-450.64672865</v>
      </c>
      <c r="T19" s="14">
        <v>-505.00994363682287</v>
      </c>
      <c r="U19" s="133">
        <v>-270.77</v>
      </c>
      <c r="V19" s="14">
        <f t="shared" ref="V19:V27" si="34">SUM(R19:S19)</f>
        <v>-933.05675135516401</v>
      </c>
      <c r="W19" s="14">
        <f t="shared" ref="W19:W22" si="35">SUM(R19:T19)</f>
        <v>-1438.0666949919869</v>
      </c>
      <c r="X19" s="14">
        <f t="shared" ref="X19:X22" si="36">SUM(R19:U19)</f>
        <v>-1708.8366949919869</v>
      </c>
      <c r="AA19" s="14">
        <f t="shared" si="18"/>
        <v>-270.77</v>
      </c>
      <c r="AB19" s="14">
        <f t="shared" si="18"/>
        <v>-457.97515074214499</v>
      </c>
      <c r="AC19" s="14">
        <f t="shared" ref="AC19:AC22" si="37">0+(IFERROR(AA19-AB19,"-"))</f>
        <v>187.20515074214501</v>
      </c>
      <c r="AD19" s="85">
        <f t="shared" ref="AD19:AD22" si="38">IFERROR(AA19/AB19-1,"-")</f>
        <v>-0.4087670486898265</v>
      </c>
    </row>
    <row r="20" spans="1:30" ht="14.45" customHeight="1">
      <c r="A20" s="31">
        <v>15</v>
      </c>
      <c r="B20" s="22" t="s">
        <v>94</v>
      </c>
      <c r="D20" s="14">
        <v>10.114000000000001</v>
      </c>
      <c r="E20" s="14">
        <v>10.821999999999999</v>
      </c>
      <c r="F20" s="14">
        <v>8.950999999999997</v>
      </c>
      <c r="G20" s="14">
        <v>8.0530000000000008</v>
      </c>
      <c r="H20" s="14">
        <f t="shared" si="29"/>
        <v>20.936</v>
      </c>
      <c r="I20" s="14">
        <f t="shared" si="0"/>
        <v>29.886999999999997</v>
      </c>
      <c r="J20" s="14">
        <f t="shared" si="30"/>
        <v>37.94</v>
      </c>
      <c r="K20" s="14">
        <v>69.099000000000004</v>
      </c>
      <c r="L20" s="14">
        <v>2.5380000000000003</v>
      </c>
      <c r="M20" s="14">
        <v>4.8959999999999999</v>
      </c>
      <c r="N20" s="14">
        <v>5.9109999999999996</v>
      </c>
      <c r="O20" s="14">
        <f t="shared" si="31"/>
        <v>71.637</v>
      </c>
      <c r="P20" s="14">
        <f t="shared" si="32"/>
        <v>76.533000000000001</v>
      </c>
      <c r="Q20" s="14">
        <f t="shared" si="33"/>
        <v>82.444000000000003</v>
      </c>
      <c r="R20" s="14">
        <f>'1'!R25</f>
        <v>9.8849999999999998</v>
      </c>
      <c r="S20" s="14">
        <f>'1'!S25</f>
        <v>-26.53</v>
      </c>
      <c r="T20" s="14">
        <f>'1'!T25</f>
        <v>9.6389999999999993</v>
      </c>
      <c r="U20" s="136">
        <v>8.6270000000000042</v>
      </c>
      <c r="V20" s="14">
        <f t="shared" si="34"/>
        <v>-16.645000000000003</v>
      </c>
      <c r="W20" s="14">
        <f t="shared" si="35"/>
        <v>-7.0060000000000038</v>
      </c>
      <c r="X20" s="14">
        <f t="shared" si="36"/>
        <v>1.6210000000000004</v>
      </c>
      <c r="AA20" s="14">
        <f t="shared" si="18"/>
        <v>8.6270000000000042</v>
      </c>
      <c r="AB20" s="14">
        <f t="shared" si="18"/>
        <v>5.9109999999999996</v>
      </c>
      <c r="AC20" s="14">
        <f t="shared" ref="AC20:AC21" si="39">IFERROR(AA20-AB20,"-")</f>
        <v>2.7160000000000046</v>
      </c>
      <c r="AD20" s="85">
        <f t="shared" si="38"/>
        <v>0.45948232109626197</v>
      </c>
    </row>
    <row r="21" spans="1:30" ht="14.45" customHeight="1">
      <c r="A21" s="31">
        <v>16</v>
      </c>
      <c r="B21" s="22" t="s">
        <v>7</v>
      </c>
      <c r="D21" s="14">
        <f>'1'!D16+'1'!D23</f>
        <v>-211.05099999999999</v>
      </c>
      <c r="E21" s="14">
        <f>'1'!E16+'1'!E23</f>
        <v>-211.79300000000001</v>
      </c>
      <c r="F21" s="14">
        <f>'1'!F16+'1'!F23</f>
        <v>-244.785</v>
      </c>
      <c r="G21" s="14">
        <f>'1'!G16+'1'!G23</f>
        <v>-262.13200000000006</v>
      </c>
      <c r="H21" s="14">
        <f t="shared" si="29"/>
        <v>-422.84399999999999</v>
      </c>
      <c r="I21" s="14">
        <f t="shared" si="0"/>
        <v>-667.62900000000002</v>
      </c>
      <c r="J21" s="14">
        <f t="shared" si="30"/>
        <v>-929.76100000000008</v>
      </c>
      <c r="K21" s="14">
        <f>'1'!K16+'1'!K23</f>
        <v>-272.10000000000002</v>
      </c>
      <c r="L21" s="14">
        <f>'1'!L16+'1'!L23</f>
        <v>-285.03200000000004</v>
      </c>
      <c r="M21" s="14">
        <f>'1'!M16+'1'!M23</f>
        <v>-296.21600000000001</v>
      </c>
      <c r="N21" s="14">
        <f>'1'!N16+'1'!N23</f>
        <v>-258.17499999999995</v>
      </c>
      <c r="O21" s="14">
        <f t="shared" si="31"/>
        <v>-557.13200000000006</v>
      </c>
      <c r="P21" s="14">
        <f t="shared" si="32"/>
        <v>-853.34800000000007</v>
      </c>
      <c r="Q21" s="14">
        <f t="shared" si="33"/>
        <v>-1111.5230000000001</v>
      </c>
      <c r="R21" s="14">
        <f>'1'!R16+'1'!R23</f>
        <v>-309.995</v>
      </c>
      <c r="S21" s="14">
        <f>'1'!S16+'1'!S23</f>
        <v>-310.39100000000002</v>
      </c>
      <c r="T21" s="14">
        <f>'1'!T16+'1'!T23</f>
        <v>-329.82900000000001</v>
      </c>
      <c r="U21" s="133">
        <v>-346.08899999999988</v>
      </c>
      <c r="V21" s="14">
        <f t="shared" si="34"/>
        <v>-620.38599999999997</v>
      </c>
      <c r="W21" s="14">
        <f t="shared" si="35"/>
        <v>-950.21499999999992</v>
      </c>
      <c r="X21" s="14">
        <f t="shared" si="36"/>
        <v>-1296.3039999999999</v>
      </c>
      <c r="AA21" s="14">
        <f t="shared" si="18"/>
        <v>-346.08899999999988</v>
      </c>
      <c r="AB21" s="14">
        <f t="shared" si="18"/>
        <v>-258.17499999999995</v>
      </c>
      <c r="AC21" s="14">
        <f t="shared" si="39"/>
        <v>-87.91399999999993</v>
      </c>
      <c r="AD21" s="85">
        <f t="shared" si="38"/>
        <v>0.34052096446208946</v>
      </c>
    </row>
    <row r="22" spans="1:30" ht="14.45" customHeight="1" collapsed="1">
      <c r="A22" s="31">
        <v>17</v>
      </c>
      <c r="B22" s="17" t="s">
        <v>115</v>
      </c>
      <c r="D22" s="18">
        <f>D17+D19+D20+D21</f>
        <v>288.07219319142979</v>
      </c>
      <c r="E22" s="18">
        <f t="shared" ref="E22:U22" si="40">E17+E19+E20+E21</f>
        <v>379.55339688957702</v>
      </c>
      <c r="F22" s="18">
        <f t="shared" si="40"/>
        <v>299.04528354490208</v>
      </c>
      <c r="G22" s="18">
        <f t="shared" si="40"/>
        <v>70.546087626342057</v>
      </c>
      <c r="H22" s="18">
        <f t="shared" si="29"/>
        <v>667.62559008100675</v>
      </c>
      <c r="I22" s="18">
        <f t="shared" si="0"/>
        <v>966.67087362590883</v>
      </c>
      <c r="J22" s="18">
        <f t="shared" si="30"/>
        <v>1037.2169612522509</v>
      </c>
      <c r="K22" s="18">
        <f t="shared" si="40"/>
        <v>343.55895290931085</v>
      </c>
      <c r="L22" s="18">
        <f t="shared" si="40"/>
        <v>276.16314526781139</v>
      </c>
      <c r="M22" s="18">
        <f t="shared" si="40"/>
        <v>306.66152594000005</v>
      </c>
      <c r="N22" s="18">
        <f t="shared" si="40"/>
        <v>214.76675267000053</v>
      </c>
      <c r="O22" s="18">
        <f t="shared" si="31"/>
        <v>619.72209817712223</v>
      </c>
      <c r="P22" s="18">
        <f t="shared" si="32"/>
        <v>926.38362411712228</v>
      </c>
      <c r="Q22" s="18">
        <f t="shared" si="33"/>
        <v>1141.1503767871227</v>
      </c>
      <c r="R22" s="18">
        <f t="shared" si="40"/>
        <v>323.14409378999937</v>
      </c>
      <c r="S22" s="18">
        <f t="shared" si="40"/>
        <v>274.45733471305169</v>
      </c>
      <c r="T22" s="18">
        <f t="shared" si="40"/>
        <v>352.9011788899997</v>
      </c>
      <c r="U22" s="131">
        <f t="shared" si="40"/>
        <v>91.508377848466466</v>
      </c>
      <c r="V22" s="18">
        <f t="shared" si="34"/>
        <v>597.60142850305101</v>
      </c>
      <c r="W22" s="18">
        <f t="shared" si="35"/>
        <v>950.50260739305077</v>
      </c>
      <c r="X22" s="18">
        <f t="shared" si="36"/>
        <v>1042.0109852415171</v>
      </c>
      <c r="AA22" s="18">
        <f t="shared" si="18"/>
        <v>91.508377848466466</v>
      </c>
      <c r="AB22" s="18">
        <f t="shared" si="18"/>
        <v>214.76675267000053</v>
      </c>
      <c r="AC22" s="18">
        <f t="shared" si="37"/>
        <v>-123.25837482153406</v>
      </c>
      <c r="AD22" s="87">
        <f t="shared" si="38"/>
        <v>-0.57391739312148793</v>
      </c>
    </row>
    <row r="23" spans="1:30" ht="14.45" hidden="1" customHeight="1" outlineLevel="1">
      <c r="A23" s="31">
        <v>18</v>
      </c>
      <c r="B23" s="13" t="s">
        <v>262</v>
      </c>
      <c r="D23" s="14">
        <f t="shared" ref="D23:N23" si="41">SUM(D24:D25)</f>
        <v>-123.95999999999998</v>
      </c>
      <c r="E23" s="14">
        <f t="shared" ref="E23:G23" si="42">SUM(E24:E25)</f>
        <v>-50.535000000000018</v>
      </c>
      <c r="F23" s="14">
        <f t="shared" si="42"/>
        <v>-116.78100000000001</v>
      </c>
      <c r="G23" s="14">
        <f t="shared" si="42"/>
        <v>-171.46600000000001</v>
      </c>
      <c r="H23" s="14">
        <f t="shared" si="29"/>
        <v>-174.495</v>
      </c>
      <c r="I23" s="14">
        <f t="shared" si="0"/>
        <v>-291.27600000000001</v>
      </c>
      <c r="J23" s="14">
        <f t="shared" si="30"/>
        <v>-462.74200000000002</v>
      </c>
      <c r="K23" s="14">
        <f t="shared" ref="K23:M23" si="43">SUM(K24:K25)</f>
        <v>-254.768</v>
      </c>
      <c r="L23" s="14">
        <f t="shared" si="43"/>
        <v>-374.41999999999996</v>
      </c>
      <c r="M23" s="14">
        <f t="shared" si="43"/>
        <v>-422.32899999999995</v>
      </c>
      <c r="N23" s="14">
        <f t="shared" si="41"/>
        <v>-543.87400000000002</v>
      </c>
      <c r="O23" s="14">
        <f t="shared" si="31"/>
        <v>-629.18799999999999</v>
      </c>
      <c r="P23" s="14">
        <f t="shared" si="32"/>
        <v>-1051.5169999999998</v>
      </c>
      <c r="Q23" s="14">
        <f t="shared" si="33"/>
        <v>-1595.3909999999998</v>
      </c>
      <c r="R23" s="14">
        <f t="shared" ref="R23:S23" si="44">SUM(R24:R25)</f>
        <v>-534.86199999999997</v>
      </c>
      <c r="S23" s="14">
        <f t="shared" si="44"/>
        <v>-445.07899999999995</v>
      </c>
      <c r="T23" s="68">
        <v>0</v>
      </c>
      <c r="U23" s="68">
        <v>0</v>
      </c>
      <c r="V23" s="14">
        <f t="shared" si="34"/>
        <v>-979.94099999999992</v>
      </c>
      <c r="W23" s="68">
        <v>0</v>
      </c>
      <c r="X23" s="68">
        <v>0</v>
      </c>
      <c r="AA23" s="95"/>
      <c r="AB23" s="96"/>
      <c r="AC23" s="95"/>
      <c r="AD23" s="97"/>
    </row>
    <row r="24" spans="1:30" ht="14.45" hidden="1" customHeight="1" outlineLevel="1">
      <c r="A24" s="31">
        <v>19</v>
      </c>
      <c r="B24" s="19" t="s">
        <v>266</v>
      </c>
      <c r="D24" s="16">
        <f>'1'!D28</f>
        <v>56.091000000000001</v>
      </c>
      <c r="E24" s="16">
        <f>'1'!E28</f>
        <v>44.103999999999992</v>
      </c>
      <c r="F24" s="16">
        <f>'1'!F28</f>
        <v>35.091000000000008</v>
      </c>
      <c r="G24" s="16">
        <f>'1'!G28</f>
        <v>71.163999999999987</v>
      </c>
      <c r="H24" s="16">
        <f t="shared" si="29"/>
        <v>100.19499999999999</v>
      </c>
      <c r="I24" s="16">
        <f t="shared" si="0"/>
        <v>135.286</v>
      </c>
      <c r="J24" s="16">
        <f t="shared" si="30"/>
        <v>206.45</v>
      </c>
      <c r="K24" s="16">
        <f>'1'!K28</f>
        <v>108.251</v>
      </c>
      <c r="L24" s="16">
        <f>'1'!L28</f>
        <v>154.88300000000001</v>
      </c>
      <c r="M24" s="16">
        <f>'1'!M28</f>
        <v>72.337999999999994</v>
      </c>
      <c r="N24" s="16">
        <f>'1'!N28</f>
        <v>9.1029999999999998</v>
      </c>
      <c r="O24" s="16">
        <f t="shared" si="31"/>
        <v>263.13400000000001</v>
      </c>
      <c r="P24" s="16">
        <f t="shared" si="32"/>
        <v>335.47199999999998</v>
      </c>
      <c r="Q24" s="16">
        <f t="shared" si="33"/>
        <v>344.57499999999999</v>
      </c>
      <c r="R24" s="16">
        <f>'1'!R28</f>
        <v>62.51</v>
      </c>
      <c r="S24" s="16">
        <f>'1'!S28</f>
        <v>112.178</v>
      </c>
      <c r="T24" s="69">
        <v>0</v>
      </c>
      <c r="U24" s="69">
        <v>0</v>
      </c>
      <c r="V24" s="16">
        <f t="shared" si="34"/>
        <v>174.68799999999999</v>
      </c>
      <c r="W24" s="69">
        <v>0</v>
      </c>
      <c r="X24" s="69">
        <v>0</v>
      </c>
      <c r="AA24" s="98"/>
      <c r="AB24" s="99"/>
      <c r="AC24" s="98"/>
      <c r="AD24" s="100"/>
    </row>
    <row r="25" spans="1:30" ht="14.45" hidden="1" customHeight="1" outlineLevel="1">
      <c r="A25" s="31">
        <v>20</v>
      </c>
      <c r="B25" s="19" t="s">
        <v>267</v>
      </c>
      <c r="D25" s="16">
        <f>'1'!D29</f>
        <v>-180.05099999999999</v>
      </c>
      <c r="E25" s="16">
        <f>'1'!E29</f>
        <v>-94.63900000000001</v>
      </c>
      <c r="F25" s="16">
        <f>'1'!F29</f>
        <v>-151.87200000000001</v>
      </c>
      <c r="G25" s="16">
        <f>'1'!G29</f>
        <v>-242.63</v>
      </c>
      <c r="H25" s="16">
        <f t="shared" si="29"/>
        <v>-274.69</v>
      </c>
      <c r="I25" s="16">
        <f t="shared" si="0"/>
        <v>-426.56200000000001</v>
      </c>
      <c r="J25" s="16">
        <f t="shared" si="30"/>
        <v>-669.19200000000001</v>
      </c>
      <c r="K25" s="16">
        <f>'1'!K29</f>
        <v>-363.01900000000001</v>
      </c>
      <c r="L25" s="16">
        <f>'1'!L29</f>
        <v>-529.303</v>
      </c>
      <c r="M25" s="16">
        <f>'1'!M29</f>
        <v>-494.66699999999997</v>
      </c>
      <c r="N25" s="16">
        <f>'1'!N29</f>
        <v>-552.97699999999998</v>
      </c>
      <c r="O25" s="16">
        <f t="shared" si="31"/>
        <v>-892.322</v>
      </c>
      <c r="P25" s="16">
        <f t="shared" si="32"/>
        <v>-1386.989</v>
      </c>
      <c r="Q25" s="16">
        <f t="shared" si="33"/>
        <v>-1939.9659999999999</v>
      </c>
      <c r="R25" s="16">
        <f>'1'!R29</f>
        <v>-597.37199999999996</v>
      </c>
      <c r="S25" s="16">
        <f>'1'!S29</f>
        <v>-557.25699999999995</v>
      </c>
      <c r="T25" s="69">
        <v>0</v>
      </c>
      <c r="U25" s="69">
        <v>0</v>
      </c>
      <c r="V25" s="16">
        <f t="shared" si="34"/>
        <v>-1154.6289999999999</v>
      </c>
      <c r="W25" s="69">
        <v>0</v>
      </c>
      <c r="X25" s="69">
        <v>0</v>
      </c>
      <c r="AA25" s="98"/>
      <c r="AB25" s="99"/>
      <c r="AC25" s="98"/>
      <c r="AD25" s="100"/>
    </row>
    <row r="26" spans="1:30" ht="14.45" hidden="1" customHeight="1" outlineLevel="1">
      <c r="A26" s="31">
        <v>21</v>
      </c>
      <c r="B26" s="13" t="s">
        <v>263</v>
      </c>
      <c r="D26" s="14">
        <f>'1'!D30</f>
        <v>60.625</v>
      </c>
      <c r="E26" s="14">
        <f>'1'!E30</f>
        <v>122.53700000000001</v>
      </c>
      <c r="F26" s="14">
        <f>'1'!F30</f>
        <v>-69.783000000000001</v>
      </c>
      <c r="G26" s="14">
        <f>'1'!G30</f>
        <v>43.910999999999987</v>
      </c>
      <c r="H26" s="14">
        <f t="shared" si="29"/>
        <v>183.16200000000001</v>
      </c>
      <c r="I26" s="14">
        <f t="shared" si="0"/>
        <v>113.379</v>
      </c>
      <c r="J26" s="14">
        <f t="shared" si="30"/>
        <v>157.29</v>
      </c>
      <c r="K26" s="14">
        <f>'1'!K30</f>
        <v>2.9209999999999998</v>
      </c>
      <c r="L26" s="14">
        <f>'1'!L30</f>
        <v>26.939999999999998</v>
      </c>
      <c r="M26" s="14">
        <f>'1'!M30</f>
        <v>25.256</v>
      </c>
      <c r="N26" s="14">
        <f>'1'!N30</f>
        <v>135.91200000000001</v>
      </c>
      <c r="O26" s="14">
        <f t="shared" si="31"/>
        <v>29.860999999999997</v>
      </c>
      <c r="P26" s="14">
        <f t="shared" si="32"/>
        <v>55.116999999999997</v>
      </c>
      <c r="Q26" s="14">
        <f t="shared" si="33"/>
        <v>191.029</v>
      </c>
      <c r="R26" s="14">
        <f>'1'!R30</f>
        <v>61.088000000000001</v>
      </c>
      <c r="S26" s="14">
        <f>'1'!S30</f>
        <v>-54.35</v>
      </c>
      <c r="T26" s="68">
        <v>0</v>
      </c>
      <c r="U26" s="68">
        <v>0</v>
      </c>
      <c r="V26" s="14">
        <f t="shared" si="34"/>
        <v>6.7379999999999995</v>
      </c>
      <c r="W26" s="68">
        <v>0</v>
      </c>
      <c r="X26" s="68">
        <v>0</v>
      </c>
      <c r="AA26" s="95"/>
      <c r="AB26" s="96"/>
      <c r="AC26" s="95"/>
      <c r="AD26" s="97"/>
    </row>
    <row r="27" spans="1:30" ht="14.45" hidden="1" customHeight="1" outlineLevel="1">
      <c r="A27" s="31">
        <v>22</v>
      </c>
      <c r="B27" s="17" t="s">
        <v>264</v>
      </c>
      <c r="D27" s="18">
        <f>D22+D23+D26</f>
        <v>224.73719319142981</v>
      </c>
      <c r="E27" s="18">
        <f t="shared" ref="E27:S27" si="45">E22+E23+E26</f>
        <v>451.55539688957697</v>
      </c>
      <c r="F27" s="18">
        <f t="shared" si="45"/>
        <v>112.48128354490207</v>
      </c>
      <c r="G27" s="18">
        <f t="shared" si="45"/>
        <v>-57.008912373657964</v>
      </c>
      <c r="H27" s="18">
        <f t="shared" si="29"/>
        <v>676.29259008100678</v>
      </c>
      <c r="I27" s="18">
        <f t="shared" si="0"/>
        <v>788.77387362590889</v>
      </c>
      <c r="J27" s="18">
        <f t="shared" si="30"/>
        <v>731.76496125225094</v>
      </c>
      <c r="K27" s="18">
        <f t="shared" si="45"/>
        <v>91.711952909310853</v>
      </c>
      <c r="L27" s="18">
        <f t="shared" si="45"/>
        <v>-71.316854732188574</v>
      </c>
      <c r="M27" s="18">
        <f>M22+M23+M26</f>
        <v>-90.411474059999904</v>
      </c>
      <c r="N27" s="18">
        <f t="shared" si="45"/>
        <v>-193.19524732999949</v>
      </c>
      <c r="O27" s="18">
        <f t="shared" si="31"/>
        <v>20.395098177122279</v>
      </c>
      <c r="P27" s="18">
        <f t="shared" si="32"/>
        <v>-70.016375882877625</v>
      </c>
      <c r="Q27" s="18">
        <f t="shared" si="33"/>
        <v>-263.2116232128771</v>
      </c>
      <c r="R27" s="18">
        <f t="shared" si="45"/>
        <v>-150.6299062100006</v>
      </c>
      <c r="S27" s="18">
        <f t="shared" si="45"/>
        <v>-224.97166528694825</v>
      </c>
      <c r="T27" s="70">
        <v>0</v>
      </c>
      <c r="U27" s="70">
        <v>0</v>
      </c>
      <c r="V27" s="18">
        <f t="shared" si="34"/>
        <v>-375.60157149694885</v>
      </c>
      <c r="W27" s="70">
        <v>0</v>
      </c>
      <c r="X27" s="70">
        <v>0</v>
      </c>
      <c r="AA27" s="95"/>
      <c r="AB27" s="96"/>
      <c r="AC27" s="95"/>
      <c r="AD27" s="97"/>
    </row>
    <row r="28" spans="1:30" ht="14.45" hidden="1" customHeight="1" outlineLevel="1">
      <c r="A28" s="31">
        <v>23</v>
      </c>
      <c r="B28" s="20" t="s">
        <v>265</v>
      </c>
      <c r="D28" s="21">
        <f t="shared" ref="D28:S28" si="46">IFERROR(D27/D11,"-")</f>
        <v>9.4713301496739413E-2</v>
      </c>
      <c r="E28" s="21">
        <f t="shared" si="46"/>
        <v>0.17345944070232522</v>
      </c>
      <c r="F28" s="21">
        <f t="shared" si="46"/>
        <v>4.1335085798646962E-2</v>
      </c>
      <c r="G28" s="21">
        <f t="shared" si="46"/>
        <v>-2.1326640055540521E-2</v>
      </c>
      <c r="H28" s="21">
        <f t="shared" si="46"/>
        <v>0.13590955571745172</v>
      </c>
      <c r="I28" s="21">
        <f t="shared" si="46"/>
        <v>0.10247469878640034</v>
      </c>
      <c r="J28" s="21">
        <f t="shared" si="46"/>
        <v>7.0562941315261155E-2</v>
      </c>
      <c r="K28" s="21">
        <f t="shared" si="46"/>
        <v>2.9242654073987663E-2</v>
      </c>
      <c r="L28" s="21">
        <f t="shared" si="46"/>
        <v>-2.1687653580116976E-2</v>
      </c>
      <c r="M28" s="21">
        <f t="shared" si="46"/>
        <v>-2.6394813723748561E-2</v>
      </c>
      <c r="N28" s="21">
        <f t="shared" si="46"/>
        <v>-5.8919957372138301E-2</v>
      </c>
      <c r="O28" s="21">
        <f t="shared" ref="O28:Q28" si="47">IFERROR(O27/O11,"-")</f>
        <v>3.1745315029114026E-3</v>
      </c>
      <c r="P28" s="21">
        <f t="shared" si="47"/>
        <v>-7.1082969235708162E-3</v>
      </c>
      <c r="Q28" s="21">
        <f t="shared" si="47"/>
        <v>-2.0048269286249761E-2</v>
      </c>
      <c r="R28" s="21">
        <f t="shared" si="46"/>
        <v>-4.2622205961611592E-2</v>
      </c>
      <c r="S28" s="21">
        <f t="shared" si="46"/>
        <v>-6.1959620728226909E-2</v>
      </c>
      <c r="T28" s="71">
        <v>0</v>
      </c>
      <c r="U28" s="71">
        <v>0</v>
      </c>
      <c r="V28" s="21">
        <f t="shared" ref="V28" si="48">IFERROR(V27/V11,"-")</f>
        <v>-5.2421631505423651E-2</v>
      </c>
      <c r="W28" s="71">
        <v>0</v>
      </c>
      <c r="X28" s="71">
        <v>0</v>
      </c>
      <c r="AA28" s="101"/>
      <c r="AB28" s="102"/>
      <c r="AC28" s="103"/>
      <c r="AD28" s="101"/>
    </row>
    <row r="29" spans="1:30" ht="14.45" customHeight="1">
      <c r="A29" s="31">
        <v>24</v>
      </c>
      <c r="B29" s="23"/>
      <c r="D29" s="24"/>
      <c r="E29" s="24"/>
      <c r="F29" s="24"/>
      <c r="G29" s="24"/>
      <c r="H29" s="24"/>
      <c r="I29" s="24"/>
      <c r="J29" s="24"/>
      <c r="K29" s="24"/>
      <c r="L29" s="24"/>
      <c r="M29" s="24"/>
      <c r="N29" s="24"/>
      <c r="O29" s="24"/>
      <c r="P29" s="24"/>
      <c r="Q29" s="24"/>
      <c r="R29" s="24"/>
      <c r="S29" s="24"/>
      <c r="T29" s="24"/>
      <c r="U29" s="24"/>
      <c r="V29" s="24"/>
      <c r="W29" s="24"/>
      <c r="X29" s="24"/>
      <c r="AA29" s="24"/>
      <c r="AB29" s="24"/>
      <c r="AC29" s="24"/>
      <c r="AD29" s="24"/>
    </row>
    <row r="30" spans="1:30" ht="14.45" customHeight="1" thickBot="1">
      <c r="A30" s="31">
        <v>25</v>
      </c>
      <c r="B30" s="9" t="s">
        <v>148</v>
      </c>
      <c r="D30" s="10" t="s">
        <v>10</v>
      </c>
      <c r="E30" s="10" t="s">
        <v>24</v>
      </c>
      <c r="F30" s="10" t="s">
        <v>27</v>
      </c>
      <c r="G30" s="10" t="s">
        <v>29</v>
      </c>
      <c r="H30" s="10" t="s">
        <v>69</v>
      </c>
      <c r="I30" s="10" t="s">
        <v>70</v>
      </c>
      <c r="J30" s="10">
        <v>2021</v>
      </c>
      <c r="K30" s="10" t="s">
        <v>179</v>
      </c>
      <c r="L30" s="10" t="s">
        <v>180</v>
      </c>
      <c r="M30" s="10" t="s">
        <v>181</v>
      </c>
      <c r="N30" s="10" t="s">
        <v>182</v>
      </c>
      <c r="O30" s="10" t="s">
        <v>183</v>
      </c>
      <c r="P30" s="10" t="s">
        <v>184</v>
      </c>
      <c r="Q30" s="10">
        <v>2022</v>
      </c>
      <c r="R30" s="10" t="s">
        <v>185</v>
      </c>
      <c r="S30" s="10" t="s">
        <v>186</v>
      </c>
      <c r="T30" s="10" t="s">
        <v>187</v>
      </c>
      <c r="U30" s="10" t="s">
        <v>188</v>
      </c>
      <c r="V30" s="10" t="s">
        <v>189</v>
      </c>
      <c r="W30" s="10" t="s">
        <v>190</v>
      </c>
      <c r="X30" s="10">
        <v>2023</v>
      </c>
      <c r="AA30" s="10" t="str">
        <f>AA6</f>
        <v>4Q23</v>
      </c>
      <c r="AB30" s="10" t="str">
        <f>AB6</f>
        <v>4Q22</v>
      </c>
      <c r="AC30" s="10" t="str">
        <f>AC6</f>
        <v>Var. (Vol)</v>
      </c>
      <c r="AD30" s="10" t="str">
        <f>AD6</f>
        <v>Var. (%)</v>
      </c>
    </row>
    <row r="31" spans="1:30" ht="14.45" customHeight="1" thickTop="1">
      <c r="A31" s="31">
        <v>26</v>
      </c>
      <c r="B31" s="27" t="s">
        <v>136</v>
      </c>
      <c r="D31" s="28">
        <f>'1'!D35</f>
        <v>-10.907999999999987</v>
      </c>
      <c r="E31" s="28">
        <f>'1'!E35</f>
        <v>-115.03600000000003</v>
      </c>
      <c r="F31" s="28">
        <f>'1'!F35</f>
        <v>75.770000000000508</v>
      </c>
      <c r="G31" s="28">
        <f>'1'!G35</f>
        <v>-166.76300000000032</v>
      </c>
      <c r="H31" s="28">
        <f t="shared" ref="H31:H35" si="49">SUM(D31:E31)</f>
        <v>-125.94400000000002</v>
      </c>
      <c r="I31" s="28">
        <f t="shared" ref="I31:I35" si="50">SUM(D31:F31)</f>
        <v>-50.173999999999509</v>
      </c>
      <c r="J31" s="28">
        <f t="shared" ref="J31:J35" si="51">SUM(D31:G31)</f>
        <v>-216.93699999999984</v>
      </c>
      <c r="K31" s="28">
        <f>'1'!K35</f>
        <v>36.589000000000318</v>
      </c>
      <c r="L31" s="28">
        <f>'1'!L35</f>
        <v>-120.21399999999988</v>
      </c>
      <c r="M31" s="28">
        <f>'1'!M35</f>
        <v>-89.145000000000124</v>
      </c>
      <c r="N31" s="28">
        <f>'1'!N35</f>
        <v>-214.99599999999995</v>
      </c>
      <c r="O31" s="28">
        <f t="shared" ref="O31:O35" si="52">SUM(K31:L31)</f>
        <v>-83.624999999999574</v>
      </c>
      <c r="P31" s="28">
        <f t="shared" ref="P31:P35" si="53">SUM(K31:M31)</f>
        <v>-172.7699999999997</v>
      </c>
      <c r="Q31" s="28">
        <f t="shared" ref="Q31:Q35" si="54">SUM(K31:N31)</f>
        <v>-387.76599999999962</v>
      </c>
      <c r="R31" s="28">
        <f>'1'!R35</f>
        <v>-167.7500000000002</v>
      </c>
      <c r="S31" s="28">
        <f>'1'!S35</f>
        <v>-284.05800000000011</v>
      </c>
      <c r="T31" s="28">
        <f>'1'!T35</f>
        <v>-182.82300000000049</v>
      </c>
      <c r="U31" s="28">
        <f>'1'!U35</f>
        <v>-495.13900000000115</v>
      </c>
      <c r="V31" s="28">
        <f t="shared" ref="V31:V35" si="55">SUM(R31:S31)</f>
        <v>-451.80800000000033</v>
      </c>
      <c r="W31" s="28">
        <f t="shared" ref="W31:W35" si="56">SUM(R31:T31)</f>
        <v>-634.63100000000077</v>
      </c>
      <c r="X31" s="28">
        <f t="shared" ref="X31:X35" si="57">SUM(R31:U31)</f>
        <v>-1129.7700000000018</v>
      </c>
      <c r="AA31" s="12">
        <f t="shared" ref="AA31:AB41" si="58">HLOOKUP(AA$6,$D$6:$X$41,$A31,0)</f>
        <v>-495.13900000000115</v>
      </c>
      <c r="AB31" s="12">
        <f t="shared" si="58"/>
        <v>-214.99599999999995</v>
      </c>
      <c r="AC31" s="12">
        <f>IFERROR(AA31-AB31,"-")</f>
        <v>-280.14300000000117</v>
      </c>
      <c r="AD31" s="84">
        <f>IFERROR(AA31/AB31-1,"-")</f>
        <v>1.3030149398128397</v>
      </c>
    </row>
    <row r="32" spans="1:30" ht="14.45" customHeight="1">
      <c r="A32" s="31">
        <v>27</v>
      </c>
      <c r="B32" s="55" t="s">
        <v>110</v>
      </c>
      <c r="D32" s="26">
        <f>'1'!D36</f>
        <v>123.95999999999998</v>
      </c>
      <c r="E32" s="26">
        <f>'1'!E36</f>
        <v>50.535000000000018</v>
      </c>
      <c r="F32" s="26">
        <f>'1'!F36</f>
        <v>116.78100000000001</v>
      </c>
      <c r="G32" s="26">
        <f>'1'!G36</f>
        <v>171.46600000000001</v>
      </c>
      <c r="H32" s="26">
        <f t="shared" si="49"/>
        <v>174.495</v>
      </c>
      <c r="I32" s="26">
        <f t="shared" si="50"/>
        <v>291.27600000000001</v>
      </c>
      <c r="J32" s="26">
        <f t="shared" si="51"/>
        <v>462.74200000000002</v>
      </c>
      <c r="K32" s="26">
        <f>'1'!K36</f>
        <v>254.768</v>
      </c>
      <c r="L32" s="26">
        <f>'1'!L36</f>
        <v>374.41999999999996</v>
      </c>
      <c r="M32" s="26">
        <f>'1'!M36</f>
        <v>422.32899999999995</v>
      </c>
      <c r="N32" s="26">
        <f>'1'!N36</f>
        <v>543.87400000000002</v>
      </c>
      <c r="O32" s="26">
        <f t="shared" si="52"/>
        <v>629.18799999999999</v>
      </c>
      <c r="P32" s="26">
        <f t="shared" si="53"/>
        <v>1051.5169999999998</v>
      </c>
      <c r="Q32" s="26">
        <f t="shared" si="54"/>
        <v>1595.3909999999998</v>
      </c>
      <c r="R32" s="26">
        <f>'1'!R36</f>
        <v>534.86199999999997</v>
      </c>
      <c r="S32" s="26">
        <f>'1'!S36</f>
        <v>445.07799999999997</v>
      </c>
      <c r="T32" s="26">
        <f>'1'!T36</f>
        <v>460.15100000000007</v>
      </c>
      <c r="U32" s="26">
        <f>'1'!U36</f>
        <v>469.18500000000012</v>
      </c>
      <c r="V32" s="26">
        <f t="shared" si="55"/>
        <v>979.93999999999994</v>
      </c>
      <c r="W32" s="26">
        <f t="shared" si="56"/>
        <v>1440.0909999999999</v>
      </c>
      <c r="X32" s="26">
        <f t="shared" si="57"/>
        <v>1909.2760000000001</v>
      </c>
      <c r="AA32" s="16">
        <f t="shared" si="58"/>
        <v>469.18500000000012</v>
      </c>
      <c r="AB32" s="16">
        <f t="shared" si="58"/>
        <v>543.87400000000002</v>
      </c>
      <c r="AC32" s="16">
        <f t="shared" ref="AC32:AC35" si="59">IFERROR(AA32-AB32,"-")</f>
        <v>-74.688999999999908</v>
      </c>
      <c r="AD32" s="86">
        <f t="shared" ref="AD32:AD35" si="60">IFERROR(AA32/AB32-1,"-")</f>
        <v>-0.137327763415791</v>
      </c>
    </row>
    <row r="33" spans="1:34" ht="14.45" customHeight="1">
      <c r="A33" s="31">
        <v>28</v>
      </c>
      <c r="B33" s="55" t="s">
        <v>111</v>
      </c>
      <c r="D33" s="26">
        <f>'1'!D37</f>
        <v>-60.625</v>
      </c>
      <c r="E33" s="26">
        <f>'1'!E37</f>
        <v>-122.53700000000001</v>
      </c>
      <c r="F33" s="26">
        <f>'1'!F37</f>
        <v>69.783000000000001</v>
      </c>
      <c r="G33" s="26">
        <f>'1'!G37</f>
        <v>-43.910999999999987</v>
      </c>
      <c r="H33" s="26">
        <f t="shared" si="49"/>
        <v>-183.16200000000001</v>
      </c>
      <c r="I33" s="26">
        <f t="shared" si="50"/>
        <v>-113.379</v>
      </c>
      <c r="J33" s="26">
        <f t="shared" si="51"/>
        <v>-157.29</v>
      </c>
      <c r="K33" s="26">
        <f>'1'!K37</f>
        <v>-2.9209999999999998</v>
      </c>
      <c r="L33" s="26">
        <f>'1'!L37</f>
        <v>-26.939999999999998</v>
      </c>
      <c r="M33" s="26">
        <f>'1'!M37</f>
        <v>-25.256</v>
      </c>
      <c r="N33" s="26">
        <f>'1'!N37</f>
        <v>-135.91200000000001</v>
      </c>
      <c r="O33" s="26">
        <f t="shared" si="52"/>
        <v>-29.860999999999997</v>
      </c>
      <c r="P33" s="26">
        <f t="shared" si="53"/>
        <v>-55.116999999999997</v>
      </c>
      <c r="Q33" s="26">
        <f t="shared" si="54"/>
        <v>-191.029</v>
      </c>
      <c r="R33" s="26">
        <f>'1'!R37</f>
        <v>-61.088000000000001</v>
      </c>
      <c r="S33" s="26">
        <f>'1'!S37</f>
        <v>54.35</v>
      </c>
      <c r="T33" s="26">
        <f>'1'!T37</f>
        <v>53.622</v>
      </c>
      <c r="U33" s="26">
        <f>'1'!U37</f>
        <v>86.932000000000002</v>
      </c>
      <c r="V33" s="26">
        <f t="shared" si="55"/>
        <v>-6.7379999999999995</v>
      </c>
      <c r="W33" s="26">
        <f t="shared" si="56"/>
        <v>46.884</v>
      </c>
      <c r="X33" s="26">
        <f t="shared" si="57"/>
        <v>133.816</v>
      </c>
      <c r="AA33" s="16">
        <f t="shared" si="58"/>
        <v>86.932000000000002</v>
      </c>
      <c r="AB33" s="16">
        <f t="shared" si="58"/>
        <v>-135.91200000000001</v>
      </c>
      <c r="AC33" s="16">
        <f t="shared" si="59"/>
        <v>222.84399999999999</v>
      </c>
      <c r="AD33" s="86">
        <f t="shared" si="60"/>
        <v>-1.6396197539584438</v>
      </c>
    </row>
    <row r="34" spans="1:34" ht="14.45" customHeight="1">
      <c r="A34" s="31">
        <v>29</v>
      </c>
      <c r="B34" s="55" t="s">
        <v>112</v>
      </c>
      <c r="D34" s="26">
        <f>'1'!D38</f>
        <v>211.05099999999999</v>
      </c>
      <c r="E34" s="26">
        <f>'1'!E38</f>
        <v>211.79300000000001</v>
      </c>
      <c r="F34" s="26">
        <f>'1'!F38</f>
        <v>244.785</v>
      </c>
      <c r="G34" s="26">
        <f>'1'!G38</f>
        <v>262.13200000000006</v>
      </c>
      <c r="H34" s="26">
        <f t="shared" si="49"/>
        <v>422.84399999999999</v>
      </c>
      <c r="I34" s="26">
        <f t="shared" si="50"/>
        <v>667.62900000000002</v>
      </c>
      <c r="J34" s="26">
        <f t="shared" si="51"/>
        <v>929.76100000000008</v>
      </c>
      <c r="K34" s="26">
        <f>'1'!K38</f>
        <v>272.10000000000002</v>
      </c>
      <c r="L34" s="26">
        <f>'1'!L38</f>
        <v>285.03200000000004</v>
      </c>
      <c r="M34" s="26">
        <f>'1'!M38</f>
        <v>296.21600000000001</v>
      </c>
      <c r="N34" s="26">
        <f>'1'!N38</f>
        <v>258.17499999999995</v>
      </c>
      <c r="O34" s="26">
        <f t="shared" si="52"/>
        <v>557.13200000000006</v>
      </c>
      <c r="P34" s="26">
        <f t="shared" si="53"/>
        <v>853.34800000000007</v>
      </c>
      <c r="Q34" s="26">
        <f t="shared" si="54"/>
        <v>1111.5230000000001</v>
      </c>
      <c r="R34" s="26">
        <f>'1'!R38</f>
        <v>309.995</v>
      </c>
      <c r="S34" s="26">
        <f>'1'!S38</f>
        <v>310.39100000000002</v>
      </c>
      <c r="T34" s="26">
        <f>'1'!T38</f>
        <v>329.82900000000001</v>
      </c>
      <c r="U34" s="26">
        <f>'1'!U38</f>
        <v>346.08899999999988</v>
      </c>
      <c r="V34" s="26">
        <f t="shared" si="55"/>
        <v>620.38599999999997</v>
      </c>
      <c r="W34" s="26">
        <f t="shared" si="56"/>
        <v>950.21499999999992</v>
      </c>
      <c r="X34" s="26">
        <f t="shared" si="57"/>
        <v>1296.3039999999999</v>
      </c>
      <c r="AA34" s="16">
        <f t="shared" si="58"/>
        <v>346.08899999999988</v>
      </c>
      <c r="AB34" s="16">
        <f t="shared" si="58"/>
        <v>258.17499999999995</v>
      </c>
      <c r="AC34" s="16">
        <f t="shared" si="59"/>
        <v>87.91399999999993</v>
      </c>
      <c r="AD34" s="86">
        <f t="shared" si="60"/>
        <v>0.34052096446208946</v>
      </c>
    </row>
    <row r="35" spans="1:34" ht="14.45" customHeight="1">
      <c r="A35" s="31">
        <v>30</v>
      </c>
      <c r="B35" s="27" t="s">
        <v>113</v>
      </c>
      <c r="D35" s="28">
        <f>SUM(D31:D34)</f>
        <v>263.47799999999995</v>
      </c>
      <c r="E35" s="28">
        <f t="shared" ref="E35:S35" si="61">SUM(E31:E34)</f>
        <v>24.754999999999995</v>
      </c>
      <c r="F35" s="28">
        <f t="shared" si="61"/>
        <v>507.11900000000048</v>
      </c>
      <c r="G35" s="28">
        <f t="shared" si="61"/>
        <v>222.92399999999975</v>
      </c>
      <c r="H35" s="28">
        <f t="shared" si="49"/>
        <v>288.23299999999995</v>
      </c>
      <c r="I35" s="28">
        <f t="shared" si="50"/>
        <v>795.35200000000043</v>
      </c>
      <c r="J35" s="28">
        <f t="shared" si="51"/>
        <v>1018.2760000000002</v>
      </c>
      <c r="K35" s="28">
        <f t="shared" si="61"/>
        <v>560.53600000000029</v>
      </c>
      <c r="L35" s="28">
        <f t="shared" si="61"/>
        <v>512.29800000000012</v>
      </c>
      <c r="M35" s="28">
        <f t="shared" si="61"/>
        <v>604.14399999999989</v>
      </c>
      <c r="N35" s="28">
        <f t="shared" si="61"/>
        <v>451.14099999999996</v>
      </c>
      <c r="O35" s="28">
        <f t="shared" si="52"/>
        <v>1072.8340000000003</v>
      </c>
      <c r="P35" s="28">
        <f t="shared" si="53"/>
        <v>1676.9780000000001</v>
      </c>
      <c r="Q35" s="28">
        <f t="shared" si="54"/>
        <v>2128.1190000000001</v>
      </c>
      <c r="R35" s="28">
        <f t="shared" si="61"/>
        <v>616.01899999999978</v>
      </c>
      <c r="S35" s="28">
        <f t="shared" si="61"/>
        <v>525.76099999999985</v>
      </c>
      <c r="T35" s="28">
        <f t="shared" ref="T35:U35" si="62">SUM(T31:T34)</f>
        <v>660.77899999999954</v>
      </c>
      <c r="U35" s="28">
        <f t="shared" si="62"/>
        <v>407.06699999999887</v>
      </c>
      <c r="V35" s="28">
        <f t="shared" si="55"/>
        <v>1141.7799999999997</v>
      </c>
      <c r="W35" s="28">
        <f t="shared" si="56"/>
        <v>1802.5589999999993</v>
      </c>
      <c r="X35" s="28">
        <f t="shared" si="57"/>
        <v>2209.6259999999984</v>
      </c>
      <c r="AA35" s="18">
        <f t="shared" si="58"/>
        <v>407.06699999999887</v>
      </c>
      <c r="AB35" s="18">
        <f t="shared" si="58"/>
        <v>451.14099999999996</v>
      </c>
      <c r="AC35" s="18">
        <f t="shared" si="59"/>
        <v>-44.074000000001092</v>
      </c>
      <c r="AD35" s="87">
        <f t="shared" si="60"/>
        <v>-9.769451235866633E-2</v>
      </c>
    </row>
    <row r="36" spans="1:34" ht="14.45" customHeight="1">
      <c r="A36" s="31">
        <v>31</v>
      </c>
      <c r="B36" s="56" t="s">
        <v>134</v>
      </c>
      <c r="D36" s="57">
        <f t="shared" ref="D36:S36" si="63">IFERROR(D35/D11,"-")</f>
        <v>0.11104023725392659</v>
      </c>
      <c r="E36" s="57">
        <f t="shared" si="63"/>
        <v>9.5093281669626651E-3</v>
      </c>
      <c r="F36" s="57">
        <f t="shared" si="63"/>
        <v>0.18635818079686298</v>
      </c>
      <c r="G36" s="57">
        <f t="shared" si="63"/>
        <v>8.3394327479541369E-2</v>
      </c>
      <c r="H36" s="57">
        <f t="shared" si="63"/>
        <v>5.7924069474746154E-2</v>
      </c>
      <c r="I36" s="57">
        <f t="shared" si="63"/>
        <v>0.10332930558982446</v>
      </c>
      <c r="J36" s="57">
        <f t="shared" si="63"/>
        <v>9.8190748991014029E-2</v>
      </c>
      <c r="K36" s="57">
        <f t="shared" si="63"/>
        <v>0.17872872427245676</v>
      </c>
      <c r="L36" s="57">
        <f t="shared" si="63"/>
        <v>0.15579124451729462</v>
      </c>
      <c r="M36" s="57">
        <f t="shared" si="63"/>
        <v>0.17637438730108418</v>
      </c>
      <c r="N36" s="72">
        <f t="shared" si="63"/>
        <v>0.13758727948115676</v>
      </c>
      <c r="O36" s="57">
        <f t="shared" ref="O36:Q36" si="64">IFERROR(O35/O11,"-")</f>
        <v>0.1669884253959987</v>
      </c>
      <c r="P36" s="57">
        <f t="shared" si="64"/>
        <v>0.17025242177967492</v>
      </c>
      <c r="Q36" s="57">
        <f t="shared" si="64"/>
        <v>0.16209429608159209</v>
      </c>
      <c r="R36" s="57">
        <f t="shared" si="63"/>
        <v>0.17430860414704827</v>
      </c>
      <c r="S36" s="57">
        <f t="shared" si="63"/>
        <v>0.14480024456476828</v>
      </c>
      <c r="T36" s="57">
        <f t="shared" ref="T36:U36" si="65">IFERROR(T35/T11,"-")</f>
        <v>0.17531889623452293</v>
      </c>
      <c r="U36" s="57">
        <f t="shared" si="65"/>
        <v>0.12267664714510289</v>
      </c>
      <c r="V36" s="57">
        <f t="shared" ref="V36:X36" si="66">IFERROR(V35/V11,"-")</f>
        <v>0.15935495206187875</v>
      </c>
      <c r="W36" s="57">
        <f t="shared" si="66"/>
        <v>0.16485780267780156</v>
      </c>
      <c r="X36" s="57">
        <f t="shared" si="66"/>
        <v>0.15503716861782496</v>
      </c>
      <c r="AA36" s="21">
        <f t="shared" si="58"/>
        <v>0.12267664714510289</v>
      </c>
      <c r="AB36" s="21">
        <f t="shared" si="58"/>
        <v>0.13758727948115676</v>
      </c>
      <c r="AC36" s="104">
        <f>IFERROR((AA36-AB36)*100,"-")</f>
        <v>-1.4910632336053873</v>
      </c>
      <c r="AD36" s="71"/>
    </row>
    <row r="37" spans="1:34" ht="13.5" customHeight="1">
      <c r="A37" s="31">
        <v>32</v>
      </c>
      <c r="B37" s="55" t="s">
        <v>142</v>
      </c>
      <c r="D37" s="26">
        <v>151.1</v>
      </c>
      <c r="E37" s="26">
        <v>482.8</v>
      </c>
      <c r="F37" s="26">
        <v>8.5</v>
      </c>
      <c r="G37" s="26">
        <v>52.8</v>
      </c>
      <c r="H37" s="26">
        <f>SUM(D37:E37)</f>
        <v>633.9</v>
      </c>
      <c r="I37" s="26">
        <f>SUM(D37:F37)</f>
        <v>642.4</v>
      </c>
      <c r="J37" s="26">
        <f>SUM(D37:G37)</f>
        <v>695.19999999999993</v>
      </c>
      <c r="K37" s="26">
        <f>ROUND(14.03841145,0)</f>
        <v>14</v>
      </c>
      <c r="L37" s="26">
        <f>ROUND(2.80897932002933,0)</f>
        <v>3</v>
      </c>
      <c r="M37" s="26">
        <v>-7.2042277599999984</v>
      </c>
      <c r="N37" s="26">
        <v>15</v>
      </c>
      <c r="O37" s="26">
        <f>SUM(K37:L37)</f>
        <v>17</v>
      </c>
      <c r="P37" s="26">
        <f>SUM(K37:M37)</f>
        <v>9.7957722400000016</v>
      </c>
      <c r="Q37" s="26">
        <f>SUM(K37:N37)</f>
        <v>24.795772240000002</v>
      </c>
      <c r="R37" s="26">
        <v>12.126773890000001</v>
      </c>
      <c r="S37" s="26">
        <v>18.268999999999998</v>
      </c>
      <c r="T37" s="26">
        <v>20.395610619999999</v>
      </c>
      <c r="U37" s="137">
        <v>15.793887959999992</v>
      </c>
      <c r="V37" s="26">
        <f>SUM(R37:S37)</f>
        <v>30.395773890000001</v>
      </c>
      <c r="W37" s="26">
        <f>SUM(R37:T37)</f>
        <v>50.79138451</v>
      </c>
      <c r="X37" s="26">
        <f>SUM(R37:U37)</f>
        <v>66.585272469999992</v>
      </c>
      <c r="AA37" s="16">
        <f t="shared" si="58"/>
        <v>15.793887959999992</v>
      </c>
      <c r="AB37" s="16">
        <f t="shared" si="58"/>
        <v>15</v>
      </c>
      <c r="AC37" s="16">
        <f>IFERROR(AA37-AB37,"-")</f>
        <v>0.79388795999999218</v>
      </c>
      <c r="AD37" s="105">
        <f t="shared" ref="AD37:AD40" si="67">IFERROR(AA37/AB37-1,"-")</f>
        <v>5.2925863999999434E-2</v>
      </c>
      <c r="AH37" s="118"/>
    </row>
    <row r="38" spans="1:34" ht="14.45" customHeight="1">
      <c r="A38" s="31">
        <v>33</v>
      </c>
      <c r="B38" s="55" t="s">
        <v>149</v>
      </c>
      <c r="D38" s="41">
        <v>29.7</v>
      </c>
      <c r="E38" s="41">
        <v>26.6</v>
      </c>
      <c r="F38" s="41">
        <v>-7.5</v>
      </c>
      <c r="G38" s="41">
        <v>36.6</v>
      </c>
      <c r="H38" s="41">
        <f t="shared" ref="H38:H40" si="68">SUM(D38:E38)</f>
        <v>56.3</v>
      </c>
      <c r="I38" s="41">
        <f t="shared" ref="I38:I40" si="69">SUM(D38:F38)</f>
        <v>48.8</v>
      </c>
      <c r="J38" s="41">
        <f t="shared" ref="J38:J40" si="70">SUM(D38:G38)</f>
        <v>85.4</v>
      </c>
      <c r="K38" s="41">
        <v>25</v>
      </c>
      <c r="L38" s="41">
        <v>34.435155810000005</v>
      </c>
      <c r="M38" s="41">
        <v>6.6373980800000032</v>
      </c>
      <c r="N38" s="41">
        <v>6.4861637600000002</v>
      </c>
      <c r="O38" s="41">
        <f t="shared" ref="O38:O40" si="71">SUM(K38:L38)</f>
        <v>59.435155810000005</v>
      </c>
      <c r="P38" s="41">
        <f t="shared" ref="P38:P40" si="72">SUM(K38:M38)</f>
        <v>66.072553890000009</v>
      </c>
      <c r="Q38" s="41">
        <f t="shared" ref="Q38:Q40" si="73">SUM(K38:N38)</f>
        <v>72.558717650000006</v>
      </c>
      <c r="R38" s="41">
        <v>5.2947699999999998</v>
      </c>
      <c r="S38" s="41">
        <v>40.818271350000003</v>
      </c>
      <c r="T38" s="41">
        <v>1.5563336499999885</v>
      </c>
      <c r="U38" s="138">
        <v>14.73545678</v>
      </c>
      <c r="V38" s="41">
        <f t="shared" ref="V38:V40" si="74">SUM(R38:S38)</f>
        <v>46.113041350000003</v>
      </c>
      <c r="W38" s="41">
        <f t="shared" ref="W38:W40" si="75">SUM(R38:T38)</f>
        <v>47.669374999999988</v>
      </c>
      <c r="X38" s="41">
        <f t="shared" ref="X38:X40" si="76">SUM(R38:U38)</f>
        <v>62.404831779999988</v>
      </c>
      <c r="AA38" s="16">
        <f t="shared" si="58"/>
        <v>14.73545678</v>
      </c>
      <c r="AB38" s="16">
        <f t="shared" si="58"/>
        <v>6.4861637600000002</v>
      </c>
      <c r="AC38" s="16">
        <f>IFERROR(AA38-AB38,"-")</f>
        <v>8.2492930199999996</v>
      </c>
      <c r="AD38" s="105">
        <f t="shared" si="67"/>
        <v>1.2718292854203237</v>
      </c>
    </row>
    <row r="39" spans="1:34" ht="13.5" customHeight="1">
      <c r="A39" s="31">
        <v>34</v>
      </c>
      <c r="B39" s="55" t="s">
        <v>141</v>
      </c>
      <c r="D39" s="8">
        <v>55</v>
      </c>
      <c r="E39" s="26">
        <v>56.9</v>
      </c>
      <c r="F39" s="26">
        <v>35.799999999999997</v>
      </c>
      <c r="G39" s="26">
        <v>20.2</v>
      </c>
      <c r="H39" s="26">
        <f t="shared" si="68"/>
        <v>111.9</v>
      </c>
      <c r="I39" s="26">
        <f t="shared" si="69"/>
        <v>147.69999999999999</v>
      </c>
      <c r="J39" s="26">
        <f t="shared" si="70"/>
        <v>167.89999999999998</v>
      </c>
      <c r="K39" s="26">
        <f>16.3192816778706</f>
        <v>16.319281677870599</v>
      </c>
      <c r="L39" s="26">
        <v>11.012348324578991</v>
      </c>
      <c r="M39" s="26">
        <v>0</v>
      </c>
      <c r="N39" s="26">
        <v>0</v>
      </c>
      <c r="O39" s="26">
        <f t="shared" si="71"/>
        <v>27.33163000244959</v>
      </c>
      <c r="P39" s="26">
        <f t="shared" si="72"/>
        <v>27.33163000244959</v>
      </c>
      <c r="Q39" s="26">
        <f t="shared" si="73"/>
        <v>27.33163000244959</v>
      </c>
      <c r="R39" s="26">
        <v>0</v>
      </c>
      <c r="S39" s="26">
        <v>0</v>
      </c>
      <c r="T39" s="26">
        <v>0</v>
      </c>
      <c r="U39" s="26">
        <v>0</v>
      </c>
      <c r="V39" s="26">
        <f t="shared" si="74"/>
        <v>0</v>
      </c>
      <c r="W39" s="26">
        <f t="shared" si="75"/>
        <v>0</v>
      </c>
      <c r="X39" s="26">
        <f t="shared" si="76"/>
        <v>0</v>
      </c>
      <c r="AA39" s="16">
        <f t="shared" si="58"/>
        <v>0</v>
      </c>
      <c r="AB39" s="16">
        <f t="shared" si="58"/>
        <v>0</v>
      </c>
      <c r="AC39" s="16">
        <f t="shared" ref="AC39" si="77">IFERROR(AA39-AB39,"-")</f>
        <v>0</v>
      </c>
      <c r="AD39" s="105" t="str">
        <f t="shared" si="67"/>
        <v>-</v>
      </c>
    </row>
    <row r="40" spans="1:34" ht="14.45" customHeight="1">
      <c r="A40" s="31">
        <v>35</v>
      </c>
      <c r="B40" s="27" t="s">
        <v>143</v>
      </c>
      <c r="D40" s="28">
        <f>D35+SUM(D37:D39)</f>
        <v>499.27799999999991</v>
      </c>
      <c r="E40" s="28">
        <f t="shared" ref="E40:G40" si="78">E35+SUM(E37:E39)</f>
        <v>591.05500000000006</v>
      </c>
      <c r="F40" s="28">
        <f t="shared" si="78"/>
        <v>543.91900000000044</v>
      </c>
      <c r="G40" s="28">
        <f t="shared" si="78"/>
        <v>332.52399999999977</v>
      </c>
      <c r="H40" s="28">
        <f t="shared" si="68"/>
        <v>1090.3330000000001</v>
      </c>
      <c r="I40" s="28">
        <f t="shared" si="69"/>
        <v>1634.2520000000004</v>
      </c>
      <c r="J40" s="28">
        <f t="shared" si="70"/>
        <v>1966.7760000000003</v>
      </c>
      <c r="K40" s="28">
        <f t="shared" ref="K40" si="79">K35+SUM(K37:K39)</f>
        <v>615.85528167787083</v>
      </c>
      <c r="L40" s="28">
        <f t="shared" ref="L40" si="80">L35+SUM(L37:L39)</f>
        <v>560.74550413457905</v>
      </c>
      <c r="M40" s="28">
        <f t="shared" ref="M40" si="81">M35+SUM(M37:M39)</f>
        <v>603.57717031999994</v>
      </c>
      <c r="N40" s="28">
        <f t="shared" ref="N40" si="82">N35+SUM(N37:N39)</f>
        <v>472.62716375999997</v>
      </c>
      <c r="O40" s="28">
        <f t="shared" si="71"/>
        <v>1176.6007858124499</v>
      </c>
      <c r="P40" s="28">
        <f t="shared" si="72"/>
        <v>1780.1779561324497</v>
      </c>
      <c r="Q40" s="28">
        <f t="shared" si="73"/>
        <v>2252.8051198924495</v>
      </c>
      <c r="R40" s="28">
        <f t="shared" ref="R40" si="83">R35+SUM(R37:R39)</f>
        <v>633.44054388999973</v>
      </c>
      <c r="S40" s="28">
        <f t="shared" ref="S40" si="84">S35+SUM(S37:S39)</f>
        <v>584.84827134999989</v>
      </c>
      <c r="T40" s="28">
        <f t="shared" ref="T40:U40" si="85">T35+SUM(T37:T39)</f>
        <v>682.73094426999955</v>
      </c>
      <c r="U40" s="28">
        <f t="shared" si="85"/>
        <v>437.59634473999887</v>
      </c>
      <c r="V40" s="28">
        <f t="shared" si="74"/>
        <v>1218.2888152399996</v>
      </c>
      <c r="W40" s="28">
        <f t="shared" si="75"/>
        <v>1901.0197595099992</v>
      </c>
      <c r="X40" s="28">
        <f t="shared" si="76"/>
        <v>2338.616104249998</v>
      </c>
      <c r="AA40" s="28">
        <f t="shared" si="58"/>
        <v>437.59634473999887</v>
      </c>
      <c r="AB40" s="28">
        <f t="shared" si="58"/>
        <v>472.62716375999997</v>
      </c>
      <c r="AC40" s="28">
        <f>0+(IFERROR(AA40-AB40,"-"))</f>
        <v>-35.030819020001104</v>
      </c>
      <c r="AD40" s="106">
        <f t="shared" si="67"/>
        <v>-7.4119351797963362E-2</v>
      </c>
    </row>
    <row r="41" spans="1:34" ht="14.45" customHeight="1">
      <c r="A41" s="31">
        <v>36</v>
      </c>
      <c r="B41" s="20" t="s">
        <v>144</v>
      </c>
      <c r="D41" s="21">
        <f t="shared" ref="D41:T41" si="86">IFERROR(D40/D11,"-")</f>
        <v>0.21041585094643939</v>
      </c>
      <c r="E41" s="21">
        <f t="shared" si="86"/>
        <v>0.22704649403046334</v>
      </c>
      <c r="F41" s="21">
        <f t="shared" si="86"/>
        <v>0.19988159651058016</v>
      </c>
      <c r="G41" s="21">
        <f t="shared" si="86"/>
        <v>0.12439492989003886</v>
      </c>
      <c r="H41" s="21">
        <f t="shared" si="86"/>
        <v>0.21911621654220167</v>
      </c>
      <c r="I41" s="21">
        <f t="shared" si="86"/>
        <v>0.2123162125936463</v>
      </c>
      <c r="J41" s="21">
        <f t="shared" si="86"/>
        <v>0.18965310832971669</v>
      </c>
      <c r="K41" s="21">
        <f t="shared" si="86"/>
        <v>0.19636745691755803</v>
      </c>
      <c r="L41" s="21">
        <f t="shared" si="86"/>
        <v>0.17052426506955681</v>
      </c>
      <c r="M41" s="21">
        <f t="shared" si="86"/>
        <v>0.17620890649267748</v>
      </c>
      <c r="N41" s="67">
        <f t="shared" si="86"/>
        <v>0.14414004861148413</v>
      </c>
      <c r="O41" s="21">
        <f t="shared" si="86"/>
        <v>0.18313990099355135</v>
      </c>
      <c r="P41" s="21">
        <f t="shared" si="86"/>
        <v>0.18072962688260755</v>
      </c>
      <c r="Q41" s="21">
        <f t="shared" si="86"/>
        <v>0.17159137253037696</v>
      </c>
      <c r="R41" s="119">
        <f t="shared" si="86"/>
        <v>0.17923820047046107</v>
      </c>
      <c r="S41" s="119">
        <f t="shared" si="86"/>
        <v>0.16107351577002094</v>
      </c>
      <c r="T41" s="119">
        <f t="shared" si="86"/>
        <v>0.18114321970669467</v>
      </c>
      <c r="U41" s="119">
        <f t="shared" ref="U41" si="87">IFERROR(U40/U11,"-")</f>
        <v>0.13187719067292555</v>
      </c>
      <c r="V41" s="119">
        <f>IFERROR(V40/V11,"-")</f>
        <v>0.17003306744740074</v>
      </c>
      <c r="W41" s="119">
        <f>IFERROR(W40/W11,"-")</f>
        <v>0.17386279195294099</v>
      </c>
      <c r="X41" s="119">
        <f>IFERROR(X40/X11,"-")</f>
        <v>0.16408768691487527</v>
      </c>
      <c r="AA41" s="119">
        <f t="shared" si="58"/>
        <v>0.13187719067292555</v>
      </c>
      <c r="AB41" s="119">
        <f t="shared" si="58"/>
        <v>0.14414004861148413</v>
      </c>
      <c r="AC41" s="120">
        <f>IFERROR((AA41-AB41)*100,"-")</f>
        <v>-1.226285793855858</v>
      </c>
      <c r="AD41" s="121"/>
    </row>
    <row r="42" spans="1:34" ht="17.100000000000001" customHeight="1">
      <c r="A42" s="47">
        <v>28</v>
      </c>
      <c r="D42" s="60"/>
      <c r="E42" s="61"/>
      <c r="F42" s="61"/>
      <c r="G42" s="61"/>
      <c r="H42" s="61"/>
      <c r="I42" s="61"/>
      <c r="J42" s="61"/>
      <c r="K42" s="61"/>
      <c r="L42" s="61"/>
      <c r="M42" s="61"/>
      <c r="N42" s="61"/>
      <c r="O42" s="61"/>
      <c r="P42" s="61"/>
      <c r="Q42" s="61"/>
      <c r="R42" s="61"/>
      <c r="S42" s="61"/>
      <c r="T42" s="61"/>
      <c r="U42" s="61"/>
      <c r="V42" s="61"/>
      <c r="W42" s="61"/>
      <c r="X42" s="61"/>
    </row>
    <row r="43" spans="1:34" ht="17.100000000000001" customHeight="1">
      <c r="A43" s="47">
        <v>29</v>
      </c>
      <c r="B43" s="150" t="s">
        <v>159</v>
      </c>
      <c r="D43" s="60"/>
      <c r="E43" s="60"/>
      <c r="F43" s="60"/>
      <c r="G43" s="60"/>
      <c r="H43" s="60"/>
      <c r="I43" s="60"/>
      <c r="J43" s="60"/>
      <c r="K43" s="60"/>
      <c r="L43" s="60"/>
      <c r="M43" s="117"/>
      <c r="N43" s="60"/>
      <c r="O43" s="60"/>
      <c r="P43" s="117"/>
      <c r="Q43" s="60"/>
      <c r="R43" s="60"/>
      <c r="S43" s="60"/>
      <c r="T43" s="122"/>
      <c r="U43" s="60"/>
      <c r="V43" s="60"/>
      <c r="W43" s="122"/>
      <c r="X43" s="60"/>
      <c r="AA43" s="40"/>
      <c r="AB43" s="40"/>
      <c r="AD43" s="100"/>
    </row>
    <row r="44" spans="1:34" ht="17.100000000000001" customHeight="1">
      <c r="B44" s="150"/>
      <c r="D44" s="40"/>
      <c r="E44" s="40"/>
      <c r="F44" s="40"/>
      <c r="G44" s="40"/>
      <c r="H44" s="40"/>
      <c r="I44" s="40"/>
      <c r="J44" s="40"/>
      <c r="K44" s="40"/>
      <c r="L44" s="40"/>
      <c r="M44" s="40"/>
      <c r="N44" s="40"/>
      <c r="O44" s="40"/>
      <c r="P44" s="40"/>
      <c r="Q44" s="40"/>
      <c r="R44" s="40"/>
      <c r="S44" s="40"/>
      <c r="T44" s="40"/>
      <c r="U44" s="40"/>
      <c r="V44" s="40"/>
      <c r="W44" s="40"/>
      <c r="X44" s="40"/>
      <c r="AA44" s="122"/>
      <c r="AB44" s="122"/>
      <c r="AC44" s="123"/>
    </row>
    <row r="45" spans="1:34" ht="17.100000000000001" customHeight="1">
      <c r="B45" s="150"/>
      <c r="E45" s="40"/>
      <c r="K45" s="40"/>
    </row>
    <row r="46" spans="1:34" ht="17.100000000000001" customHeight="1">
      <c r="B46" s="150"/>
      <c r="D46" s="76"/>
      <c r="E46" s="74"/>
      <c r="F46" s="74"/>
      <c r="G46" s="74"/>
      <c r="K46" s="63"/>
      <c r="L46" s="63"/>
      <c r="M46" s="63"/>
      <c r="N46" s="63"/>
      <c r="R46" s="124"/>
      <c r="S46" s="124"/>
      <c r="T46" s="124"/>
      <c r="U46" s="124"/>
      <c r="V46" s="124"/>
      <c r="W46" s="124"/>
      <c r="X46" s="124"/>
    </row>
    <row r="47" spans="1:34" ht="17.100000000000001" customHeight="1">
      <c r="B47" s="150"/>
      <c r="D47" s="75"/>
      <c r="E47" s="75"/>
      <c r="F47" s="75"/>
      <c r="G47" s="75"/>
      <c r="K47" s="63"/>
      <c r="L47" s="63"/>
      <c r="M47" s="63"/>
      <c r="N47" s="63"/>
      <c r="R47" s="124"/>
      <c r="S47" s="124"/>
      <c r="T47" s="124"/>
      <c r="U47" s="124"/>
      <c r="V47" s="124"/>
      <c r="W47" s="124"/>
      <c r="X47" s="124"/>
      <c r="AA47" s="40"/>
      <c r="AB47" s="40"/>
      <c r="AD47" s="100"/>
    </row>
    <row r="48" spans="1:34" ht="17.100000000000001" customHeight="1">
      <c r="B48" s="150"/>
    </row>
    <row r="49" spans="2:2" ht="17.100000000000001" customHeight="1">
      <c r="B49" s="150"/>
    </row>
    <row r="50" spans="2:2" ht="17.100000000000001" customHeight="1">
      <c r="B50" s="150"/>
    </row>
    <row r="51" spans="2:2" ht="17.100000000000001" customHeight="1">
      <c r="B51" s="150"/>
    </row>
  </sheetData>
  <mergeCells count="1">
    <mergeCell ref="B43:B51"/>
  </mergeCells>
  <pageMargins left="0.25" right="0.25" top="0.75" bottom="0.75" header="0.3" footer="0.3"/>
  <pageSetup paperSize="9" scale="44" fitToHeight="0" orientation="landscape" r:id="rId1"/>
  <ignoredErrors>
    <ignoredError sqref="D8:F8 D23:F23 D11:F11 D17:F18 G13:G16 H7:I7 D21:I22 D13:F16 H13:I16 H17:I17 D12:I12 H11:I11 D24:I27 H23:I23 D9:I10 H8:I8 D37:E38 D28:F29 D31:E36 J37:P38 D30:E30 F31:I35 F30 F37:I38 F39:I39 F36 H19:I20" formulaRange="1"/>
    <ignoredError sqref="S18 R23:S23 S12 K8:M8 K23:N23 K11:M11 K17:M18 G17 G11 H28:I29 G18:I18 G23 G8 K28:P30 J31:P36 N18:P18 J12:P12 N17:P17 J17 J21:P22 N11:P11 J11 J13:P16 O23:P23 J23 J24:P27 N8:P8 J8 J9:P10 J7 J18 J28:J30 G28:G29 G30 H30:I30 G36:I36 O7:P7 J19 O19:P19 J20 O20:P20" formula="1" formulaRange="1"/>
    <ignoredError sqref="Q7 Q9:S10 Q8:T8 Q27:S27 Q23 Q13:T16 Q11:T11 Q20:T22 Q17:T17 Q12:R12 T12 Q18:R18 T18 Q31:T36 Q29:T29 Q30:T30 Q19:S19 Q24:S24 Q25:S25 Q26:S26 Q28:S28"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5117038483843"/>
    <outlinePr summaryBelow="0"/>
    <pageSetUpPr fitToPage="1"/>
  </sheetPr>
  <dimension ref="A1:AD21"/>
  <sheetViews>
    <sheetView showGridLines="0" zoomScale="85" zoomScaleNormal="85" workbookViewId="0">
      <pane xSplit="3" ySplit="6" topLeftCell="D7" activePane="bottomRight" state="frozen"/>
      <selection pane="topRight" activeCell="D1" sqref="D1"/>
      <selection pane="bottomLeft" activeCell="A7" sqref="A7"/>
      <selection pane="bottomRight" activeCell="J2" sqref="J2"/>
    </sheetView>
  </sheetViews>
  <sheetFormatPr defaultColWidth="10.7109375" defaultRowHeight="17.100000000000001" customHeight="1" outlineLevelCol="1"/>
  <cols>
    <col min="1" max="1" width="2" style="8" customWidth="1"/>
    <col min="2" max="2" width="58.42578125" style="8" customWidth="1"/>
    <col min="3" max="3" width="1.42578125" customWidth="1"/>
    <col min="4" max="9" width="16.85546875" style="8" hidden="1" customWidth="1" outlineLevel="1"/>
    <col min="10" max="10" width="16.85546875" style="8" customWidth="1" collapsed="1"/>
    <col min="11" max="16" width="16.85546875" style="8" hidden="1" customWidth="1" outlineLevel="1"/>
    <col min="17" max="17" width="16.85546875" style="8" customWidth="1" collapsed="1"/>
    <col min="18" max="23" width="16.85546875" style="8" hidden="1" customWidth="1" outlineLevel="1"/>
    <col min="24" max="24" width="16.85546875" style="8" customWidth="1" collapsed="1"/>
    <col min="25" max="26" width="3" customWidth="1"/>
    <col min="27" max="28" width="12.42578125" style="8" customWidth="1" collapsed="1"/>
    <col min="29" max="29" width="10.85546875" style="8" customWidth="1" collapsed="1"/>
    <col min="30" max="30" width="9.5703125" style="8" customWidth="1" collapsed="1"/>
  </cols>
  <sheetData>
    <row r="1" spans="1:30" ht="11.25" customHeight="1"/>
    <row r="2" spans="1:30" ht="15"/>
    <row r="3" spans="1:30" ht="15">
      <c r="D3" s="1"/>
      <c r="E3" s="1"/>
      <c r="F3" s="1"/>
      <c r="G3" s="1"/>
      <c r="H3" s="1"/>
      <c r="I3" s="1"/>
      <c r="J3" s="1"/>
      <c r="K3" s="1"/>
      <c r="L3" s="1"/>
      <c r="M3" s="1"/>
      <c r="N3" s="1"/>
      <c r="O3" s="1"/>
      <c r="P3" s="1"/>
      <c r="Q3" s="1"/>
      <c r="R3" s="1"/>
      <c r="S3" s="1"/>
      <c r="T3" s="1"/>
      <c r="U3" s="1"/>
      <c r="V3" s="1"/>
      <c r="W3" s="1"/>
      <c r="X3" s="1"/>
      <c r="AA3" s="1" t="s">
        <v>151</v>
      </c>
      <c r="AB3" s="1"/>
      <c r="AC3" s="1"/>
      <c r="AD3" s="1"/>
    </row>
    <row r="4" spans="1:30" ht="15"/>
    <row r="5" spans="1:30" ht="15">
      <c r="D5" s="53">
        <v>90</v>
      </c>
      <c r="E5" s="53">
        <v>91</v>
      </c>
      <c r="F5" s="53">
        <v>92</v>
      </c>
      <c r="G5" s="53">
        <v>92</v>
      </c>
      <c r="H5" s="53">
        <v>181</v>
      </c>
      <c r="I5" s="53">
        <v>273</v>
      </c>
      <c r="J5" s="53">
        <v>365</v>
      </c>
      <c r="K5" s="53">
        <v>90</v>
      </c>
      <c r="L5" s="53">
        <v>91</v>
      </c>
      <c r="M5" s="53">
        <v>92</v>
      </c>
      <c r="N5" s="53">
        <v>92</v>
      </c>
      <c r="O5" s="53">
        <v>181</v>
      </c>
      <c r="P5" s="53">
        <v>273</v>
      </c>
      <c r="Q5" s="53">
        <v>365</v>
      </c>
      <c r="R5" s="53">
        <v>90</v>
      </c>
      <c r="S5" s="53">
        <v>91</v>
      </c>
      <c r="T5" s="53">
        <v>92</v>
      </c>
      <c r="U5" s="53">
        <v>92</v>
      </c>
      <c r="V5" s="53">
        <f>SUM(R5:S5)</f>
        <v>181</v>
      </c>
      <c r="W5" s="53">
        <f>SUM(R5:T5)</f>
        <v>273</v>
      </c>
      <c r="X5" s="53">
        <f>SUM(R5:U5)</f>
        <v>365</v>
      </c>
    </row>
    <row r="6" spans="1:30" ht="14.45" customHeight="1" thickBot="1">
      <c r="B6" s="9" t="s">
        <v>160</v>
      </c>
      <c r="D6" s="10" t="s">
        <v>250</v>
      </c>
      <c r="E6" s="10" t="s">
        <v>251</v>
      </c>
      <c r="F6" s="10" t="s">
        <v>252</v>
      </c>
      <c r="G6" s="10" t="s">
        <v>253</v>
      </c>
      <c r="H6" s="10" t="s">
        <v>254</v>
      </c>
      <c r="I6" s="10" t="s">
        <v>70</v>
      </c>
      <c r="J6" s="10">
        <v>2021</v>
      </c>
      <c r="K6" s="10" t="s">
        <v>258</v>
      </c>
      <c r="L6" s="10" t="s">
        <v>259</v>
      </c>
      <c r="M6" s="10" t="s">
        <v>260</v>
      </c>
      <c r="N6" s="10" t="s">
        <v>261</v>
      </c>
      <c r="O6" s="10" t="s">
        <v>255</v>
      </c>
      <c r="P6" s="10" t="s">
        <v>73</v>
      </c>
      <c r="Q6" s="10">
        <v>2022</v>
      </c>
      <c r="R6" s="10" t="s">
        <v>191</v>
      </c>
      <c r="S6" s="10" t="s">
        <v>192</v>
      </c>
      <c r="T6" s="10" t="s">
        <v>193</v>
      </c>
      <c r="U6" s="10" t="s">
        <v>194</v>
      </c>
      <c r="V6" s="10" t="s">
        <v>195</v>
      </c>
      <c r="W6" s="10" t="s">
        <v>196</v>
      </c>
      <c r="X6" s="10">
        <v>2023</v>
      </c>
      <c r="AA6" s="149" t="s">
        <v>268</v>
      </c>
      <c r="AB6" s="149" t="s">
        <v>261</v>
      </c>
      <c r="AC6" s="10" t="s">
        <v>152</v>
      </c>
      <c r="AD6" s="10" t="s">
        <v>153</v>
      </c>
    </row>
    <row r="7" spans="1:30" ht="14.45" customHeight="1" thickTop="1">
      <c r="A7" s="31">
        <v>2</v>
      </c>
      <c r="B7" s="11" t="s">
        <v>74</v>
      </c>
      <c r="D7" s="12">
        <v>850.26907127000004</v>
      </c>
      <c r="E7" s="12">
        <v>1039.0882046000002</v>
      </c>
      <c r="F7" s="12">
        <v>1089.48459189</v>
      </c>
      <c r="G7" s="12">
        <v>1211.9330771699997</v>
      </c>
      <c r="H7" s="12">
        <f>SUM(D7:E7)</f>
        <v>1889.3572758700002</v>
      </c>
      <c r="I7" s="12">
        <f>SUM(D7:F7)</f>
        <v>2978.8418677600002</v>
      </c>
      <c r="J7" s="12">
        <f>SUM(D7:G7)</f>
        <v>4190.7749449299999</v>
      </c>
      <c r="K7" s="12">
        <v>1636.36875392</v>
      </c>
      <c r="L7" s="12">
        <v>1720.45278246</v>
      </c>
      <c r="M7" s="12">
        <v>1869.9042499699997</v>
      </c>
      <c r="N7" s="12">
        <v>1802.7045785200003</v>
      </c>
      <c r="O7" s="12">
        <f>SUM(K7:L7)</f>
        <v>3356.82153638</v>
      </c>
      <c r="P7" s="12">
        <f>SUM(K7:M7)</f>
        <v>5226.7257863499999</v>
      </c>
      <c r="Q7" s="12">
        <f>SUM(K7:N7)</f>
        <v>7029.4303648700006</v>
      </c>
      <c r="R7" s="12">
        <v>1892.3755966799997</v>
      </c>
      <c r="S7" s="12">
        <v>2002.1990000000001</v>
      </c>
      <c r="T7" s="12">
        <v>2109.4219201599999</v>
      </c>
      <c r="U7" s="128">
        <v>2063.0150586599984</v>
      </c>
      <c r="V7" s="12">
        <f>SUM(R7:S7)</f>
        <v>3894.5745966799996</v>
      </c>
      <c r="W7" s="12">
        <f>SUM(R7:T7)</f>
        <v>6003.9965168399995</v>
      </c>
      <c r="X7" s="12">
        <f>SUM(R7:U7)</f>
        <v>8067.0115754999979</v>
      </c>
      <c r="AA7" s="12">
        <f>HLOOKUP(AA$6,$D$6:$X$21,$A7,0)</f>
        <v>2063.0150586599984</v>
      </c>
      <c r="AB7" s="12">
        <f>HLOOKUP(AB$6,$D$6:$X$21,$A7,0)</f>
        <v>1802.7045785200003</v>
      </c>
      <c r="AC7" s="12">
        <f>IFERROR(AA7-AB7,"-")</f>
        <v>260.31048013999816</v>
      </c>
      <c r="AD7" s="84">
        <f>IFERROR(AA7/AB7-1,"-")</f>
        <v>0.14439996616290296</v>
      </c>
    </row>
    <row r="8" spans="1:30" ht="14.45" customHeight="1">
      <c r="A8" s="31">
        <v>3</v>
      </c>
      <c r="B8" s="13" t="s">
        <v>26</v>
      </c>
      <c r="D8" s="14">
        <f t="shared" ref="D8:G8" si="0">SUM(D9:D10)</f>
        <v>-74.388468399999994</v>
      </c>
      <c r="E8" s="14">
        <f t="shared" si="0"/>
        <v>-87.427416550000004</v>
      </c>
      <c r="F8" s="14">
        <f t="shared" si="0"/>
        <v>-91.149698700000002</v>
      </c>
      <c r="G8" s="14">
        <f t="shared" si="0"/>
        <v>-101.71294192000001</v>
      </c>
      <c r="H8" s="14">
        <f>SUM(H9:H10)</f>
        <v>-161.81588495</v>
      </c>
      <c r="I8" s="14">
        <f>SUM(I9:I10)</f>
        <v>-252.96558365000001</v>
      </c>
      <c r="J8" s="14">
        <f>SUM(J9:J10)</f>
        <v>-354.67852557000003</v>
      </c>
      <c r="K8" s="14">
        <f t="shared" ref="K8:N8" si="1">SUM(K9:K10)</f>
        <v>-128.10990036000001</v>
      </c>
      <c r="L8" s="14">
        <f t="shared" si="1"/>
        <v>-112.96029483</v>
      </c>
      <c r="M8" s="14">
        <f t="shared" si="1"/>
        <v>-154.38202197999999</v>
      </c>
      <c r="N8" s="14">
        <f t="shared" si="1"/>
        <v>-99.790024500000015</v>
      </c>
      <c r="O8" s="14">
        <f>SUM(O9:O10)</f>
        <v>-241.07019518999999</v>
      </c>
      <c r="P8" s="14">
        <f>SUM(P9:P10)</f>
        <v>-395.45221716999993</v>
      </c>
      <c r="Q8" s="14">
        <f>SUM(Q9:Q10)</f>
        <v>-495.24224167</v>
      </c>
      <c r="R8" s="14">
        <f t="shared" ref="R8:U8" si="2">SUM(R9:R10)</f>
        <v>-136.85153263000001</v>
      </c>
      <c r="S8" s="14">
        <f t="shared" si="2"/>
        <v>-148.58930387999999</v>
      </c>
      <c r="T8" s="14">
        <f t="shared" si="2"/>
        <v>-154.49810948999999</v>
      </c>
      <c r="U8" s="133">
        <f t="shared" si="2"/>
        <v>-300.1450108200001</v>
      </c>
      <c r="V8" s="14">
        <f t="shared" ref="V8:X8" si="3">SUM(V9:V10)</f>
        <v>-285.44083651</v>
      </c>
      <c r="W8" s="14">
        <f t="shared" si="3"/>
        <v>-439.93894600000004</v>
      </c>
      <c r="X8" s="14">
        <f t="shared" si="3"/>
        <v>-740.08395682000014</v>
      </c>
      <c r="AA8" s="14">
        <f t="shared" ref="AA8:AB14" si="4">HLOOKUP(AA$6,$D$6:$X$21,$A8,0)</f>
        <v>-300.1450108200001</v>
      </c>
      <c r="AB8" s="14">
        <f t="shared" si="4"/>
        <v>-99.790024500000015</v>
      </c>
      <c r="AC8" s="14">
        <f t="shared" ref="AC8:AC13" si="5">IFERROR(AA8-AB8,"-")</f>
        <v>-200.35498632000008</v>
      </c>
      <c r="AD8" s="85">
        <f t="shared" ref="AD8:AD13" si="6">IFERROR(AA8/AB8-1,"-")</f>
        <v>2.007765679223779</v>
      </c>
    </row>
    <row r="9" spans="1:30" ht="14.45" customHeight="1">
      <c r="A9" s="31">
        <v>4</v>
      </c>
      <c r="B9" s="15" t="s">
        <v>31</v>
      </c>
      <c r="D9" s="16">
        <v>-46.929965239999994</v>
      </c>
      <c r="E9" s="16">
        <v>-58.168895100000007</v>
      </c>
      <c r="F9" s="16">
        <v>-63.31713834</v>
      </c>
      <c r="G9" s="16">
        <v>-67.483006380000006</v>
      </c>
      <c r="H9" s="16">
        <f>SUM(D9:E9)</f>
        <v>-105.09886034</v>
      </c>
      <c r="I9" s="16">
        <f>SUM(D9:F9)</f>
        <v>-168.41599868</v>
      </c>
      <c r="J9" s="16">
        <f>SUM(D9:G9)</f>
        <v>-235.89900506000001</v>
      </c>
      <c r="K9" s="16">
        <v>-105.47148373</v>
      </c>
      <c r="L9" s="16">
        <v>-99.7153943</v>
      </c>
      <c r="M9" s="16">
        <v>-115.93561066999999</v>
      </c>
      <c r="N9" s="16">
        <v>-107.86140842000002</v>
      </c>
      <c r="O9" s="16">
        <f>SUM(K9:L9)</f>
        <v>-205.18687803</v>
      </c>
      <c r="P9" s="16">
        <f>SUM(K9:M9)</f>
        <v>-321.12248869999996</v>
      </c>
      <c r="Q9" s="16">
        <f>SUM(K9:N9)</f>
        <v>-428.98389711999999</v>
      </c>
      <c r="R9" s="16">
        <v>-115.43750446999999</v>
      </c>
      <c r="S9" s="16">
        <v>-122.47991722</v>
      </c>
      <c r="T9" s="16">
        <v>-126.46382273</v>
      </c>
      <c r="U9" s="134">
        <v>-125.18194741000013</v>
      </c>
      <c r="V9" s="16">
        <f t="shared" ref="V9:V12" si="7">SUM(R9:S9)</f>
        <v>-237.91742169</v>
      </c>
      <c r="W9" s="16">
        <f>SUM(R9:T9)</f>
        <v>-364.38124442000003</v>
      </c>
      <c r="X9" s="16">
        <f t="shared" ref="X9:X10" si="8">SUM(R9:U9)</f>
        <v>-489.56319183000016</v>
      </c>
      <c r="AA9" s="16">
        <f t="shared" si="4"/>
        <v>-125.18194741000013</v>
      </c>
      <c r="AB9" s="16">
        <f t="shared" si="4"/>
        <v>-107.86140842000002</v>
      </c>
      <c r="AC9" s="16">
        <f t="shared" si="5"/>
        <v>-17.320538990000117</v>
      </c>
      <c r="AD9" s="86">
        <f t="shared" si="6"/>
        <v>0.16058142799838016</v>
      </c>
    </row>
    <row r="10" spans="1:30" ht="14.45" customHeight="1">
      <c r="A10" s="31">
        <v>5</v>
      </c>
      <c r="B10" s="15" t="s">
        <v>30</v>
      </c>
      <c r="D10" s="16">
        <v>-27.458503159999999</v>
      </c>
      <c r="E10" s="16">
        <v>-29.258521450000003</v>
      </c>
      <c r="F10" s="16">
        <v>-27.832560360000002</v>
      </c>
      <c r="G10" s="16">
        <v>-34.22993554</v>
      </c>
      <c r="H10" s="16">
        <f>SUM(D10:E10)</f>
        <v>-56.717024610000003</v>
      </c>
      <c r="I10" s="16">
        <f>SUM(D10:F10)</f>
        <v>-84.549584970000012</v>
      </c>
      <c r="J10" s="16">
        <f>SUM(D10:G10)</f>
        <v>-118.77952051000001</v>
      </c>
      <c r="K10" s="16">
        <v>-22.638416629999998</v>
      </c>
      <c r="L10" s="16">
        <v>-13.244900529999997</v>
      </c>
      <c r="M10" s="16">
        <v>-38.446411310000002</v>
      </c>
      <c r="N10" s="16">
        <v>8.0713839200000024</v>
      </c>
      <c r="O10" s="16">
        <f>SUM(K10:L10)</f>
        <v>-35.883317159999997</v>
      </c>
      <c r="P10" s="16">
        <f>SUM(K10:M10)</f>
        <v>-74.329728469999992</v>
      </c>
      <c r="Q10" s="16">
        <f>SUM(K10:N10)</f>
        <v>-66.25834454999999</v>
      </c>
      <c r="R10" s="16">
        <v>-21.414028160000001</v>
      </c>
      <c r="S10" s="16">
        <v>-26.109386659999998</v>
      </c>
      <c r="T10" s="16">
        <v>-28.034286760000001</v>
      </c>
      <c r="U10" s="134">
        <v>-174.96306340999996</v>
      </c>
      <c r="V10" s="16">
        <f t="shared" si="7"/>
        <v>-47.523414819999999</v>
      </c>
      <c r="W10" s="16">
        <f>SUM(R10:T10)</f>
        <v>-75.55770158</v>
      </c>
      <c r="X10" s="16">
        <f t="shared" si="8"/>
        <v>-250.52076498999998</v>
      </c>
      <c r="AA10" s="16">
        <f t="shared" si="4"/>
        <v>-174.96306340999996</v>
      </c>
      <c r="AB10" s="16">
        <f t="shared" si="4"/>
        <v>8.0713839200000024</v>
      </c>
      <c r="AC10" s="16">
        <f t="shared" si="5"/>
        <v>-183.03444732999998</v>
      </c>
      <c r="AD10" s="86">
        <f t="shared" si="6"/>
        <v>-22.676959632221276</v>
      </c>
    </row>
    <row r="11" spans="1:30" ht="14.45" customHeight="1">
      <c r="A11" s="31">
        <v>6</v>
      </c>
      <c r="B11" s="17" t="s">
        <v>23</v>
      </c>
      <c r="D11" s="18">
        <f t="shared" ref="D11:N11" si="9">D7+D8</f>
        <v>775.88060287000008</v>
      </c>
      <c r="E11" s="18">
        <f t="shared" si="9"/>
        <v>951.66078805000018</v>
      </c>
      <c r="F11" s="18">
        <f t="shared" si="9"/>
        <v>998.33489319</v>
      </c>
      <c r="G11" s="18">
        <f t="shared" si="9"/>
        <v>1110.2201352499997</v>
      </c>
      <c r="H11" s="18">
        <f>H7+H8</f>
        <v>1727.5413909200001</v>
      </c>
      <c r="I11" s="18">
        <f>I7+I8</f>
        <v>2725.8762841100001</v>
      </c>
      <c r="J11" s="18">
        <f>J7+J8</f>
        <v>3836.0964193599998</v>
      </c>
      <c r="K11" s="18">
        <f t="shared" si="9"/>
        <v>1508.25885356</v>
      </c>
      <c r="L11" s="18">
        <f t="shared" si="9"/>
        <v>1607.4924876299999</v>
      </c>
      <c r="M11" s="18">
        <f t="shared" si="9"/>
        <v>1715.5222279899997</v>
      </c>
      <c r="N11" s="18">
        <f t="shared" si="9"/>
        <v>1702.9145540200002</v>
      </c>
      <c r="O11" s="18">
        <f>O7+O8</f>
        <v>3115.7513411899999</v>
      </c>
      <c r="P11" s="18">
        <f>P7+P8</f>
        <v>4831.2735691799999</v>
      </c>
      <c r="Q11" s="18">
        <f>Q7+Q8</f>
        <v>6534.1881232000005</v>
      </c>
      <c r="R11" s="18">
        <f t="shared" ref="R11:U11" si="10">R7+R8</f>
        <v>1755.5240640499997</v>
      </c>
      <c r="S11" s="18">
        <f t="shared" si="10"/>
        <v>1853.6096961200001</v>
      </c>
      <c r="T11" s="18">
        <f t="shared" si="10"/>
        <v>1954.92381067</v>
      </c>
      <c r="U11" s="131">
        <f t="shared" si="10"/>
        <v>1762.8700478399983</v>
      </c>
      <c r="V11" s="18">
        <f t="shared" ref="V11:X11" si="11">V7+V8</f>
        <v>3609.1337601699997</v>
      </c>
      <c r="W11" s="18">
        <f t="shared" si="11"/>
        <v>5564.0575708399992</v>
      </c>
      <c r="X11" s="18">
        <f t="shared" si="11"/>
        <v>7326.927618679998</v>
      </c>
      <c r="AA11" s="18">
        <f t="shared" si="4"/>
        <v>1762.8700478399983</v>
      </c>
      <c r="AB11" s="18">
        <f t="shared" si="4"/>
        <v>1702.9145540200002</v>
      </c>
      <c r="AC11" s="18">
        <f t="shared" si="5"/>
        <v>59.955493819998082</v>
      </c>
      <c r="AD11" s="87">
        <f t="shared" si="6"/>
        <v>3.5207576139662189E-2</v>
      </c>
    </row>
    <row r="12" spans="1:30" ht="14.45" customHeight="1">
      <c r="A12" s="31">
        <v>7</v>
      </c>
      <c r="B12" s="13" t="s">
        <v>11</v>
      </c>
      <c r="D12" s="14">
        <v>-613.96579786999996</v>
      </c>
      <c r="E12" s="14">
        <v>-676.73374650164931</v>
      </c>
      <c r="F12" s="14">
        <v>-756.83988029582213</v>
      </c>
      <c r="G12" s="14">
        <v>-961.33525983930281</v>
      </c>
      <c r="H12" s="14">
        <f>SUM(D12:E12)</f>
        <v>-1290.6995443716492</v>
      </c>
      <c r="I12" s="14">
        <f>SUM(D12:F12)</f>
        <v>-2047.5394246674714</v>
      </c>
      <c r="J12" s="14">
        <f>SUM(D12:G12)</f>
        <v>-3008.8746845067744</v>
      </c>
      <c r="K12" s="14">
        <v>-1110.7711497341131</v>
      </c>
      <c r="L12" s="14">
        <v>-1184.1981851974176</v>
      </c>
      <c r="M12" s="14">
        <v>-1217.0653282956882</v>
      </c>
      <c r="N12" s="14">
        <v>-1222.11982934</v>
      </c>
      <c r="O12" s="14">
        <f>SUM(K12:L12)</f>
        <v>-2294.9693349315307</v>
      </c>
      <c r="P12" s="14">
        <f>SUM(K12:M12)</f>
        <v>-3512.034663227219</v>
      </c>
      <c r="Q12" s="14">
        <f>SUM(K12:N12)</f>
        <v>-4734.1544925672188</v>
      </c>
      <c r="R12" s="14">
        <v>-1302.8121984075203</v>
      </c>
      <c r="S12" s="14">
        <v>-1363.9766570910488</v>
      </c>
      <c r="T12" s="14">
        <v>-1430.2182826931801</v>
      </c>
      <c r="U12" s="133">
        <v>-1511.095137745634</v>
      </c>
      <c r="V12" s="14">
        <f t="shared" si="7"/>
        <v>-2666.7888554985693</v>
      </c>
      <c r="W12" s="14">
        <f t="shared" ref="W12" si="12">SUM(R12:T12)</f>
        <v>-4097.0071381917496</v>
      </c>
      <c r="X12" s="14">
        <f>SUM(R12:U12)</f>
        <v>-5608.1022759373836</v>
      </c>
      <c r="AA12" s="14">
        <f t="shared" si="4"/>
        <v>-1511.095137745634</v>
      </c>
      <c r="AB12" s="14">
        <f t="shared" si="4"/>
        <v>-1222.11982934</v>
      </c>
      <c r="AC12" s="14">
        <f t="shared" si="5"/>
        <v>-288.975308405634</v>
      </c>
      <c r="AD12" s="85">
        <f t="shared" si="6"/>
        <v>0.2364541524227568</v>
      </c>
    </row>
    <row r="13" spans="1:30" ht="14.45" customHeight="1">
      <c r="A13" s="31">
        <v>8</v>
      </c>
      <c r="B13" s="17" t="s">
        <v>12</v>
      </c>
      <c r="D13" s="18">
        <f t="shared" ref="D13:N13" si="13">D11+D12</f>
        <v>161.91480500000011</v>
      </c>
      <c r="E13" s="18">
        <f t="shared" si="13"/>
        <v>274.92704154835087</v>
      </c>
      <c r="F13" s="18">
        <f t="shared" si="13"/>
        <v>241.49501289417788</v>
      </c>
      <c r="G13" s="18">
        <f t="shared" si="13"/>
        <v>148.88487541069685</v>
      </c>
      <c r="H13" s="18">
        <f>H11+H12</f>
        <v>436.84184654835099</v>
      </c>
      <c r="I13" s="18">
        <f>I11+I12</f>
        <v>678.33685944252875</v>
      </c>
      <c r="J13" s="18">
        <f>J11+J12</f>
        <v>827.22173485322537</v>
      </c>
      <c r="K13" s="18">
        <f t="shared" si="13"/>
        <v>397.48770382588691</v>
      </c>
      <c r="L13" s="18">
        <f t="shared" si="13"/>
        <v>423.2943024325823</v>
      </c>
      <c r="M13" s="18">
        <f t="shared" si="13"/>
        <v>498.45689969431146</v>
      </c>
      <c r="N13" s="18">
        <f t="shared" si="13"/>
        <v>480.79472468000017</v>
      </c>
      <c r="O13" s="18">
        <f>O11+O12</f>
        <v>820.78200625846921</v>
      </c>
      <c r="P13" s="18">
        <f>P11+P12</f>
        <v>1319.2389059527809</v>
      </c>
      <c r="Q13" s="18">
        <f>Q11+Q12</f>
        <v>1800.0336306327818</v>
      </c>
      <c r="R13" s="18">
        <f t="shared" ref="R13:U13" si="14">R11+R12</f>
        <v>452.71186564247932</v>
      </c>
      <c r="S13" s="18">
        <f t="shared" si="14"/>
        <v>489.63303902895132</v>
      </c>
      <c r="T13" s="18">
        <f t="shared" si="14"/>
        <v>524.70552797681989</v>
      </c>
      <c r="U13" s="139">
        <f t="shared" si="14"/>
        <v>251.77491009436426</v>
      </c>
      <c r="V13" s="18">
        <f>V11+V12</f>
        <v>942.34490467143041</v>
      </c>
      <c r="W13" s="18">
        <f>W11+W12</f>
        <v>1467.0504326482496</v>
      </c>
      <c r="X13" s="18">
        <f>X11+X12</f>
        <v>1718.8253427426143</v>
      </c>
      <c r="AA13" s="18">
        <f t="shared" si="4"/>
        <v>251.77491009436426</v>
      </c>
      <c r="AB13" s="18">
        <f t="shared" si="4"/>
        <v>480.79472468000017</v>
      </c>
      <c r="AC13" s="18">
        <f t="shared" si="5"/>
        <v>-229.01981458563591</v>
      </c>
      <c r="AD13" s="87">
        <f t="shared" si="6"/>
        <v>-0.47633595551212282</v>
      </c>
    </row>
    <row r="14" spans="1:30" ht="14.45" customHeight="1">
      <c r="A14" s="31">
        <v>9</v>
      </c>
      <c r="B14" s="20" t="s">
        <v>105</v>
      </c>
      <c r="D14" s="21">
        <f t="shared" ref="D14:N14" si="15">IFERROR(D13/D11,"-")</f>
        <v>0.20868520800890439</v>
      </c>
      <c r="E14" s="21">
        <f t="shared" si="15"/>
        <v>0.28889184570868987</v>
      </c>
      <c r="F14" s="21">
        <f t="shared" si="15"/>
        <v>0.24189779856589394</v>
      </c>
      <c r="G14" s="21">
        <f t="shared" si="15"/>
        <v>0.13410392289198655</v>
      </c>
      <c r="H14" s="21">
        <f>IFERROR(H13/H11,"-")</f>
        <v>0.25286910568071042</v>
      </c>
      <c r="I14" s="21">
        <f>IFERROR(I13/I11,"-")</f>
        <v>0.24885093406357803</v>
      </c>
      <c r="J14" s="21">
        <f>IFERROR(J13/J11,"-")</f>
        <v>0.21564153879928702</v>
      </c>
      <c r="K14" s="21">
        <f t="shared" si="15"/>
        <v>0.26354077278424837</v>
      </c>
      <c r="L14" s="21">
        <f t="shared" si="15"/>
        <v>0.26332583554195299</v>
      </c>
      <c r="M14" s="21">
        <f t="shared" si="15"/>
        <v>0.29055694619493855</v>
      </c>
      <c r="N14" s="21">
        <f t="shared" si="15"/>
        <v>0.28233637650521448</v>
      </c>
      <c r="O14" s="21">
        <f>IFERROR(O13/O11,"-")</f>
        <v>0.26342988139258494</v>
      </c>
      <c r="P14" s="21">
        <f>IFERROR(P13/P11,"-")</f>
        <v>0.27306234827366482</v>
      </c>
      <c r="Q14" s="21">
        <f>IFERROR(Q13/Q11,"-")</f>
        <v>0.2754793092414437</v>
      </c>
      <c r="R14" s="21">
        <f t="shared" ref="R14:U14" si="16">IFERROR(R13/R11,"-")</f>
        <v>0.25787847339333625</v>
      </c>
      <c r="S14" s="21">
        <f t="shared" si="16"/>
        <v>0.26415109936782138</v>
      </c>
      <c r="T14" s="21">
        <f t="shared" si="16"/>
        <v>0.26840203444910243</v>
      </c>
      <c r="U14" s="140">
        <f t="shared" si="16"/>
        <v>0.14282102665642196</v>
      </c>
      <c r="V14" s="21">
        <f t="shared" ref="V14:X14" si="17">IFERROR(V13/V11,"-")</f>
        <v>0.26110002213579458</v>
      </c>
      <c r="W14" s="21">
        <f t="shared" si="17"/>
        <v>0.26366557390360912</v>
      </c>
      <c r="X14" s="21">
        <f t="shared" si="17"/>
        <v>0.23459019007646126</v>
      </c>
      <c r="AA14" s="21">
        <f t="shared" si="4"/>
        <v>0.14282102665642196</v>
      </c>
      <c r="AB14" s="21">
        <f t="shared" si="4"/>
        <v>0.28233637650521448</v>
      </c>
      <c r="AC14" s="94">
        <f>IFERROR((AA14-AB14)*100,"-")</f>
        <v>-13.951534984879252</v>
      </c>
      <c r="AD14" s="21"/>
    </row>
    <row r="15" spans="1:30" ht="14.45" customHeight="1">
      <c r="A15" s="31">
        <v>10</v>
      </c>
      <c r="B15" s="23"/>
      <c r="D15" s="24"/>
      <c r="E15" s="24"/>
      <c r="F15" s="24"/>
      <c r="G15" s="24"/>
      <c r="H15" s="24"/>
      <c r="I15" s="24"/>
      <c r="J15" s="24"/>
      <c r="K15" s="24"/>
      <c r="L15" s="24"/>
      <c r="M15" s="24"/>
      <c r="N15" s="24"/>
      <c r="O15" s="24"/>
      <c r="P15" s="24"/>
      <c r="Q15" s="24"/>
      <c r="R15" s="24"/>
      <c r="S15" s="24"/>
      <c r="T15" s="24"/>
      <c r="U15" s="24"/>
      <c r="V15" s="24"/>
      <c r="W15" s="24"/>
      <c r="X15" s="24"/>
      <c r="AA15" s="24"/>
      <c r="AB15" s="24"/>
      <c r="AC15" s="24"/>
      <c r="AD15" s="24"/>
    </row>
    <row r="16" spans="1:30" ht="14.45" customHeight="1" thickBot="1">
      <c r="A16" s="31">
        <v>11</v>
      </c>
      <c r="B16" s="9" t="s">
        <v>118</v>
      </c>
      <c r="D16" s="10" t="s">
        <v>10</v>
      </c>
      <c r="E16" s="10" t="s">
        <v>24</v>
      </c>
      <c r="F16" s="10" t="s">
        <v>27</v>
      </c>
      <c r="G16" s="10" t="s">
        <v>29</v>
      </c>
      <c r="H16" s="10" t="s">
        <v>69</v>
      </c>
      <c r="I16" s="10" t="s">
        <v>70</v>
      </c>
      <c r="J16" s="10">
        <v>2021</v>
      </c>
      <c r="K16" s="10" t="s">
        <v>59</v>
      </c>
      <c r="L16" s="10" t="s">
        <v>60</v>
      </c>
      <c r="M16" s="10" t="s">
        <v>61</v>
      </c>
      <c r="N16" s="10" t="s">
        <v>71</v>
      </c>
      <c r="O16" s="10" t="s">
        <v>72</v>
      </c>
      <c r="P16" s="10" t="s">
        <v>73</v>
      </c>
      <c r="Q16" s="10">
        <v>2022</v>
      </c>
      <c r="R16" s="10" t="s">
        <v>191</v>
      </c>
      <c r="S16" s="10" t="s">
        <v>192</v>
      </c>
      <c r="T16" s="10" t="s">
        <v>193</v>
      </c>
      <c r="U16" s="10" t="s">
        <v>194</v>
      </c>
      <c r="V16" s="10" t="s">
        <v>195</v>
      </c>
      <c r="W16" s="10" t="s">
        <v>196</v>
      </c>
      <c r="X16" s="10">
        <v>2023</v>
      </c>
      <c r="AA16" s="10" t="str">
        <f>AA6</f>
        <v>4Q23</v>
      </c>
      <c r="AB16" s="10" t="str">
        <f>AB6</f>
        <v>4Q22</v>
      </c>
      <c r="AC16" s="10" t="str">
        <f>AC6</f>
        <v>Var. (Vol)</v>
      </c>
      <c r="AD16" s="10" t="str">
        <f>AD6</f>
        <v>Var. (%)</v>
      </c>
    </row>
    <row r="17" spans="1:30" ht="14.45" customHeight="1" thickTop="1">
      <c r="A17" s="31">
        <v>12</v>
      </c>
      <c r="B17" s="58" t="s">
        <v>116</v>
      </c>
      <c r="D17" s="32">
        <v>1910</v>
      </c>
      <c r="E17" s="32">
        <v>2174</v>
      </c>
      <c r="F17" s="32">
        <v>2360</v>
      </c>
      <c r="G17" s="32">
        <v>2750.728260869565</v>
      </c>
      <c r="H17" s="32">
        <f>AVERAGE(D17:E17)</f>
        <v>2042</v>
      </c>
      <c r="I17" s="32">
        <f>AVERAGE(D17:F17)</f>
        <v>2148</v>
      </c>
      <c r="J17" s="32">
        <f>AVERAGE(D17:G17)</f>
        <v>2298.682065217391</v>
      </c>
      <c r="K17" s="32">
        <v>3281</v>
      </c>
      <c r="L17" s="32">
        <v>3417</v>
      </c>
      <c r="M17" s="32">
        <v>3408</v>
      </c>
      <c r="N17" s="32">
        <v>3408</v>
      </c>
      <c r="O17" s="32">
        <f>AVERAGE(K17:L17)</f>
        <v>3349</v>
      </c>
      <c r="P17" s="32">
        <f>AVERAGE(K17:M17)</f>
        <v>3368.6666666666665</v>
      </c>
      <c r="Q17" s="32">
        <f>AVERAGE(K17:N17)</f>
        <v>3378.5</v>
      </c>
      <c r="R17" s="32">
        <v>3408</v>
      </c>
      <c r="S17" s="32">
        <v>3408</v>
      </c>
      <c r="T17" s="32">
        <v>3408</v>
      </c>
      <c r="U17" s="141">
        <v>3408</v>
      </c>
      <c r="V17" s="141">
        <f>S17</f>
        <v>3408</v>
      </c>
      <c r="W17" s="141">
        <f>T17</f>
        <v>3408</v>
      </c>
      <c r="X17" s="141">
        <f>U17</f>
        <v>3408</v>
      </c>
      <c r="AA17" s="16">
        <f t="shared" ref="AA17:AB21" si="18">HLOOKUP(AA$6,$D$6:$X$21,$A17,0)</f>
        <v>3408</v>
      </c>
      <c r="AB17" s="16">
        <f t="shared" si="18"/>
        <v>3408</v>
      </c>
      <c r="AC17" s="16">
        <f>0+(IFERROR(AA17-AB17,"-"))</f>
        <v>0</v>
      </c>
      <c r="AD17" s="86">
        <f t="shared" ref="AD17:AD20" si="19">IFERROR(AA17/AB17-1,"-")</f>
        <v>0</v>
      </c>
    </row>
    <row r="18" spans="1:30" ht="14.45" customHeight="1">
      <c r="A18" s="31">
        <v>13</v>
      </c>
      <c r="B18" s="33" t="s">
        <v>117</v>
      </c>
      <c r="D18" s="26">
        <v>1531</v>
      </c>
      <c r="E18" s="26">
        <v>1815</v>
      </c>
      <c r="F18" s="26">
        <v>1878</v>
      </c>
      <c r="G18" s="26">
        <v>2243.9207339878444</v>
      </c>
      <c r="H18" s="26">
        <f>AVERAGE(D18:E18)</f>
        <v>1673</v>
      </c>
      <c r="I18" s="26">
        <f>AVERAGE(D18:F18)</f>
        <v>1741.3333333333333</v>
      </c>
      <c r="J18" s="26">
        <f>AVERAGE(D18:G18)</f>
        <v>1866.9801834969612</v>
      </c>
      <c r="K18" s="26">
        <v>2774</v>
      </c>
      <c r="L18" s="26">
        <v>2923.33</v>
      </c>
      <c r="M18" s="26">
        <v>2933.6666666666665</v>
      </c>
      <c r="N18" s="26">
        <v>2923.8430432402847</v>
      </c>
      <c r="O18" s="26">
        <f>AVERAGE(K18:L18)</f>
        <v>2848.665</v>
      </c>
      <c r="P18" s="26">
        <f>AVERAGE(K18:M18)</f>
        <v>2876.9988888888888</v>
      </c>
      <c r="Q18" s="26">
        <f>AVERAGE(K18:N18)</f>
        <v>2888.7099274767379</v>
      </c>
      <c r="R18" s="26">
        <v>2864</v>
      </c>
      <c r="S18" s="26">
        <v>2989.41</v>
      </c>
      <c r="T18" s="26">
        <v>2974.33</v>
      </c>
      <c r="U18" s="137">
        <v>2976.88</v>
      </c>
      <c r="V18" s="137">
        <f>AVERAGE(R18:S18)</f>
        <v>2926.7049999999999</v>
      </c>
      <c r="W18" s="137">
        <f>AVERAGE(R18:T18)</f>
        <v>2942.58</v>
      </c>
      <c r="X18" s="137">
        <f>AVERAGE(R18:U18)</f>
        <v>2951.1549999999997</v>
      </c>
      <c r="AA18" s="16">
        <f t="shared" si="18"/>
        <v>2976.88</v>
      </c>
      <c r="AB18" s="16">
        <f t="shared" si="18"/>
        <v>2923.8430432402847</v>
      </c>
      <c r="AC18" s="16">
        <f t="shared" ref="AC18:AC20" si="20">0+(IFERROR(AA18-AB18,"-"))</f>
        <v>53.036956759715395</v>
      </c>
      <c r="AD18" s="86">
        <f t="shared" si="19"/>
        <v>1.8139467808415022E-2</v>
      </c>
    </row>
    <row r="19" spans="1:30" ht="14.45" customHeight="1">
      <c r="A19" s="31">
        <v>14</v>
      </c>
      <c r="B19" s="33" t="s">
        <v>101</v>
      </c>
      <c r="D19" s="26">
        <v>105932</v>
      </c>
      <c r="E19" s="26">
        <v>127114</v>
      </c>
      <c r="F19" s="26">
        <v>131817</v>
      </c>
      <c r="G19" s="26">
        <v>154773</v>
      </c>
      <c r="H19" s="26">
        <f>SUM(D19:E19)</f>
        <v>233046</v>
      </c>
      <c r="I19" s="26">
        <f>SUM(D19:F19)</f>
        <v>364863</v>
      </c>
      <c r="J19" s="26">
        <f>SUM(D19:G19)</f>
        <v>519636</v>
      </c>
      <c r="K19" s="26">
        <v>188756</v>
      </c>
      <c r="L19" s="26">
        <v>207007</v>
      </c>
      <c r="M19" s="26">
        <v>208488</v>
      </c>
      <c r="N19" s="26">
        <v>200984</v>
      </c>
      <c r="O19" s="26">
        <f>SUM(K19:L19)</f>
        <v>395763</v>
      </c>
      <c r="P19" s="26">
        <f>SUM(K19:M19)</f>
        <v>604251</v>
      </c>
      <c r="Q19" s="26">
        <f>SUM(K19:N19)</f>
        <v>805235</v>
      </c>
      <c r="R19" s="26">
        <v>199232</v>
      </c>
      <c r="S19" s="26">
        <v>217235</v>
      </c>
      <c r="T19" s="26">
        <v>214748</v>
      </c>
      <c r="U19" s="137">
        <v>209094</v>
      </c>
      <c r="V19" s="137">
        <f>SUM(R19:S19)</f>
        <v>416467</v>
      </c>
      <c r="W19" s="137">
        <f>SUM(R19:T19)</f>
        <v>631215</v>
      </c>
      <c r="X19" s="137">
        <f>SUM(R19:U19)</f>
        <v>840309</v>
      </c>
      <c r="AA19" s="16">
        <f t="shared" si="18"/>
        <v>209094</v>
      </c>
      <c r="AB19" s="16">
        <f t="shared" si="18"/>
        <v>200984</v>
      </c>
      <c r="AC19" s="16">
        <f t="shared" si="20"/>
        <v>8110</v>
      </c>
      <c r="AD19" s="86">
        <f t="shared" si="19"/>
        <v>4.0351470763841935E-2</v>
      </c>
    </row>
    <row r="20" spans="1:30" ht="14.45" customHeight="1">
      <c r="A20" s="31">
        <v>15</v>
      </c>
      <c r="B20" s="33" t="s">
        <v>102</v>
      </c>
      <c r="D20" s="26">
        <f>IFERROR((D7*1000000)/D19,"-")</f>
        <v>8026.5554437752517</v>
      </c>
      <c r="E20" s="26">
        <f t="shared" ref="E20:N20" si="21">IFERROR((E7*1000000)/E19,"-")</f>
        <v>8174.4591830954905</v>
      </c>
      <c r="F20" s="26">
        <f t="shared" si="21"/>
        <v>8265.129625844922</v>
      </c>
      <c r="G20" s="26">
        <f t="shared" si="21"/>
        <v>7830.3908121571567</v>
      </c>
      <c r="H20" s="26">
        <f>IFERROR((H7*1000000)/H19,"-")</f>
        <v>8107.2289413677991</v>
      </c>
      <c r="I20" s="26">
        <f>IFERROR((I7*1000000)/I19,"-")</f>
        <v>8164.2749957107198</v>
      </c>
      <c r="J20" s="26">
        <f>IFERROR((J7*1000000)/J19,"-")</f>
        <v>8064.8279659800319</v>
      </c>
      <c r="K20" s="26">
        <f t="shared" si="21"/>
        <v>8669.2277539257029</v>
      </c>
      <c r="L20" s="26">
        <f t="shared" si="21"/>
        <v>8311.0850476553933</v>
      </c>
      <c r="M20" s="26">
        <f t="shared" si="21"/>
        <v>8968.8819019320053</v>
      </c>
      <c r="N20" s="26">
        <f t="shared" si="21"/>
        <v>8969.3934766946641</v>
      </c>
      <c r="O20" s="26">
        <f t="shared" ref="O20:S20" si="22">IFERROR((O7*1000000)/O19,"-")</f>
        <v>8481.8983492140505</v>
      </c>
      <c r="P20" s="26">
        <f t="shared" si="22"/>
        <v>8649.9249258172513</v>
      </c>
      <c r="Q20" s="26">
        <f t="shared" si="22"/>
        <v>8729.6632223760771</v>
      </c>
      <c r="R20" s="26">
        <f t="shared" si="22"/>
        <v>9498.3516537504001</v>
      </c>
      <c r="S20" s="26">
        <f t="shared" si="22"/>
        <v>9216.7422376688846</v>
      </c>
      <c r="T20" s="26">
        <f t="shared" ref="T20:W20" si="23">IFERROR((T7*1000000)/T19,"-")</f>
        <v>9822.7779544396217</v>
      </c>
      <c r="U20" s="142">
        <f t="shared" si="23"/>
        <v>9866.4479069700628</v>
      </c>
      <c r="V20" s="137">
        <f t="shared" si="23"/>
        <v>9351.4602517846542</v>
      </c>
      <c r="W20" s="137">
        <f t="shared" si="23"/>
        <v>9511.8089982652491</v>
      </c>
      <c r="X20" s="142">
        <f t="shared" ref="X20" si="24">IFERROR((X7*1000000)/X19,"-")</f>
        <v>9600.0537605809277</v>
      </c>
      <c r="AA20" s="16">
        <f t="shared" si="18"/>
        <v>9866.4479069700628</v>
      </c>
      <c r="AB20" s="16">
        <f t="shared" si="18"/>
        <v>8969.3934766946641</v>
      </c>
      <c r="AC20" s="16">
        <f t="shared" si="20"/>
        <v>897.05443027539877</v>
      </c>
      <c r="AD20" s="86">
        <f t="shared" si="19"/>
        <v>0.10001283058951893</v>
      </c>
    </row>
    <row r="21" spans="1:30" ht="14.45" customHeight="1">
      <c r="A21" s="31">
        <v>16</v>
      </c>
      <c r="B21" s="33" t="s">
        <v>135</v>
      </c>
      <c r="D21" s="54">
        <f>IFERROR((D19/(D18*D5)),"-")</f>
        <v>0.76879309093548154</v>
      </c>
      <c r="E21" s="54">
        <f t="shared" ref="E21:N21" si="25">IFERROR((E19/(E18*E5)),"-")</f>
        <v>0.76961826052735138</v>
      </c>
      <c r="F21" s="54">
        <f t="shared" si="25"/>
        <v>0.76293582442005836</v>
      </c>
      <c r="G21" s="54">
        <f t="shared" si="25"/>
        <v>0.74972132121687396</v>
      </c>
      <c r="H21" s="54">
        <f>IFERROR((H19/(H18*H5)),"-")</f>
        <v>0.76960368280093661</v>
      </c>
      <c r="I21" s="54">
        <f>IFERROR((I19/(I18*I5)),"-")</f>
        <v>0.767512158591791</v>
      </c>
      <c r="J21" s="54">
        <f>IFERROR((J19/(J18*J5)),"-")</f>
        <v>0.76254707283823719</v>
      </c>
      <c r="K21" s="54">
        <f t="shared" si="25"/>
        <v>0.75605223103420649</v>
      </c>
      <c r="L21" s="54">
        <f t="shared" si="25"/>
        <v>0.77815443271960338</v>
      </c>
      <c r="M21" s="54">
        <f t="shared" si="25"/>
        <v>0.77247150768440354</v>
      </c>
      <c r="N21" s="54">
        <f t="shared" si="25"/>
        <v>0.74717030406363039</v>
      </c>
      <c r="O21" s="54">
        <f t="shared" ref="O21:S21" si="26">IFERROR((O19/(O18*O5)),"-")</f>
        <v>0.76756512668292343</v>
      </c>
      <c r="P21" s="54">
        <f t="shared" si="26"/>
        <v>0.7693341957557871</v>
      </c>
      <c r="Q21" s="54">
        <f t="shared" si="26"/>
        <v>0.76370537127563443</v>
      </c>
      <c r="R21" s="54">
        <f t="shared" si="26"/>
        <v>0.77293606455617625</v>
      </c>
      <c r="S21" s="54">
        <f t="shared" si="26"/>
        <v>0.7985514874834172</v>
      </c>
      <c r="T21" s="54">
        <f t="shared" ref="T21:W21" si="27">IFERROR((T19/(T18*T5)),"-")</f>
        <v>0.78478762992147744</v>
      </c>
      <c r="U21" s="143">
        <f t="shared" si="27"/>
        <v>0.76347077126562612</v>
      </c>
      <c r="V21" s="143">
        <f t="shared" si="27"/>
        <v>0.78618195271942393</v>
      </c>
      <c r="W21" s="143">
        <f t="shared" si="27"/>
        <v>0.78575360980597209</v>
      </c>
      <c r="X21" s="143">
        <f t="shared" ref="X21" si="28">IFERROR((X19/(X18*X5)),"-")</f>
        <v>0.78010692029261919</v>
      </c>
      <c r="AA21" s="107">
        <f t="shared" si="18"/>
        <v>0.76347077126562612</v>
      </c>
      <c r="AB21" s="107">
        <f t="shared" si="18"/>
        <v>0.74717030406363039</v>
      </c>
      <c r="AC21" s="108">
        <f>IFERROR((AA21-AB21)*100,"-")</f>
        <v>1.6300467201995739</v>
      </c>
      <c r="AD21" s="109"/>
    </row>
  </sheetData>
  <pageMargins left="0.25" right="0.25" top="0.75" bottom="0.75" header="0.3" footer="0.3"/>
  <pageSetup paperSize="9" scale="4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5117038483843"/>
    <outlinePr summaryBelow="0"/>
    <pageSetUpPr fitToPage="1"/>
  </sheetPr>
  <dimension ref="A1:AD39"/>
  <sheetViews>
    <sheetView showGridLines="0" zoomScale="85" zoomScaleNormal="85" workbookViewId="0">
      <pane xSplit="3" ySplit="6" topLeftCell="D7" activePane="bottomRight" state="frozen"/>
      <selection pane="topRight" activeCell="D1" sqref="D1"/>
      <selection pane="bottomLeft" activeCell="A7" sqref="A7"/>
      <selection pane="bottomRight" activeCell="AB7" sqref="AB7"/>
    </sheetView>
  </sheetViews>
  <sheetFormatPr defaultColWidth="10.7109375" defaultRowHeight="17.100000000000001" customHeight="1" outlineLevelCol="2"/>
  <cols>
    <col min="1" max="1" width="2" style="8" customWidth="1"/>
    <col min="2" max="2" width="58.42578125" style="8" customWidth="1"/>
    <col min="3" max="3" width="1.42578125" customWidth="1"/>
    <col min="4" max="6" width="16.85546875" style="8" hidden="1" customWidth="1" outlineLevel="1"/>
    <col min="7" max="7" width="18.85546875" style="8" hidden="1" customWidth="1" outlineLevel="1"/>
    <col min="8" max="9" width="16.85546875" style="8" hidden="1" customWidth="1" outlineLevel="1"/>
    <col min="10" max="10" width="16.85546875" style="8" customWidth="1" collapsed="1"/>
    <col min="11" max="11" width="16.85546875" style="8" hidden="1" customWidth="1" outlineLevel="1"/>
    <col min="12" max="13" width="12.5703125" style="8" hidden="1" customWidth="1" outlineLevel="1"/>
    <col min="14" max="14" width="16.85546875" style="8" hidden="1" customWidth="1" outlineLevel="1"/>
    <col min="15" max="16" width="16.85546875" style="8" hidden="1" customWidth="1" outlineLevel="2"/>
    <col min="17" max="17" width="16.85546875" style="8" customWidth="1" collapsed="1"/>
    <col min="18" max="23" width="16.85546875" style="8" hidden="1" customWidth="1" outlineLevel="1"/>
    <col min="24" max="24" width="16.85546875" style="8" customWidth="1" collapsed="1"/>
    <col min="25" max="26" width="3" customWidth="1"/>
    <col min="27" max="28" width="12.42578125" style="8" customWidth="1" collapsed="1"/>
    <col min="29" max="29" width="10.85546875" style="8" customWidth="1" collapsed="1"/>
    <col min="30" max="30" width="9.5703125" style="8" customWidth="1" collapsed="1"/>
  </cols>
  <sheetData>
    <row r="1" spans="1:30" ht="11.25" customHeight="1"/>
    <row r="2" spans="1:30" ht="15"/>
    <row r="3" spans="1:30" ht="15">
      <c r="D3" s="1"/>
      <c r="E3" s="1"/>
      <c r="F3" s="1"/>
      <c r="G3" s="1"/>
      <c r="H3" s="1"/>
      <c r="I3" s="1"/>
      <c r="J3" s="1"/>
      <c r="K3" s="1"/>
      <c r="L3" s="1"/>
      <c r="M3" s="1"/>
      <c r="N3" s="1"/>
      <c r="O3" s="1"/>
      <c r="P3" s="1"/>
      <c r="Q3" s="1"/>
      <c r="R3" s="1"/>
      <c r="S3" s="1"/>
      <c r="T3" s="1"/>
      <c r="U3" s="1"/>
      <c r="V3" s="1"/>
      <c r="W3" s="1"/>
      <c r="X3" s="1"/>
      <c r="AA3" s="1" t="s">
        <v>151</v>
      </c>
      <c r="AB3" s="1"/>
      <c r="AC3" s="1"/>
      <c r="AD3" s="1"/>
    </row>
    <row r="4" spans="1:30" ht="15"/>
    <row r="5" spans="1:30" ht="15">
      <c r="D5" s="34"/>
      <c r="E5" s="34"/>
      <c r="F5" s="34"/>
      <c r="G5" s="34"/>
      <c r="H5" s="34"/>
      <c r="I5" s="34"/>
      <c r="J5" s="34"/>
      <c r="K5" s="34"/>
      <c r="L5" s="34"/>
      <c r="M5" s="34"/>
      <c r="N5" s="34"/>
      <c r="O5" s="34"/>
      <c r="P5" s="34"/>
      <c r="Q5" s="34"/>
      <c r="R5" s="34"/>
      <c r="S5" s="34"/>
      <c r="T5" s="34"/>
      <c r="U5" s="34"/>
      <c r="V5" s="34"/>
      <c r="W5" s="34"/>
      <c r="X5" s="34"/>
    </row>
    <row r="6" spans="1:30" ht="14.45" customHeight="1">
      <c r="B6" s="9" t="s">
        <v>161</v>
      </c>
      <c r="D6" s="10" t="s">
        <v>250</v>
      </c>
      <c r="E6" s="10" t="s">
        <v>251</v>
      </c>
      <c r="F6" s="10" t="s">
        <v>252</v>
      </c>
      <c r="G6" s="10" t="s">
        <v>253</v>
      </c>
      <c r="H6" s="10" t="s">
        <v>254</v>
      </c>
      <c r="I6" s="10" t="s">
        <v>70</v>
      </c>
      <c r="J6" s="10">
        <v>2021</v>
      </c>
      <c r="K6" s="10" t="s">
        <v>197</v>
      </c>
      <c r="L6" s="10" t="s">
        <v>198</v>
      </c>
      <c r="M6" s="10" t="s">
        <v>199</v>
      </c>
      <c r="N6" s="10" t="s">
        <v>200</v>
      </c>
      <c r="O6" s="10" t="s">
        <v>201</v>
      </c>
      <c r="P6" s="10" t="s">
        <v>202</v>
      </c>
      <c r="Q6" s="10">
        <v>2022</v>
      </c>
      <c r="R6" s="10" t="s">
        <v>203</v>
      </c>
      <c r="S6" s="10" t="s">
        <v>204</v>
      </c>
      <c r="T6" s="10" t="s">
        <v>205</v>
      </c>
      <c r="U6" s="10" t="s">
        <v>206</v>
      </c>
      <c r="V6" s="10" t="s">
        <v>207</v>
      </c>
      <c r="W6" s="10" t="s">
        <v>208</v>
      </c>
      <c r="X6" s="10">
        <v>2023</v>
      </c>
      <c r="AA6" s="149" t="s">
        <v>268</v>
      </c>
      <c r="AB6" s="149" t="s">
        <v>261</v>
      </c>
      <c r="AC6" s="10" t="s">
        <v>152</v>
      </c>
      <c r="AD6" s="10" t="s">
        <v>153</v>
      </c>
    </row>
    <row r="7" spans="1:30" ht="14.45" customHeight="1">
      <c r="A7" s="31">
        <v>2</v>
      </c>
      <c r="B7" s="17" t="s">
        <v>74</v>
      </c>
      <c r="D7" s="18">
        <f>SUM(D8:D9)</f>
        <v>1719.1652417486002</v>
      </c>
      <c r="E7" s="18">
        <f>SUM(E8:E9)</f>
        <v>1786.0401827599994</v>
      </c>
      <c r="F7" s="18">
        <f>SUM(F8:F9)</f>
        <v>1853.4656390799998</v>
      </c>
      <c r="G7" s="18">
        <f>SUM(G8:G9)</f>
        <v>1690.55175388</v>
      </c>
      <c r="H7" s="18">
        <f>SUM(D7:E7)</f>
        <v>3505.2054245085997</v>
      </c>
      <c r="I7" s="18">
        <f>SUM(D7:F7)</f>
        <v>5358.6710635885993</v>
      </c>
      <c r="J7" s="18">
        <f>SUM(D7:G7)</f>
        <v>7049.2228174685988</v>
      </c>
      <c r="K7" s="18">
        <f>SUM(K8:K9)</f>
        <v>1745.5480786399999</v>
      </c>
      <c r="L7" s="18">
        <f>SUM(L8:L9)</f>
        <v>1802.6076336099993</v>
      </c>
      <c r="M7" s="18">
        <f>SUM(M8:M9)</f>
        <v>1830.2914102300006</v>
      </c>
      <c r="N7" s="18">
        <f>SUM(N8:N9)</f>
        <v>1718.6300491200006</v>
      </c>
      <c r="O7" s="18">
        <f>SUM(K7:L7)</f>
        <v>3548.1557122499989</v>
      </c>
      <c r="P7" s="18">
        <f>SUM(K7:M7)</f>
        <v>5378.44712248</v>
      </c>
      <c r="Q7" s="18">
        <f>SUM(K7:N7)</f>
        <v>7097.0771716000008</v>
      </c>
      <c r="R7" s="18">
        <f>SUM(R8:R9)</f>
        <v>1906.8214247999999</v>
      </c>
      <c r="S7" s="18">
        <f>SUM(S8:S9)</f>
        <v>1917.8430000000001</v>
      </c>
      <c r="T7" s="18">
        <f>SUM(T8:T9)</f>
        <v>1951.5719444599999</v>
      </c>
      <c r="U7" s="131">
        <f>SUM(U8:U9)</f>
        <v>1714.0076621570652</v>
      </c>
      <c r="V7" s="18">
        <f>SUM(R7:S7)</f>
        <v>3824.6644248000002</v>
      </c>
      <c r="W7" s="18">
        <f>SUM(R7:T7)</f>
        <v>5776.2363692600002</v>
      </c>
      <c r="X7" s="18">
        <f>SUM(R7:U7)</f>
        <v>7490.2440314170653</v>
      </c>
      <c r="AA7" s="18">
        <f t="shared" ref="AA7:AB16" si="0">HLOOKUP(AA$6,$D$6:$X$33,$A7,0)</f>
        <v>1714.0076621570652</v>
      </c>
      <c r="AB7" s="18">
        <f t="shared" si="0"/>
        <v>1718.6300491200006</v>
      </c>
      <c r="AC7" s="18">
        <f>IFERROR(AA7-AB7,"-")</f>
        <v>-4.6223869629354795</v>
      </c>
      <c r="AD7" s="87">
        <f>IFERROR(AA7/AB7-1,"-")</f>
        <v>-2.6895764829099056E-3</v>
      </c>
    </row>
    <row r="8" spans="1:30" ht="14.45" customHeight="1">
      <c r="A8" s="31">
        <v>3</v>
      </c>
      <c r="B8" s="38" t="s">
        <v>92</v>
      </c>
      <c r="D8" s="16">
        <v>1689.3145390786003</v>
      </c>
      <c r="E8" s="16">
        <v>1748.3189004299995</v>
      </c>
      <c r="F8" s="16">
        <v>1801.1811903099999</v>
      </c>
      <c r="G8" s="16">
        <v>1587.0796701300001</v>
      </c>
      <c r="H8" s="16">
        <f>SUM(D8:E8)</f>
        <v>3437.6334395085996</v>
      </c>
      <c r="I8" s="16">
        <f>SUM(D8:F8)</f>
        <v>5238.8146298185993</v>
      </c>
      <c r="J8" s="16">
        <f>SUM(D8:G8)</f>
        <v>6825.8942999485989</v>
      </c>
      <c r="K8" s="16">
        <v>1705.82135406</v>
      </c>
      <c r="L8" s="16">
        <v>1758.3643125799993</v>
      </c>
      <c r="M8" s="16">
        <v>1790.4658783200007</v>
      </c>
      <c r="N8" s="16">
        <v>1701.5247251800006</v>
      </c>
      <c r="O8" s="16">
        <f>SUM(K8:L8)</f>
        <v>3464.185666639999</v>
      </c>
      <c r="P8" s="16">
        <f>SUM(K8:M8)</f>
        <v>5254.6515449599992</v>
      </c>
      <c r="Q8" s="16">
        <f>SUM(K8:N8)</f>
        <v>6956.1762701400003</v>
      </c>
      <c r="R8" s="16">
        <v>1864.7458610799999</v>
      </c>
      <c r="S8" s="16">
        <v>1876.58839076</v>
      </c>
      <c r="T8" s="16">
        <v>1905.3967596099999</v>
      </c>
      <c r="U8" s="134">
        <v>1673.2440885276535</v>
      </c>
      <c r="V8" s="16">
        <f>SUM(R8:S8)</f>
        <v>3741.33425184</v>
      </c>
      <c r="W8" s="16">
        <f>SUM(R8:T8)</f>
        <v>5646.7310114499996</v>
      </c>
      <c r="X8" s="16">
        <f>SUM(R8:U8)</f>
        <v>7319.9750999776534</v>
      </c>
      <c r="AA8" s="16">
        <f t="shared" si="0"/>
        <v>1673.2440885276535</v>
      </c>
      <c r="AB8" s="16">
        <f t="shared" si="0"/>
        <v>1701.5247251800006</v>
      </c>
      <c r="AC8" s="16">
        <f t="shared" ref="AC8:AC15" si="1">IFERROR(AA8-AB8,"-")</f>
        <v>-28.280636652347084</v>
      </c>
      <c r="AD8" s="86">
        <f t="shared" ref="AD8:AD15" si="2">IFERROR(AA8/AB8-1,"-")</f>
        <v>-1.6620761505158455E-2</v>
      </c>
    </row>
    <row r="9" spans="1:30" ht="14.45" customHeight="1">
      <c r="A9" s="31">
        <v>4</v>
      </c>
      <c r="B9" s="38" t="s">
        <v>120</v>
      </c>
      <c r="D9" s="16">
        <v>29.850702669999997</v>
      </c>
      <c r="E9" s="16">
        <v>37.721282330000001</v>
      </c>
      <c r="F9" s="16">
        <v>52.284448769999997</v>
      </c>
      <c r="G9" s="16">
        <v>103.47208375000002</v>
      </c>
      <c r="H9" s="16">
        <f>SUM(D9:E9)</f>
        <v>67.571984999999998</v>
      </c>
      <c r="I9" s="16">
        <f>SUM(D9:F9)</f>
        <v>119.85643377</v>
      </c>
      <c r="J9" s="16">
        <f>SUM(D9:G9)</f>
        <v>223.32851752000002</v>
      </c>
      <c r="K9" s="16">
        <v>39.726724579999996</v>
      </c>
      <c r="L9" s="16">
        <v>44.243321030000004</v>
      </c>
      <c r="M9" s="16">
        <v>39.825531909999995</v>
      </c>
      <c r="N9" s="16">
        <v>17.105323939999998</v>
      </c>
      <c r="O9" s="16">
        <f>SUM(K9:L9)</f>
        <v>83.97004561</v>
      </c>
      <c r="P9" s="16">
        <f>SUM(K9:M9)</f>
        <v>123.79557751999999</v>
      </c>
      <c r="Q9" s="16">
        <f>SUM(K9:N9)</f>
        <v>140.90090146</v>
      </c>
      <c r="R9" s="16">
        <v>42.075563720000005</v>
      </c>
      <c r="S9" s="16">
        <v>41.254609240000008</v>
      </c>
      <c r="T9" s="16">
        <v>46.175184850000051</v>
      </c>
      <c r="U9" s="134">
        <v>40.763573629411759</v>
      </c>
      <c r="V9" s="16">
        <f>SUM(R9:S9)</f>
        <v>83.330172960000013</v>
      </c>
      <c r="W9" s="16">
        <f>SUM(R9:T9)</f>
        <v>129.50535781000008</v>
      </c>
      <c r="X9" s="16">
        <f>SUM(R9:U9)</f>
        <v>170.26893143941183</v>
      </c>
      <c r="AA9" s="16">
        <f t="shared" si="0"/>
        <v>40.763573629411759</v>
      </c>
      <c r="AB9" s="16">
        <f t="shared" si="0"/>
        <v>17.105323939999998</v>
      </c>
      <c r="AC9" s="16">
        <f t="shared" si="1"/>
        <v>23.658249689411761</v>
      </c>
      <c r="AD9" s="86">
        <f t="shared" si="2"/>
        <v>1.3830927594471363</v>
      </c>
    </row>
    <row r="10" spans="1:30" ht="14.45" customHeight="1">
      <c r="A10" s="31">
        <v>5</v>
      </c>
      <c r="B10" s="13" t="s">
        <v>26</v>
      </c>
      <c r="D10" s="14">
        <f t="shared" ref="D10" si="3">SUM(D11:D12)</f>
        <v>-122.23030931423116</v>
      </c>
      <c r="E10" s="14">
        <f t="shared" ref="E10" si="4">SUM(E11:E12)</f>
        <v>-134.46764398004677</v>
      </c>
      <c r="F10" s="14">
        <f t="shared" ref="F10:G10" si="5">SUM(F11:F12)</f>
        <v>-130.59453084000003</v>
      </c>
      <c r="G10" s="14">
        <f t="shared" si="5"/>
        <v>-127.64043357999985</v>
      </c>
      <c r="H10" s="14">
        <f>SUM(H11:H12)</f>
        <v>-256.69795329427797</v>
      </c>
      <c r="I10" s="14">
        <f>SUM(I11:I12)</f>
        <v>-387.29248413427797</v>
      </c>
      <c r="J10" s="14">
        <f>SUM(J11:J12)</f>
        <v>-514.93291771427789</v>
      </c>
      <c r="K10" s="14">
        <f t="shared" ref="K10:N10" si="6">SUM(K11:K12)</f>
        <v>-117.56790693000005</v>
      </c>
      <c r="L10" s="14">
        <f t="shared" si="6"/>
        <v>-121.73817518000001</v>
      </c>
      <c r="M10" s="14">
        <f t="shared" si="6"/>
        <v>-120.46368098000003</v>
      </c>
      <c r="N10" s="14">
        <f t="shared" si="6"/>
        <v>-142.60049070999997</v>
      </c>
      <c r="O10" s="14">
        <f>SUM(O11:O12)</f>
        <v>-239.30608211000009</v>
      </c>
      <c r="P10" s="14">
        <f>SUM(P11:P12)</f>
        <v>-359.76976309000008</v>
      </c>
      <c r="Q10" s="14">
        <f>SUM(Q11:Q12)</f>
        <v>-502.37025380000011</v>
      </c>
      <c r="R10" s="14">
        <f t="shared" ref="R10:U10" si="7">SUM(R11:R12)</f>
        <v>-128.27439113</v>
      </c>
      <c r="S10" s="14">
        <f t="shared" si="7"/>
        <v>-140.51460179000006</v>
      </c>
      <c r="T10" s="14">
        <f t="shared" si="7"/>
        <v>-137.48328875999999</v>
      </c>
      <c r="U10" s="133">
        <f t="shared" si="7"/>
        <v>-158.66752796999987</v>
      </c>
      <c r="V10" s="14">
        <f>SUM(V11:V12)</f>
        <v>-268.78899292000006</v>
      </c>
      <c r="W10" s="14">
        <f>SUM(W11:W12)</f>
        <v>-406.27228167999999</v>
      </c>
      <c r="X10" s="14">
        <f>SUM(X11:X12)</f>
        <v>-564.93980964999992</v>
      </c>
      <c r="AA10" s="14">
        <f t="shared" si="0"/>
        <v>-158.66752796999987</v>
      </c>
      <c r="AB10" s="14">
        <f t="shared" si="0"/>
        <v>-142.60049070999997</v>
      </c>
      <c r="AC10" s="14">
        <f t="shared" si="1"/>
        <v>-16.067037259999893</v>
      </c>
      <c r="AD10" s="85">
        <f t="shared" si="2"/>
        <v>0.11267168282523432</v>
      </c>
    </row>
    <row r="11" spans="1:30" ht="14.45" customHeight="1">
      <c r="A11" s="31">
        <v>6</v>
      </c>
      <c r="B11" s="15" t="s">
        <v>31</v>
      </c>
      <c r="D11" s="16">
        <v>-101.99914872939999</v>
      </c>
      <c r="E11" s="16">
        <v>-104.84126943999998</v>
      </c>
      <c r="F11" s="16">
        <v>-108.39444741000003</v>
      </c>
      <c r="G11" s="16">
        <v>-102.89602000999989</v>
      </c>
      <c r="H11" s="16">
        <f>SUM(D11:E11)</f>
        <v>-206.84041816939998</v>
      </c>
      <c r="I11" s="16">
        <f>SUM(D11:F11)</f>
        <v>-315.23486557939998</v>
      </c>
      <c r="J11" s="16">
        <f>SUM(D11:G11)</f>
        <v>-418.1308855893999</v>
      </c>
      <c r="K11" s="16">
        <v>-103.14988412000005</v>
      </c>
      <c r="L11" s="16">
        <v>-107.41752363000002</v>
      </c>
      <c r="M11" s="16">
        <v>-108.28243325000003</v>
      </c>
      <c r="N11" s="16">
        <v>-103.46999435999997</v>
      </c>
      <c r="O11" s="16">
        <f>SUM(K11:L11)</f>
        <v>-210.56740775000009</v>
      </c>
      <c r="P11" s="16">
        <f>SUM(K11:M11)</f>
        <v>-318.84984100000008</v>
      </c>
      <c r="Q11" s="16">
        <f>SUM(K11:N11)</f>
        <v>-422.31983536000007</v>
      </c>
      <c r="R11" s="16">
        <v>-111.75248533999999</v>
      </c>
      <c r="S11" s="16">
        <v>-115.89870085000005</v>
      </c>
      <c r="T11" s="16">
        <v>-115.09804813</v>
      </c>
      <c r="U11" s="134">
        <v>-108.22726938999989</v>
      </c>
      <c r="V11" s="16">
        <f>SUM(R11:S11)</f>
        <v>-227.65118619000003</v>
      </c>
      <c r="W11" s="16">
        <f>SUM(R11:T11)</f>
        <v>-342.74923432000003</v>
      </c>
      <c r="X11" s="16">
        <f>SUM(R11:U11)</f>
        <v>-450.97650370999992</v>
      </c>
      <c r="AA11" s="16">
        <f t="shared" si="0"/>
        <v>-108.22726938999989</v>
      </c>
      <c r="AB11" s="16">
        <f t="shared" si="0"/>
        <v>-103.46999435999997</v>
      </c>
      <c r="AC11" s="16">
        <f t="shared" si="1"/>
        <v>-4.7572750299999171</v>
      </c>
      <c r="AD11" s="86">
        <f t="shared" si="2"/>
        <v>4.5977339222113667E-2</v>
      </c>
    </row>
    <row r="12" spans="1:30" ht="14.45" customHeight="1">
      <c r="A12" s="31">
        <v>7</v>
      </c>
      <c r="B12" s="15" t="s">
        <v>30</v>
      </c>
      <c r="D12" s="16">
        <v>-20.231160584831173</v>
      </c>
      <c r="E12" s="16">
        <v>-29.626374540046793</v>
      </c>
      <c r="F12" s="16">
        <v>-22.200083430000014</v>
      </c>
      <c r="G12" s="16">
        <v>-24.74441356999996</v>
      </c>
      <c r="H12" s="16">
        <f>SUM(D12:E12)</f>
        <v>-49.85753512487797</v>
      </c>
      <c r="I12" s="16">
        <f>SUM(D12:F12)</f>
        <v>-72.05761855487799</v>
      </c>
      <c r="J12" s="16">
        <f>SUM(D12:G12)</f>
        <v>-96.802032124877954</v>
      </c>
      <c r="K12" s="16">
        <v>-14.418022809999989</v>
      </c>
      <c r="L12" s="16">
        <v>-14.320651550000001</v>
      </c>
      <c r="M12" s="16">
        <v>-12.181247730000006</v>
      </c>
      <c r="N12" s="16">
        <v>-39.130496350000016</v>
      </c>
      <c r="O12" s="16">
        <f>SUM(K12:L12)</f>
        <v>-28.73867435999999</v>
      </c>
      <c r="P12" s="16">
        <f>SUM(K12:M12)</f>
        <v>-40.91992209</v>
      </c>
      <c r="Q12" s="16">
        <f>SUM(K12:N12)</f>
        <v>-80.050418440000016</v>
      </c>
      <c r="R12" s="16">
        <v>-16.521905790000005</v>
      </c>
      <c r="S12" s="16">
        <v>-24.615900939999992</v>
      </c>
      <c r="T12" s="16">
        <v>-22.385240629999998</v>
      </c>
      <c r="U12" s="134">
        <v>-50.440258579999977</v>
      </c>
      <c r="V12" s="16">
        <f>SUM(R12:S12)</f>
        <v>-41.137806729999994</v>
      </c>
      <c r="W12" s="16">
        <f>SUM(R12:T12)</f>
        <v>-63.523047359999993</v>
      </c>
      <c r="X12" s="16">
        <f>SUM(R12:U12)</f>
        <v>-113.96330593999997</v>
      </c>
      <c r="AA12" s="16">
        <f t="shared" si="0"/>
        <v>-50.440258579999977</v>
      </c>
      <c r="AB12" s="16">
        <f t="shared" si="0"/>
        <v>-39.130496350000016</v>
      </c>
      <c r="AC12" s="16">
        <f t="shared" si="1"/>
        <v>-11.309762229999961</v>
      </c>
      <c r="AD12" s="86">
        <f t="shared" si="2"/>
        <v>0.28902680223732857</v>
      </c>
    </row>
    <row r="13" spans="1:30" ht="14.45" customHeight="1">
      <c r="A13" s="31">
        <v>8</v>
      </c>
      <c r="B13" s="17" t="s">
        <v>23</v>
      </c>
      <c r="D13" s="18">
        <f t="shared" ref="D13:N13" si="8">D7+D10</f>
        <v>1596.9349324343691</v>
      </c>
      <c r="E13" s="18">
        <f t="shared" si="8"/>
        <v>1651.5725387799525</v>
      </c>
      <c r="F13" s="18">
        <f t="shared" si="8"/>
        <v>1722.8711082399998</v>
      </c>
      <c r="G13" s="18">
        <f t="shared" si="8"/>
        <v>1562.9113203000002</v>
      </c>
      <c r="H13" s="18">
        <f>H7+H10</f>
        <v>3248.5074712143219</v>
      </c>
      <c r="I13" s="18">
        <f>I7+I10</f>
        <v>4971.378579454321</v>
      </c>
      <c r="J13" s="18">
        <f>J7+J10</f>
        <v>6534.2898997543207</v>
      </c>
      <c r="K13" s="18">
        <f t="shared" si="8"/>
        <v>1627.9801717099999</v>
      </c>
      <c r="L13" s="18">
        <f t="shared" si="8"/>
        <v>1680.8694584299992</v>
      </c>
      <c r="M13" s="18">
        <f t="shared" si="8"/>
        <v>1709.8277292500006</v>
      </c>
      <c r="N13" s="18">
        <f t="shared" si="8"/>
        <v>1576.0295584100006</v>
      </c>
      <c r="O13" s="18">
        <f>O7+O10</f>
        <v>3308.8496301399987</v>
      </c>
      <c r="P13" s="18">
        <f>P7+P10</f>
        <v>5018.6773593899998</v>
      </c>
      <c r="Q13" s="18">
        <f>Q7+Q10</f>
        <v>6594.7069178000011</v>
      </c>
      <c r="R13" s="18">
        <f t="shared" ref="R13:U13" si="9">R7+R10</f>
        <v>1778.54703367</v>
      </c>
      <c r="S13" s="18">
        <f t="shared" si="9"/>
        <v>1777.3283982099999</v>
      </c>
      <c r="T13" s="18">
        <f t="shared" si="9"/>
        <v>1814.0886556999999</v>
      </c>
      <c r="U13" s="131">
        <f t="shared" si="9"/>
        <v>1555.3401341870654</v>
      </c>
      <c r="V13" s="18">
        <f>V7+V10</f>
        <v>3555.8754318800002</v>
      </c>
      <c r="W13" s="18">
        <f>W7+W10</f>
        <v>5369.9640875800005</v>
      </c>
      <c r="X13" s="18">
        <f>X7+X10</f>
        <v>6925.3042217670654</v>
      </c>
      <c r="AA13" s="18">
        <f t="shared" si="0"/>
        <v>1555.3401341870654</v>
      </c>
      <c r="AB13" s="18">
        <f t="shared" si="0"/>
        <v>1576.0295584100006</v>
      </c>
      <c r="AC13" s="18">
        <f t="shared" si="1"/>
        <v>-20.689424222935259</v>
      </c>
      <c r="AD13" s="87">
        <f t="shared" si="2"/>
        <v>-1.3127561036233359E-2</v>
      </c>
    </row>
    <row r="14" spans="1:30" ht="14.45" customHeight="1">
      <c r="A14" s="31">
        <v>9</v>
      </c>
      <c r="B14" s="13" t="s">
        <v>11</v>
      </c>
      <c r="D14" s="14">
        <v>-979.54657930293888</v>
      </c>
      <c r="E14" s="14">
        <v>-1026.5126817702528</v>
      </c>
      <c r="F14" s="14">
        <v>-1044.153669636283</v>
      </c>
      <c r="G14" s="14">
        <v>-1011.368019777606</v>
      </c>
      <c r="H14" s="14">
        <f>SUM(D14:E14)</f>
        <v>-2006.0592610731917</v>
      </c>
      <c r="I14" s="14">
        <f>SUM(D14:F14)</f>
        <v>-3050.2129307094747</v>
      </c>
      <c r="J14" s="14">
        <f>SUM(D14:G14)</f>
        <v>-4061.5809504870808</v>
      </c>
      <c r="K14" s="14">
        <v>-1009.2585428249333</v>
      </c>
      <c r="L14" s="14">
        <v>-1081.59408689727</v>
      </c>
      <c r="M14" s="14">
        <v>-1084.1879231781509</v>
      </c>
      <c r="N14" s="14">
        <v>-1131.8183796778546</v>
      </c>
      <c r="O14" s="14">
        <f>SUM(K14:L14)</f>
        <v>-2090.8526297222033</v>
      </c>
      <c r="P14" s="14">
        <f>SUM(K14:M14)</f>
        <v>-3175.0405529003542</v>
      </c>
      <c r="Q14" s="14">
        <f>SUM(K14:N14)</f>
        <v>-4306.8589325782086</v>
      </c>
      <c r="R14" s="14">
        <v>-1125.5947828173164</v>
      </c>
      <c r="S14" s="14">
        <v>-1204.9382795459001</v>
      </c>
      <c r="T14" s="14">
        <v>-1160.69245323</v>
      </c>
      <c r="U14" s="133">
        <v>-1107.3824006458979</v>
      </c>
      <c r="V14" s="14">
        <f>SUM(R14:S14)</f>
        <v>-2330.5330623632162</v>
      </c>
      <c r="W14" s="14">
        <f>SUM(R14:T14)</f>
        <v>-3491.2255155932162</v>
      </c>
      <c r="X14" s="14">
        <f>SUM(R14:U14)</f>
        <v>-4598.6079162391143</v>
      </c>
      <c r="AA14" s="14">
        <f t="shared" si="0"/>
        <v>-1107.3824006458979</v>
      </c>
      <c r="AB14" s="14">
        <f t="shared" si="0"/>
        <v>-1131.8183796778546</v>
      </c>
      <c r="AC14" s="14">
        <f t="shared" si="1"/>
        <v>24.435979031956776</v>
      </c>
      <c r="AD14" s="85">
        <f t="shared" si="2"/>
        <v>-2.1590017860384947E-2</v>
      </c>
    </row>
    <row r="15" spans="1:30" ht="14.45" customHeight="1">
      <c r="A15" s="31">
        <v>10</v>
      </c>
      <c r="B15" s="17" t="s">
        <v>12</v>
      </c>
      <c r="D15" s="18">
        <f t="shared" ref="D15:E15" si="10">D13+D14</f>
        <v>617.38835313143022</v>
      </c>
      <c r="E15" s="18">
        <f t="shared" si="10"/>
        <v>625.05985700969973</v>
      </c>
      <c r="F15" s="18">
        <f t="shared" ref="F15" si="11">F13+F14</f>
        <v>678.7174386037168</v>
      </c>
      <c r="G15" s="18">
        <f t="shared" ref="G15" si="12">G13+G14</f>
        <v>551.54330052239413</v>
      </c>
      <c r="H15" s="18">
        <f>H13+H14</f>
        <v>1242.4482101411302</v>
      </c>
      <c r="I15" s="18">
        <f>I13+I14</f>
        <v>1921.1656487448463</v>
      </c>
      <c r="J15" s="18">
        <f>J13+J14</f>
        <v>2472.7089492672399</v>
      </c>
      <c r="K15" s="18">
        <f t="shared" ref="K15" si="13">K13+K14</f>
        <v>618.72162888506659</v>
      </c>
      <c r="L15" s="18">
        <f t="shared" ref="L15" si="14">L13+L14</f>
        <v>599.2753715327292</v>
      </c>
      <c r="M15" s="18">
        <f t="shared" ref="M15" si="15">M13+M14</f>
        <v>625.63980607184976</v>
      </c>
      <c r="N15" s="18">
        <f t="shared" ref="N15" si="16">N13+N14</f>
        <v>444.21117873214598</v>
      </c>
      <c r="O15" s="18">
        <f>O13+O14</f>
        <v>1217.9970004177953</v>
      </c>
      <c r="P15" s="18">
        <f>P13+P14</f>
        <v>1843.6368064896456</v>
      </c>
      <c r="Q15" s="18">
        <f>Q13+Q14</f>
        <v>2287.8479852217924</v>
      </c>
      <c r="R15" s="18">
        <f t="shared" ref="R15:U15" si="17">R13+R14</f>
        <v>652.95225085268362</v>
      </c>
      <c r="S15" s="18">
        <f t="shared" si="17"/>
        <v>572.39011866409987</v>
      </c>
      <c r="T15" s="18">
        <f t="shared" si="17"/>
        <v>653.39620246999993</v>
      </c>
      <c r="U15" s="139">
        <f t="shared" si="17"/>
        <v>447.9577335411675</v>
      </c>
      <c r="V15" s="18">
        <f>V13+V14</f>
        <v>1225.3423695167839</v>
      </c>
      <c r="W15" s="18">
        <f>W13+W14</f>
        <v>1878.7385719867843</v>
      </c>
      <c r="X15" s="18">
        <f>X13+X14</f>
        <v>2326.6963055279512</v>
      </c>
      <c r="AA15" s="18">
        <f t="shared" si="0"/>
        <v>447.9577335411675</v>
      </c>
      <c r="AB15" s="18">
        <f t="shared" si="0"/>
        <v>444.21117873214598</v>
      </c>
      <c r="AC15" s="18">
        <f t="shared" si="1"/>
        <v>3.7465548090215179</v>
      </c>
      <c r="AD15" s="87">
        <f t="shared" si="2"/>
        <v>8.4341749789251796E-3</v>
      </c>
    </row>
    <row r="16" spans="1:30" ht="14.45" customHeight="1">
      <c r="A16" s="31">
        <v>11</v>
      </c>
      <c r="B16" s="20" t="s">
        <v>105</v>
      </c>
      <c r="D16" s="21">
        <f t="shared" ref="D16:E16" si="18">IFERROR(D15/D13,"-")</f>
        <v>0.38660833362213626</v>
      </c>
      <c r="E16" s="21">
        <f t="shared" si="18"/>
        <v>0.37846345972272166</v>
      </c>
      <c r="F16" s="21">
        <f t="shared" ref="F16" si="19">IFERROR(F15/F13,"-")</f>
        <v>0.39394556874139069</v>
      </c>
      <c r="G16" s="21">
        <f t="shared" ref="G16" si="20">IFERROR(G15/G13,"-")</f>
        <v>0.35289481454170135</v>
      </c>
      <c r="H16" s="21">
        <f>IFERROR(H15/H13,"-")</f>
        <v>0.3824674011529029</v>
      </c>
      <c r="I16" s="21">
        <f>IFERROR(I15/I13,"-")</f>
        <v>0.38644525216498826</v>
      </c>
      <c r="J16" s="21">
        <f>IFERROR(J15/J13,"-")</f>
        <v>0.37842045382164785</v>
      </c>
      <c r="K16" s="21">
        <f t="shared" ref="K16" si="21">IFERROR(K15/K13,"-")</f>
        <v>0.38005476948479844</v>
      </c>
      <c r="L16" s="21">
        <f t="shared" ref="L16" si="22">IFERROR(L15/L13,"-")</f>
        <v>0.35652701554377514</v>
      </c>
      <c r="M16" s="21">
        <f t="shared" ref="M16" si="23">IFERROR(M15/M13,"-")</f>
        <v>0.36590809434718935</v>
      </c>
      <c r="N16" s="21">
        <f t="shared" ref="N16" si="24">IFERROR(N15/N13,"-")</f>
        <v>0.28185459870454121</v>
      </c>
      <c r="O16" s="21">
        <f>IFERROR(O15/O13,"-")</f>
        <v>0.36810285644992013</v>
      </c>
      <c r="P16" s="21">
        <f>IFERROR(P15/P13,"-")</f>
        <v>0.36735511659066528</v>
      </c>
      <c r="Q16" s="21">
        <f>IFERROR(Q15/Q13,"-")</f>
        <v>0.3469218592636138</v>
      </c>
      <c r="R16" s="21">
        <f t="shared" ref="R16:U16" si="25">IFERROR(R15/R13,"-")</f>
        <v>0.36712678298157136</v>
      </c>
      <c r="S16" s="21">
        <f t="shared" si="25"/>
        <v>0.32205084847604465</v>
      </c>
      <c r="T16" s="21">
        <f t="shared" si="25"/>
        <v>0.36017875996136189</v>
      </c>
      <c r="U16" s="140">
        <f t="shared" si="25"/>
        <v>0.28801271419341534</v>
      </c>
      <c r="V16" s="21">
        <f>IFERROR(V15/V13,"-")</f>
        <v>0.34459653972438015</v>
      </c>
      <c r="W16" s="21">
        <f>IFERROR(W15/W13,"-")</f>
        <v>0.34986054680180306</v>
      </c>
      <c r="X16" s="21">
        <f>IFERROR(X15/X13,"-")</f>
        <v>0.33597026657902829</v>
      </c>
      <c r="AA16" s="21">
        <f t="shared" si="0"/>
        <v>0.28801271419341534</v>
      </c>
      <c r="AB16" s="21">
        <f t="shared" si="0"/>
        <v>0.28185459870454121</v>
      </c>
      <c r="AC16" s="110">
        <f>IFERROR((AA16-AB16)*100,"-")</f>
        <v>0.61581154888741274</v>
      </c>
      <c r="AD16" s="21"/>
    </row>
    <row r="17" spans="1:30" ht="14.45" customHeight="1">
      <c r="A17" s="31">
        <v>12</v>
      </c>
      <c r="B17" s="23"/>
      <c r="D17" s="24"/>
      <c r="E17" s="24"/>
      <c r="F17" s="24"/>
      <c r="G17" s="24"/>
      <c r="H17" s="24"/>
      <c r="I17" s="24"/>
      <c r="J17" s="24"/>
      <c r="K17" s="24"/>
      <c r="L17" s="24"/>
      <c r="M17" s="24"/>
      <c r="N17" s="24"/>
      <c r="O17" s="24"/>
      <c r="P17" s="24"/>
      <c r="Q17" s="24"/>
      <c r="R17" s="24"/>
      <c r="S17" s="24"/>
      <c r="T17" s="24"/>
      <c r="U17" s="24"/>
      <c r="V17" s="24"/>
      <c r="W17" s="24"/>
      <c r="X17" s="24"/>
      <c r="AA17" s="24"/>
      <c r="AB17" s="24"/>
      <c r="AC17" s="24"/>
      <c r="AD17" s="24"/>
    </row>
    <row r="18" spans="1:30" ht="14.45" customHeight="1" thickBot="1">
      <c r="A18" s="31">
        <v>13</v>
      </c>
      <c r="B18" s="9" t="s">
        <v>119</v>
      </c>
      <c r="D18" s="10" t="s">
        <v>10</v>
      </c>
      <c r="E18" s="10" t="s">
        <v>24</v>
      </c>
      <c r="F18" s="10" t="s">
        <v>27</v>
      </c>
      <c r="G18" s="10" t="s">
        <v>29</v>
      </c>
      <c r="H18" s="10" t="s">
        <v>69</v>
      </c>
      <c r="I18" s="10" t="s">
        <v>70</v>
      </c>
      <c r="J18" s="10">
        <v>2021</v>
      </c>
      <c r="K18" s="10" t="s">
        <v>197</v>
      </c>
      <c r="L18" s="10" t="s">
        <v>198</v>
      </c>
      <c r="M18" s="10" t="s">
        <v>199</v>
      </c>
      <c r="N18" s="10" t="s">
        <v>200</v>
      </c>
      <c r="O18" s="10" t="s">
        <v>201</v>
      </c>
      <c r="P18" s="10" t="s">
        <v>202</v>
      </c>
      <c r="Q18" s="10">
        <v>2022</v>
      </c>
      <c r="R18" s="10" t="s">
        <v>203</v>
      </c>
      <c r="S18" s="10" t="s">
        <v>204</v>
      </c>
      <c r="T18" s="10" t="s">
        <v>205</v>
      </c>
      <c r="U18" s="10" t="s">
        <v>206</v>
      </c>
      <c r="V18" s="10" t="s">
        <v>207</v>
      </c>
      <c r="W18" s="10" t="s">
        <v>208</v>
      </c>
      <c r="X18" s="10">
        <v>2023</v>
      </c>
      <c r="AA18" s="10" t="str">
        <f>AA6</f>
        <v>4Q23</v>
      </c>
      <c r="AB18" s="10" t="str">
        <f>AB6</f>
        <v>4Q22</v>
      </c>
      <c r="AC18" s="10" t="str">
        <f>AC6</f>
        <v>Var. (Vol)</v>
      </c>
      <c r="AD18" s="10" t="str">
        <f>AD6</f>
        <v>Var. (%)</v>
      </c>
    </row>
    <row r="19" spans="1:30" ht="14.45" customHeight="1" thickTop="1">
      <c r="A19" s="31">
        <v>14</v>
      </c>
      <c r="B19" s="58" t="s">
        <v>121</v>
      </c>
      <c r="D19" s="32">
        <v>3761</v>
      </c>
      <c r="E19" s="32">
        <v>3431</v>
      </c>
      <c r="F19" s="32">
        <v>3208</v>
      </c>
      <c r="G19" s="32">
        <v>2959</v>
      </c>
      <c r="H19" s="32">
        <f>SUM(D19:E19)</f>
        <v>7192</v>
      </c>
      <c r="I19" s="32">
        <f>SUM(D19:F19)</f>
        <v>10400</v>
      </c>
      <c r="J19" s="32">
        <f>SUM(D19:G19)</f>
        <v>13359</v>
      </c>
      <c r="K19" s="32">
        <v>3269</v>
      </c>
      <c r="L19" s="32">
        <v>3178</v>
      </c>
      <c r="M19" s="32">
        <v>2943</v>
      </c>
      <c r="N19" s="32">
        <v>2618.2817064425999</v>
      </c>
      <c r="O19" s="32">
        <f>SUM(K19:L19)</f>
        <v>6447</v>
      </c>
      <c r="P19" s="32">
        <f>SUM(K19:M19)</f>
        <v>9390</v>
      </c>
      <c r="Q19" s="32">
        <f>SUM(K19:N19)</f>
        <v>12008.2817064426</v>
      </c>
      <c r="R19" s="32">
        <v>2960</v>
      </c>
      <c r="S19" s="32">
        <v>2839.4135552219</v>
      </c>
      <c r="T19" s="32">
        <v>2850</v>
      </c>
      <c r="U19" s="141">
        <v>2206.0250000000001</v>
      </c>
      <c r="V19" s="32">
        <f>SUM(R19:S19)</f>
        <v>5799.4135552218995</v>
      </c>
      <c r="W19" s="32">
        <f>SUM(R19:T19)</f>
        <v>8649.4135552218995</v>
      </c>
      <c r="X19" s="32">
        <f>SUM(R19:U19)</f>
        <v>10855.438555221899</v>
      </c>
      <c r="AA19" s="16">
        <f t="shared" ref="AA19:AB22" si="26">HLOOKUP(AA$6,$D$6:$X$33,$A19,0)</f>
        <v>2206.0250000000001</v>
      </c>
      <c r="AB19" s="16">
        <f t="shared" si="26"/>
        <v>2618.2817064425999</v>
      </c>
      <c r="AC19" s="16">
        <f t="shared" ref="AC19:AC22" si="27">IFERROR(AA19-AB19,"-")</f>
        <v>-412.25670644259981</v>
      </c>
      <c r="AD19" s="86">
        <f t="shared" ref="AD19:AD22" si="28">IFERROR(AA19/AB19-1,"-")</f>
        <v>-0.15745315159487694</v>
      </c>
    </row>
    <row r="20" spans="1:30" ht="14.45" customHeight="1">
      <c r="A20" s="31">
        <v>15</v>
      </c>
      <c r="B20" s="33" t="s">
        <v>79</v>
      </c>
      <c r="D20" s="36">
        <v>949</v>
      </c>
      <c r="E20" s="36">
        <v>959</v>
      </c>
      <c r="F20" s="36">
        <v>962</v>
      </c>
      <c r="G20" s="36">
        <v>987</v>
      </c>
      <c r="H20" s="36">
        <f>E20</f>
        <v>959</v>
      </c>
      <c r="I20" s="36">
        <f>F20</f>
        <v>962</v>
      </c>
      <c r="J20" s="36">
        <f>G20</f>
        <v>987</v>
      </c>
      <c r="K20" s="36">
        <v>877</v>
      </c>
      <c r="L20" s="36">
        <v>889</v>
      </c>
      <c r="M20" s="36">
        <v>892</v>
      </c>
      <c r="N20" s="36">
        <v>917</v>
      </c>
      <c r="O20" s="36">
        <f>L20</f>
        <v>889</v>
      </c>
      <c r="P20" s="36">
        <f>M20</f>
        <v>892</v>
      </c>
      <c r="Q20" s="36">
        <f>N20</f>
        <v>917</v>
      </c>
      <c r="R20" s="36">
        <v>917</v>
      </c>
      <c r="S20" s="36">
        <v>917</v>
      </c>
      <c r="T20" s="36">
        <v>909</v>
      </c>
      <c r="U20" s="144">
        <v>891</v>
      </c>
      <c r="V20" s="36">
        <f>S20</f>
        <v>917</v>
      </c>
      <c r="W20" s="36">
        <f>T20</f>
        <v>909</v>
      </c>
      <c r="X20" s="36">
        <f>U20</f>
        <v>891</v>
      </c>
      <c r="AA20" s="16">
        <f t="shared" si="26"/>
        <v>891</v>
      </c>
      <c r="AB20" s="16">
        <f t="shared" si="26"/>
        <v>917</v>
      </c>
      <c r="AC20" s="16">
        <f t="shared" si="27"/>
        <v>-26</v>
      </c>
      <c r="AD20" s="86">
        <f t="shared" si="28"/>
        <v>-2.8353326063249695E-2</v>
      </c>
    </row>
    <row r="21" spans="1:30" ht="14.45" customHeight="1">
      <c r="A21" s="31">
        <v>16</v>
      </c>
      <c r="B21" s="33" t="s">
        <v>154</v>
      </c>
      <c r="D21" s="37">
        <f t="shared" ref="D21:U21" si="29">IFERROR((D8*1000000)/(D26*1000),"-")</f>
        <v>20.808247644144739</v>
      </c>
      <c r="E21" s="37">
        <f t="shared" si="29"/>
        <v>20.908630276010228</v>
      </c>
      <c r="F21" s="37">
        <f t="shared" si="29"/>
        <v>20.354296956066278</v>
      </c>
      <c r="G21" s="37">
        <f t="shared" si="29"/>
        <v>19.09761235916308</v>
      </c>
      <c r="H21" s="37">
        <f t="shared" si="29"/>
        <v>20.859179711874095</v>
      </c>
      <c r="I21" s="37">
        <f t="shared" si="29"/>
        <v>20.682792144732126</v>
      </c>
      <c r="J21" s="37">
        <f t="shared" si="29"/>
        <v>20.291189047149469</v>
      </c>
      <c r="K21" s="37">
        <f t="shared" si="29"/>
        <v>19.444037386908004</v>
      </c>
      <c r="L21" s="37">
        <f t="shared" si="29"/>
        <v>19.594355649174073</v>
      </c>
      <c r="M21" s="37">
        <f t="shared" si="29"/>
        <v>18.902945744534254</v>
      </c>
      <c r="N21" s="37">
        <f t="shared" si="29"/>
        <v>19.618650608982087</v>
      </c>
      <c r="O21" s="37">
        <f t="shared" si="29"/>
        <v>19.520047140133308</v>
      </c>
      <c r="P21" s="37">
        <f t="shared" si="29"/>
        <v>19.305300814750858</v>
      </c>
      <c r="Q21" s="37">
        <f t="shared" si="29"/>
        <v>19.381019766197245</v>
      </c>
      <c r="R21" s="37">
        <f t="shared" si="29"/>
        <v>18.597359667124088</v>
      </c>
      <c r="S21" s="37">
        <f t="shared" si="29"/>
        <v>18.981888015647556</v>
      </c>
      <c r="T21" s="37">
        <f t="shared" si="29"/>
        <v>18.578273685133215</v>
      </c>
      <c r="U21" s="145">
        <f t="shared" si="29"/>
        <v>18.225809195594014</v>
      </c>
      <c r="V21" s="37">
        <f>IFERROR((V8*1000000)/(V26*1000),"-")</f>
        <v>18.788265039007449</v>
      </c>
      <c r="W21" s="37">
        <f>IFERROR((W8*1000000)/(W26*1000),"-")</f>
        <v>18.716878258678605</v>
      </c>
      <c r="X21" s="37">
        <f>IFERROR((X8*1000000)/(X26*1000),"-")</f>
        <v>18.602307898228705</v>
      </c>
      <c r="AA21" s="82">
        <f t="shared" si="26"/>
        <v>18.225809195594014</v>
      </c>
      <c r="AB21" s="82">
        <f t="shared" si="26"/>
        <v>19.618650608982087</v>
      </c>
      <c r="AC21" s="16">
        <f t="shared" si="27"/>
        <v>-1.3928414133880729</v>
      </c>
      <c r="AD21" s="86">
        <f t="shared" si="28"/>
        <v>-7.0995780553346655E-2</v>
      </c>
    </row>
    <row r="22" spans="1:30" ht="14.45" customHeight="1">
      <c r="A22" s="31">
        <v>17</v>
      </c>
      <c r="B22" s="33" t="s">
        <v>122</v>
      </c>
      <c r="D22" s="36">
        <f t="shared" ref="D22:U22" si="30">IFERROR((D26*1000)/(D19*1000),"-")</f>
        <v>21.585975437383674</v>
      </c>
      <c r="E22" s="36">
        <f t="shared" si="30"/>
        <v>24.371056213203147</v>
      </c>
      <c r="F22" s="36">
        <f t="shared" si="30"/>
        <v>27.584615648379049</v>
      </c>
      <c r="G22" s="36">
        <f t="shared" si="30"/>
        <v>28.085016899290295</v>
      </c>
      <c r="H22" s="36">
        <f t="shared" si="30"/>
        <v>22.914620062221911</v>
      </c>
      <c r="I22" s="36">
        <f t="shared" si="30"/>
        <v>24.355134085336534</v>
      </c>
      <c r="J22" s="36">
        <f t="shared" si="30"/>
        <v>25.181297963358031</v>
      </c>
      <c r="K22" s="36">
        <f t="shared" si="30"/>
        <v>26.836889544547038</v>
      </c>
      <c r="L22" s="36">
        <f t="shared" si="30"/>
        <v>28.237352896027446</v>
      </c>
      <c r="M22" s="36">
        <f t="shared" si="30"/>
        <v>32.184465347645443</v>
      </c>
      <c r="N22" s="36">
        <f t="shared" si="30"/>
        <v>33.124761503417382</v>
      </c>
      <c r="O22" s="36">
        <f t="shared" si="30"/>
        <v>27.527237385559093</v>
      </c>
      <c r="P22" s="36">
        <f t="shared" si="30"/>
        <v>28.986898928947817</v>
      </c>
      <c r="Q22" s="36">
        <f t="shared" si="30"/>
        <v>29.889117093657802</v>
      </c>
      <c r="R22" s="36">
        <f t="shared" si="30"/>
        <v>33.874793040540538</v>
      </c>
      <c r="S22" s="36">
        <f t="shared" si="30"/>
        <v>34.817771200741461</v>
      </c>
      <c r="T22" s="36">
        <f t="shared" si="30"/>
        <v>35.986135087719298</v>
      </c>
      <c r="U22" s="144">
        <f t="shared" si="30"/>
        <v>41.616164368037531</v>
      </c>
      <c r="V22" s="36">
        <f>IFERROR((V26*1000)/(V19*1000),"-")</f>
        <v>34.336478510089762</v>
      </c>
      <c r="W22" s="36">
        <f>IFERROR((W26*1000)/(W19*1000),"-")</f>
        <v>34.880043830007402</v>
      </c>
      <c r="X22" s="36">
        <f>IFERROR((X26*1000)/(X19*1000),"-")</f>
        <v>36.248947558245973</v>
      </c>
      <c r="AA22" s="16">
        <f t="shared" si="26"/>
        <v>41.616164368037531</v>
      </c>
      <c r="AB22" s="16">
        <f t="shared" si="26"/>
        <v>33.124761503417382</v>
      </c>
      <c r="AC22" s="16">
        <f t="shared" si="27"/>
        <v>8.4914028646201487</v>
      </c>
      <c r="AD22" s="86">
        <f t="shared" si="28"/>
        <v>0.25634608308784701</v>
      </c>
    </row>
    <row r="23" spans="1:30" ht="6" customHeight="1">
      <c r="A23" s="31">
        <v>18</v>
      </c>
      <c r="B23" s="77"/>
      <c r="D23" s="78"/>
      <c r="E23" s="78"/>
      <c r="F23" s="78"/>
      <c r="G23" s="78"/>
      <c r="H23" s="78"/>
      <c r="I23" s="78"/>
      <c r="J23" s="78"/>
      <c r="K23" s="78"/>
      <c r="L23" s="78"/>
      <c r="M23" s="78"/>
      <c r="N23" s="78"/>
      <c r="O23" s="78"/>
      <c r="P23" s="78"/>
      <c r="Q23" s="78"/>
      <c r="R23" s="78"/>
      <c r="S23" s="78"/>
      <c r="T23" s="78"/>
      <c r="U23" s="78"/>
      <c r="V23" s="78"/>
      <c r="W23" s="78"/>
      <c r="X23" s="78"/>
      <c r="AA23" s="99"/>
      <c r="AB23" s="99"/>
      <c r="AC23" s="99"/>
      <c r="AD23" s="111"/>
    </row>
    <row r="24" spans="1:30" ht="14.45" customHeight="1">
      <c r="A24" s="31">
        <v>19</v>
      </c>
      <c r="B24" s="33" t="s">
        <v>77</v>
      </c>
      <c r="D24" s="26">
        <v>42135.382775708196</v>
      </c>
      <c r="E24" s="26">
        <v>42952.834476052143</v>
      </c>
      <c r="F24" s="26">
        <v>44551.767315627847</v>
      </c>
      <c r="G24" s="26">
        <v>40076.23106284321</v>
      </c>
      <c r="H24" s="26">
        <f>SUM(D24:E24)</f>
        <v>85088.217251760332</v>
      </c>
      <c r="I24" s="26">
        <f>SUM(D24:F24)</f>
        <v>129639.98456738818</v>
      </c>
      <c r="J24" s="26">
        <f>SUM(D24:G24)</f>
        <v>169716.2156302314</v>
      </c>
      <c r="K24" s="26">
        <v>42748.598921124256</v>
      </c>
      <c r="L24" s="26">
        <v>41924.974503575228</v>
      </c>
      <c r="M24" s="26">
        <v>44071.133518120529</v>
      </c>
      <c r="N24" s="26">
        <v>38802.152074671831</v>
      </c>
      <c r="O24" s="26">
        <f>SUM(K24:L24)</f>
        <v>84673.573424699483</v>
      </c>
      <c r="P24" s="26">
        <f>SUM(K24:M24)</f>
        <v>128744.70694282002</v>
      </c>
      <c r="Q24" s="26">
        <f>SUM(K24:N24)</f>
        <v>167546.85901749186</v>
      </c>
      <c r="R24" s="26">
        <v>47103.347399999999</v>
      </c>
      <c r="S24" s="26">
        <v>45708.941509999997</v>
      </c>
      <c r="T24" s="26">
        <v>46011.326000000001</v>
      </c>
      <c r="U24" s="137">
        <v>41220.020000000004</v>
      </c>
      <c r="V24" s="26">
        <f>SUM(R24:S24)</f>
        <v>92812.288910000003</v>
      </c>
      <c r="W24" s="26">
        <f>SUM(R24:T24)</f>
        <v>138823.61491</v>
      </c>
      <c r="X24" s="26">
        <f>SUM(R24:U24)</f>
        <v>180043.63491000002</v>
      </c>
      <c r="AA24" s="16">
        <f t="shared" ref="AA24:AB26" si="31">HLOOKUP(AA$6,$D$6:$X$33,$A24,0)</f>
        <v>41220.020000000004</v>
      </c>
      <c r="AB24" s="16">
        <f t="shared" si="31"/>
        <v>38802.152074671831</v>
      </c>
      <c r="AC24" s="16">
        <f>IFERROR(AA24-AB24,"-")</f>
        <v>2417.8679253281734</v>
      </c>
      <c r="AD24" s="86">
        <f>IFERROR(AA24/AB24-1,"-")</f>
        <v>6.2312727414581826E-2</v>
      </c>
    </row>
    <row r="25" spans="1:30" ht="14.45" customHeight="1">
      <c r="A25" s="31">
        <v>20</v>
      </c>
      <c r="B25" s="33" t="s">
        <v>78</v>
      </c>
      <c r="D25" s="26">
        <v>39049.470844291798</v>
      </c>
      <c r="E25" s="26">
        <v>40664.259391447857</v>
      </c>
      <c r="F25" s="26">
        <v>43939.679684372139</v>
      </c>
      <c r="G25" s="26">
        <v>43027.33394215678</v>
      </c>
      <c r="H25" s="26">
        <f>SUM(D25:E25)</f>
        <v>79713.730235739655</v>
      </c>
      <c r="I25" s="26">
        <f>SUM(D25:F25)</f>
        <v>123653.40992011179</v>
      </c>
      <c r="J25" s="26">
        <f>SUM(D25:G25)</f>
        <v>166680.74386226857</v>
      </c>
      <c r="K25" s="26">
        <v>44981.193000000007</v>
      </c>
      <c r="L25" s="26">
        <v>47813.332999999999</v>
      </c>
      <c r="M25" s="26">
        <v>50647.748</v>
      </c>
      <c r="N25" s="26">
        <v>47927.804999999993</v>
      </c>
      <c r="O25" s="26">
        <f>SUM(K25:L25)</f>
        <v>92794.526000000013</v>
      </c>
      <c r="P25" s="26">
        <f>SUM(K25:M25)</f>
        <v>143442.274</v>
      </c>
      <c r="Q25" s="26">
        <f>SUM(K25:N25)</f>
        <v>191370.079</v>
      </c>
      <c r="R25" s="26">
        <v>53166.039999999994</v>
      </c>
      <c r="S25" s="26">
        <v>53153.11</v>
      </c>
      <c r="T25" s="26">
        <v>56549.159</v>
      </c>
      <c r="U25" s="137">
        <v>50586.278999999995</v>
      </c>
      <c r="V25" s="26">
        <f>SUM(R25:S25)</f>
        <v>106319.15</v>
      </c>
      <c r="W25" s="26">
        <f>SUM(R25:T25)</f>
        <v>162868.30900000001</v>
      </c>
      <c r="X25" s="26">
        <f>SUM(R25:U25)</f>
        <v>213454.58799999999</v>
      </c>
      <c r="AA25" s="16">
        <f t="shared" si="31"/>
        <v>50586.278999999995</v>
      </c>
      <c r="AB25" s="16">
        <f t="shared" si="31"/>
        <v>47927.804999999993</v>
      </c>
      <c r="AC25" s="16">
        <f>IFERROR(AA25-AB25,"-")</f>
        <v>2658.474000000002</v>
      </c>
      <c r="AD25" s="86">
        <f>IFERROR(AA25/AB25-1,"-")</f>
        <v>5.5468302794171365E-2</v>
      </c>
    </row>
    <row r="26" spans="1:30" ht="14.45" customHeight="1">
      <c r="A26" s="31">
        <v>21</v>
      </c>
      <c r="B26" s="79" t="s">
        <v>150</v>
      </c>
      <c r="D26" s="80">
        <f>SUM(D24:D25)</f>
        <v>81184.853619999994</v>
      </c>
      <c r="E26" s="80">
        <f t="shared" ref="E26:U26" si="32">SUM(E24:E25)</f>
        <v>83617.093867499992</v>
      </c>
      <c r="F26" s="80">
        <f t="shared" si="32"/>
        <v>88491.446999999986</v>
      </c>
      <c r="G26" s="80">
        <f t="shared" si="32"/>
        <v>83103.565004999982</v>
      </c>
      <c r="H26" s="80">
        <f t="shared" si="32"/>
        <v>164801.94748749997</v>
      </c>
      <c r="I26" s="80">
        <f t="shared" si="32"/>
        <v>253293.39448749996</v>
      </c>
      <c r="J26" s="80">
        <f t="shared" si="32"/>
        <v>336396.95949249994</v>
      </c>
      <c r="K26" s="80">
        <f t="shared" si="32"/>
        <v>87729.79192112427</v>
      </c>
      <c r="L26" s="80">
        <f t="shared" si="32"/>
        <v>89738.307503575226</v>
      </c>
      <c r="M26" s="80">
        <f t="shared" si="32"/>
        <v>94718.881518120528</v>
      </c>
      <c r="N26" s="80">
        <f t="shared" si="32"/>
        <v>86729.957074671824</v>
      </c>
      <c r="O26" s="80">
        <f t="shared" ref="O26" si="33">SUM(O24:O25)</f>
        <v>177468.0994246995</v>
      </c>
      <c r="P26" s="80">
        <f t="shared" ref="P26" si="34">SUM(P24:P25)</f>
        <v>272186.98094282002</v>
      </c>
      <c r="Q26" s="80">
        <f t="shared" ref="Q26" si="35">SUM(Q24:Q25)</f>
        <v>358916.93801749183</v>
      </c>
      <c r="R26" s="80">
        <f t="shared" si="32"/>
        <v>100269.38739999999</v>
      </c>
      <c r="S26" s="80">
        <f t="shared" si="32"/>
        <v>98862.05150999999</v>
      </c>
      <c r="T26" s="80">
        <f t="shared" si="32"/>
        <v>102560.485</v>
      </c>
      <c r="U26" s="146">
        <f t="shared" si="32"/>
        <v>91806.298999999999</v>
      </c>
      <c r="V26" s="80">
        <f t="shared" ref="V26:X26" si="36">SUM(V24:V25)</f>
        <v>199131.43891</v>
      </c>
      <c r="W26" s="80">
        <f t="shared" si="36"/>
        <v>301691.92391000001</v>
      </c>
      <c r="X26" s="80">
        <f t="shared" si="36"/>
        <v>393498.22291000001</v>
      </c>
      <c r="AA26" s="112">
        <f t="shared" si="31"/>
        <v>91806.298999999999</v>
      </c>
      <c r="AB26" s="112">
        <f t="shared" si="31"/>
        <v>86729.957074671824</v>
      </c>
      <c r="AC26" s="112">
        <f>IFERROR(AA26-AB26,"-")</f>
        <v>5076.3419253281754</v>
      </c>
      <c r="AD26" s="113">
        <f>IFERROR(AA26/AB26-1,"-")</f>
        <v>5.8530432811786159E-2</v>
      </c>
    </row>
    <row r="27" spans="1:30" ht="17.100000000000001" customHeight="1">
      <c r="A27" s="31">
        <v>22</v>
      </c>
    </row>
    <row r="28" spans="1:30" ht="17.100000000000001" customHeight="1" thickBot="1">
      <c r="A28" s="31">
        <v>23</v>
      </c>
      <c r="B28" s="9" t="s">
        <v>137</v>
      </c>
      <c r="D28" s="10" t="s">
        <v>10</v>
      </c>
      <c r="E28" s="10" t="s">
        <v>24</v>
      </c>
      <c r="F28" s="10" t="s">
        <v>27</v>
      </c>
      <c r="G28" s="10" t="s">
        <v>29</v>
      </c>
      <c r="H28" s="10" t="s">
        <v>69</v>
      </c>
      <c r="I28" s="10" t="s">
        <v>70</v>
      </c>
      <c r="J28" s="10">
        <v>2021</v>
      </c>
      <c r="K28" s="10" t="s">
        <v>197</v>
      </c>
      <c r="L28" s="10" t="s">
        <v>198</v>
      </c>
      <c r="M28" s="10" t="s">
        <v>199</v>
      </c>
      <c r="N28" s="10" t="s">
        <v>200</v>
      </c>
      <c r="O28" s="10" t="s">
        <v>201</v>
      </c>
      <c r="P28" s="10" t="s">
        <v>202</v>
      </c>
      <c r="Q28" s="10">
        <v>2022</v>
      </c>
      <c r="R28" s="10" t="s">
        <v>203</v>
      </c>
      <c r="S28" s="10" t="s">
        <v>204</v>
      </c>
      <c r="T28" s="10" t="s">
        <v>205</v>
      </c>
      <c r="U28" s="10" t="s">
        <v>206</v>
      </c>
      <c r="V28" s="10" t="s">
        <v>207</v>
      </c>
      <c r="W28" s="10" t="s">
        <v>208</v>
      </c>
      <c r="X28" s="10">
        <v>2023</v>
      </c>
      <c r="AA28" s="10" t="str">
        <f>AA18</f>
        <v>4Q23</v>
      </c>
      <c r="AB28" s="10" t="str">
        <f>AB18</f>
        <v>4Q22</v>
      </c>
      <c r="AC28" s="10" t="str">
        <f>AC18</f>
        <v>Var. (Vol)</v>
      </c>
      <c r="AD28" s="10" t="str">
        <f>AD18</f>
        <v>Var. (%)</v>
      </c>
    </row>
    <row r="29" spans="1:30" ht="17.100000000000001" customHeight="1" thickTop="1">
      <c r="A29" s="31">
        <v>24</v>
      </c>
      <c r="B29" s="58" t="s">
        <v>123</v>
      </c>
      <c r="D29" s="26">
        <v>250</v>
      </c>
      <c r="E29" s="26">
        <v>217.56367408894209</v>
      </c>
      <c r="F29" s="26">
        <v>165.12249054831398</v>
      </c>
      <c r="G29" s="26">
        <v>114.69947794927977</v>
      </c>
      <c r="H29" s="26">
        <f>SUM(D29:E29)</f>
        <v>467.56367408894209</v>
      </c>
      <c r="I29" s="26">
        <f>SUM(D29:F29)</f>
        <v>632.68616463725607</v>
      </c>
      <c r="J29" s="26">
        <f>SUM(D29:G29)</f>
        <v>747.38564258653582</v>
      </c>
      <c r="K29" s="26">
        <v>163.24901540000056</v>
      </c>
      <c r="L29" s="26">
        <v>109.62609627895279</v>
      </c>
      <c r="M29" s="26">
        <v>51.703607553642897</v>
      </c>
      <c r="N29" s="26">
        <v>45.061055638095397</v>
      </c>
      <c r="O29" s="26">
        <f>SUM(K29:L29)</f>
        <v>272.87511167895332</v>
      </c>
      <c r="P29" s="26">
        <f>SUM(K29:M29)</f>
        <v>324.5787192325962</v>
      </c>
      <c r="Q29" s="26">
        <f>SUM(K29:N29)</f>
        <v>369.63977487069161</v>
      </c>
      <c r="R29" s="26">
        <v>24.128625675507941</v>
      </c>
      <c r="S29" s="26">
        <v>17.29704412070954</v>
      </c>
      <c r="T29" s="26">
        <v>7.7146812534297098</v>
      </c>
      <c r="U29" s="137">
        <v>12.29562106248077</v>
      </c>
      <c r="V29" s="26">
        <f>SUM(R29:S29)</f>
        <v>41.425669796217477</v>
      </c>
      <c r="W29" s="26">
        <f>SUM(R29:T29)</f>
        <v>49.140351049647187</v>
      </c>
      <c r="X29" s="32">
        <f>SUM(R29:U29)</f>
        <v>61.435972112127956</v>
      </c>
      <c r="AA29" s="16">
        <f t="shared" ref="AA29:AB33" si="37">HLOOKUP(AA$6,$D$6:$X$33,$A29,0)</f>
        <v>12.29562106248077</v>
      </c>
      <c r="AB29" s="16">
        <f t="shared" si="37"/>
        <v>45.061055638095397</v>
      </c>
      <c r="AC29" s="16">
        <f t="shared" ref="AC29:AC33" si="38">IFERROR(AA29-AB29,"-")</f>
        <v>-32.765434575614627</v>
      </c>
      <c r="AD29" s="86">
        <f t="shared" ref="AD29:AD33" si="39">IFERROR(AA29/AB29-1,"-")</f>
        <v>-0.72713419851429673</v>
      </c>
    </row>
    <row r="30" spans="1:30" ht="17.100000000000001" customHeight="1">
      <c r="A30" s="31">
        <v>25</v>
      </c>
      <c r="B30" s="49" t="s">
        <v>96</v>
      </c>
      <c r="D30" s="50">
        <f t="shared" ref="D30:U30" si="40">D29/D7</f>
        <v>0.14541941282253915</v>
      </c>
      <c r="E30" s="50">
        <f t="shared" si="40"/>
        <v>0.12181342625379073</v>
      </c>
      <c r="F30" s="50">
        <f t="shared" si="40"/>
        <v>8.9088509151038497E-2</v>
      </c>
      <c r="G30" s="50">
        <f t="shared" si="40"/>
        <v>6.7847362664900379E-2</v>
      </c>
      <c r="H30" s="50">
        <f t="shared" si="40"/>
        <v>0.13339123316987636</v>
      </c>
      <c r="I30" s="50">
        <f t="shared" si="40"/>
        <v>0.11806773678202936</v>
      </c>
      <c r="J30" s="50">
        <f t="shared" si="40"/>
        <v>0.10602383580987793</v>
      </c>
      <c r="K30" s="50">
        <f t="shared" si="40"/>
        <v>9.352307014493233E-2</v>
      </c>
      <c r="L30" s="50">
        <f t="shared" si="40"/>
        <v>6.0815284610444956E-2</v>
      </c>
      <c r="M30" s="50">
        <f t="shared" si="40"/>
        <v>2.8248839099969138E-2</v>
      </c>
      <c r="N30" s="50">
        <f t="shared" si="40"/>
        <v>2.621917128771736E-2</v>
      </c>
      <c r="O30" s="50">
        <f t="shared" si="40"/>
        <v>7.6906182763302258E-2</v>
      </c>
      <c r="P30" s="50">
        <f t="shared" si="40"/>
        <v>6.0348035751057655E-2</v>
      </c>
      <c r="Q30" s="50">
        <f t="shared" si="40"/>
        <v>5.2083381078320466E-2</v>
      </c>
      <c r="R30" s="50">
        <f t="shared" si="40"/>
        <v>1.2653846533132337E-2</v>
      </c>
      <c r="S30" s="50">
        <f t="shared" si="40"/>
        <v>9.019009439620208E-3</v>
      </c>
      <c r="T30" s="50">
        <f t="shared" si="40"/>
        <v>3.9530601345903046E-3</v>
      </c>
      <c r="U30" s="147">
        <f t="shared" si="40"/>
        <v>7.1736091582034279E-3</v>
      </c>
      <c r="V30" s="50">
        <f>V29/V7</f>
        <v>1.0831190712472431E-2</v>
      </c>
      <c r="W30" s="50">
        <f>W29/W7</f>
        <v>8.5073303632729642E-3</v>
      </c>
      <c r="X30" s="50">
        <f>X29/X7</f>
        <v>8.2021322475530883E-3</v>
      </c>
      <c r="AA30" s="21">
        <f t="shared" si="37"/>
        <v>7.1736091582034279E-3</v>
      </c>
      <c r="AB30" s="21">
        <f t="shared" si="37"/>
        <v>2.621917128771736E-2</v>
      </c>
      <c r="AC30" s="110">
        <f t="shared" ref="AC30:AC31" si="41">IFERROR((AA30-AB30)*100,"-")</f>
        <v>-1.9045562129513933</v>
      </c>
      <c r="AD30" s="89"/>
    </row>
    <row r="31" spans="1:30" ht="17.100000000000001" customHeight="1">
      <c r="A31" s="31">
        <v>26</v>
      </c>
      <c r="B31" s="49" t="s">
        <v>97</v>
      </c>
      <c r="D31" s="50">
        <f t="shared" ref="D31:U31" si="42">D29/D8</f>
        <v>0.1479890181590203</v>
      </c>
      <c r="E31" s="50">
        <f t="shared" si="42"/>
        <v>0.12444164164525834</v>
      </c>
      <c r="F31" s="50">
        <f t="shared" si="42"/>
        <v>9.1674558582246171E-2</v>
      </c>
      <c r="G31" s="50">
        <f t="shared" si="42"/>
        <v>7.2270775127429215E-2</v>
      </c>
      <c r="H31" s="50">
        <f t="shared" si="42"/>
        <v>0.1360132435050373</v>
      </c>
      <c r="I31" s="50">
        <f t="shared" si="42"/>
        <v>0.12076895430429911</v>
      </c>
      <c r="J31" s="50">
        <f t="shared" si="42"/>
        <v>0.10949270670542963</v>
      </c>
      <c r="K31" s="50">
        <f t="shared" si="42"/>
        <v>9.570112076006905E-2</v>
      </c>
      <c r="L31" s="50">
        <f t="shared" si="42"/>
        <v>6.2345496604228424E-2</v>
      </c>
      <c r="M31" s="50">
        <f t="shared" si="42"/>
        <v>2.8877181173738168E-2</v>
      </c>
      <c r="N31" s="50">
        <f t="shared" si="42"/>
        <v>2.6482751012230212E-2</v>
      </c>
      <c r="O31" s="50">
        <f t="shared" si="42"/>
        <v>7.8770348340948412E-2</v>
      </c>
      <c r="P31" s="50">
        <f t="shared" si="42"/>
        <v>6.1769789386684641E-2</v>
      </c>
      <c r="Q31" s="50">
        <f t="shared" si="42"/>
        <v>5.3138356550480603E-2</v>
      </c>
      <c r="R31" s="50">
        <f t="shared" si="42"/>
        <v>1.293936411342049E-2</v>
      </c>
      <c r="S31" s="50">
        <f t="shared" si="42"/>
        <v>9.2172818535365686E-3</v>
      </c>
      <c r="T31" s="50">
        <f t="shared" si="42"/>
        <v>4.0488581784975664E-3</v>
      </c>
      <c r="U31" s="147">
        <f t="shared" si="42"/>
        <v>7.3483726294231947E-3</v>
      </c>
      <c r="V31" s="50">
        <f>V29/V8</f>
        <v>1.1072432188020677E-2</v>
      </c>
      <c r="W31" s="50">
        <f>W29/W8</f>
        <v>8.7024423423046407E-3</v>
      </c>
      <c r="X31" s="50">
        <f>X29/X8</f>
        <v>8.3929209147604218E-3</v>
      </c>
      <c r="AA31" s="21">
        <f t="shared" si="37"/>
        <v>7.3483726294231947E-3</v>
      </c>
      <c r="AB31" s="21">
        <f t="shared" si="37"/>
        <v>2.6482751012230212E-2</v>
      </c>
      <c r="AC31" s="110">
        <f t="shared" si="41"/>
        <v>-1.9134378382807016</v>
      </c>
      <c r="AD31" s="89"/>
    </row>
    <row r="32" spans="1:30" ht="14.45" customHeight="1">
      <c r="A32" s="31">
        <v>27</v>
      </c>
      <c r="B32" s="17" t="s">
        <v>124</v>
      </c>
      <c r="D32" s="18">
        <f t="shared" ref="D32:X32" si="43">D7-D29</f>
        <v>1469.1652417486002</v>
      </c>
      <c r="E32" s="18">
        <f t="shared" si="43"/>
        <v>1568.4765086710572</v>
      </c>
      <c r="F32" s="18">
        <f t="shared" si="43"/>
        <v>1688.343148531686</v>
      </c>
      <c r="G32" s="18">
        <f t="shared" si="43"/>
        <v>1575.8522759307202</v>
      </c>
      <c r="H32" s="18">
        <f t="shared" si="43"/>
        <v>3037.6417504196575</v>
      </c>
      <c r="I32" s="18">
        <f t="shared" si="43"/>
        <v>4725.984898951343</v>
      </c>
      <c r="J32" s="18">
        <f t="shared" si="43"/>
        <v>6301.8371748820628</v>
      </c>
      <c r="K32" s="18">
        <f t="shared" si="43"/>
        <v>1582.2990632399992</v>
      </c>
      <c r="L32" s="18">
        <f t="shared" si="43"/>
        <v>1692.9815373310466</v>
      </c>
      <c r="M32" s="18">
        <f t="shared" si="43"/>
        <v>1778.5878026763576</v>
      </c>
      <c r="N32" s="18">
        <f t="shared" si="43"/>
        <v>1673.5689934819052</v>
      </c>
      <c r="O32" s="18">
        <f t="shared" si="43"/>
        <v>3275.2806005710454</v>
      </c>
      <c r="P32" s="18">
        <f t="shared" si="43"/>
        <v>5053.8684032474039</v>
      </c>
      <c r="Q32" s="18">
        <f t="shared" si="43"/>
        <v>6727.4373967293095</v>
      </c>
      <c r="R32" s="18">
        <f t="shared" si="43"/>
        <v>1882.692799124492</v>
      </c>
      <c r="S32" s="18">
        <f t="shared" si="43"/>
        <v>1900.5459558792904</v>
      </c>
      <c r="T32" s="18">
        <f t="shared" si="43"/>
        <v>1943.8572632065702</v>
      </c>
      <c r="U32" s="131">
        <f t="shared" si="43"/>
        <v>1701.7120410945845</v>
      </c>
      <c r="V32" s="18">
        <f t="shared" si="43"/>
        <v>3783.2387550037829</v>
      </c>
      <c r="W32" s="18">
        <f t="shared" si="43"/>
        <v>5727.0960182103527</v>
      </c>
      <c r="X32" s="18">
        <f t="shared" si="43"/>
        <v>7428.8080593049372</v>
      </c>
      <c r="AA32" s="18">
        <f t="shared" si="37"/>
        <v>1701.7120410945845</v>
      </c>
      <c r="AB32" s="18">
        <f t="shared" si="37"/>
        <v>1673.5689934819052</v>
      </c>
      <c r="AC32" s="18">
        <f t="shared" si="38"/>
        <v>28.143047612679311</v>
      </c>
      <c r="AD32" s="87">
        <f t="shared" si="39"/>
        <v>1.681618608034019E-2</v>
      </c>
    </row>
    <row r="33" spans="1:30" ht="14.45" customHeight="1">
      <c r="A33" s="31">
        <v>28</v>
      </c>
      <c r="B33" s="17" t="s">
        <v>125</v>
      </c>
      <c r="D33" s="18">
        <f t="shared" ref="D33:X33" si="44">D8-D29</f>
        <v>1439.3145390786003</v>
      </c>
      <c r="E33" s="18">
        <f t="shared" si="44"/>
        <v>1530.7552263410576</v>
      </c>
      <c r="F33" s="18">
        <f t="shared" si="44"/>
        <v>1636.0586997616861</v>
      </c>
      <c r="G33" s="18">
        <f t="shared" si="44"/>
        <v>1472.3801921807203</v>
      </c>
      <c r="H33" s="18">
        <f t="shared" si="44"/>
        <v>2970.0697654196574</v>
      </c>
      <c r="I33" s="18">
        <f t="shared" si="44"/>
        <v>4606.128465181343</v>
      </c>
      <c r="J33" s="18">
        <f t="shared" si="44"/>
        <v>6078.5086573620629</v>
      </c>
      <c r="K33" s="18">
        <f t="shared" si="44"/>
        <v>1542.5723386599993</v>
      </c>
      <c r="L33" s="18">
        <f t="shared" si="44"/>
        <v>1648.7382163010466</v>
      </c>
      <c r="M33" s="18">
        <f t="shared" si="44"/>
        <v>1738.7622707663577</v>
      </c>
      <c r="N33" s="18">
        <f t="shared" si="44"/>
        <v>1656.4636695419051</v>
      </c>
      <c r="O33" s="18">
        <f t="shared" si="44"/>
        <v>3191.3105549610455</v>
      </c>
      <c r="P33" s="18">
        <f t="shared" si="44"/>
        <v>4930.0728257274031</v>
      </c>
      <c r="Q33" s="18">
        <f t="shared" si="44"/>
        <v>6586.5364952693089</v>
      </c>
      <c r="R33" s="18">
        <f t="shared" si="44"/>
        <v>1840.617235404492</v>
      </c>
      <c r="S33" s="18">
        <f t="shared" si="44"/>
        <v>1859.2913466392904</v>
      </c>
      <c r="T33" s="18">
        <f t="shared" si="44"/>
        <v>1897.6820783565702</v>
      </c>
      <c r="U33" s="131">
        <f t="shared" si="44"/>
        <v>1660.9484674651728</v>
      </c>
      <c r="V33" s="18">
        <f t="shared" si="44"/>
        <v>3699.9085820437826</v>
      </c>
      <c r="W33" s="18">
        <f t="shared" si="44"/>
        <v>5597.5906604003521</v>
      </c>
      <c r="X33" s="18">
        <f t="shared" si="44"/>
        <v>7258.5391278655252</v>
      </c>
      <c r="AA33" s="18">
        <f t="shared" si="37"/>
        <v>1660.9484674651728</v>
      </c>
      <c r="AB33" s="18">
        <f t="shared" si="37"/>
        <v>1656.4636695419051</v>
      </c>
      <c r="AC33" s="18">
        <f t="shared" si="38"/>
        <v>4.4847979232677062</v>
      </c>
      <c r="AD33" s="87">
        <f t="shared" si="39"/>
        <v>2.7074532365132242E-3</v>
      </c>
    </row>
    <row r="34" spans="1:30" ht="17.100000000000001" customHeight="1">
      <c r="A34" s="47"/>
      <c r="D34" s="40"/>
      <c r="G34" s="73"/>
    </row>
    <row r="35" spans="1:30" ht="17.100000000000001" customHeight="1">
      <c r="B35" s="8" t="s">
        <v>80</v>
      </c>
      <c r="M35" s="61"/>
      <c r="P35" s="51"/>
      <c r="Q35" s="52"/>
    </row>
    <row r="36" spans="1:30" ht="19.149999999999999" customHeight="1">
      <c r="B36" s="150" t="s">
        <v>155</v>
      </c>
      <c r="P36" s="51"/>
      <c r="Q36" s="52"/>
    </row>
    <row r="37" spans="1:30" ht="19.149999999999999" customHeight="1">
      <c r="B37" s="150"/>
    </row>
    <row r="38" spans="1:30" ht="19.149999999999999" customHeight="1">
      <c r="B38" s="150"/>
    </row>
    <row r="39" spans="1:30" ht="19.149999999999999" customHeight="1">
      <c r="B39" s="150"/>
    </row>
  </sheetData>
  <mergeCells count="1">
    <mergeCell ref="B36:B39"/>
  </mergeCells>
  <pageMargins left="0.25" right="0.25" top="0.75" bottom="0.75" header="0.3" footer="0.3"/>
  <pageSetup paperSize="9" scale="42" fitToHeight="0" orientation="landscape" r:id="rId1"/>
  <ignoredErrors>
    <ignoredError sqref="K22 A1:B4 B10 D20:G20 B15 A7:B7 D18:G18 D19:G19 O19:Q19 B11:B13 H14:I14 N14:P14 H19:I19 O22:Q22 H29:P29 B17 E17:F17 A6 D16:F16 O20:Q20 A5:B5 H5:I5 D14:F14 I6 D10:E10 D15:F15 D7:E7 D11:E13 D1:I4" formulaRange="1"/>
    <ignoredError sqref="G17 G15 G16 F7 F11:F13 F10 G10 G11 G12 G13 G7 G14 O10:P10 O13:P13 N11:P11 N12:P12 H12:I12 H11:I11 H7:P7 H10:I10 H13:I13 G8:P9 L12:M12 L11:M11 L13:N13 L10:N10 J12:K12 J10:K10 J13:K13 J11:K11 J14:K14 L14:M14 L22:M22" formula="1" formulaRange="1"/>
    <ignoredError sqref="L36:N36 L27:N27 L19:M19 L17:N18 L15:N16 J15:K16 F8:F9 Q7 Q12 Q11 Q13 Q10 Q8:Q9 N22 N3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5117038483843"/>
    <outlinePr summaryBelow="0"/>
    <pageSetUpPr fitToPage="1"/>
  </sheetPr>
  <dimension ref="A1:V25"/>
  <sheetViews>
    <sheetView showGridLines="0" zoomScale="85" zoomScaleNormal="85" workbookViewId="0">
      <pane xSplit="3" ySplit="6" topLeftCell="L7" activePane="bottomRight" state="frozen"/>
      <selection pane="topRight" activeCell="D1" sqref="D1"/>
      <selection pane="bottomLeft" activeCell="A7" sqref="A7"/>
      <selection pane="bottomRight" activeCell="P13" sqref="P13"/>
    </sheetView>
  </sheetViews>
  <sheetFormatPr defaultColWidth="10.7109375" defaultRowHeight="17.100000000000001" customHeight="1"/>
  <cols>
    <col min="1" max="1" width="2" style="8" customWidth="1"/>
    <col min="2" max="2" width="85.28515625" style="8" customWidth="1"/>
    <col min="3" max="3" width="1.28515625" customWidth="1"/>
    <col min="4" max="4" width="42.28515625" style="8" customWidth="1"/>
    <col min="5" max="16" width="16.85546875" style="8" customWidth="1"/>
    <col min="17" max="18" width="3" customWidth="1"/>
    <col min="19" max="20" width="12.42578125" style="8" customWidth="1" collapsed="1"/>
    <col min="21" max="21" width="10.85546875" style="8" customWidth="1" collapsed="1"/>
    <col min="22" max="22" width="9.5703125" style="8" customWidth="1" collapsed="1"/>
  </cols>
  <sheetData>
    <row r="1" spans="1:22" ht="11.25" customHeight="1"/>
    <row r="2" spans="1:22" ht="15"/>
    <row r="3" spans="1:22" ht="15">
      <c r="D3" s="1"/>
      <c r="E3" s="1"/>
      <c r="F3" s="1"/>
      <c r="G3" s="1"/>
      <c r="H3" s="1"/>
      <c r="I3" s="1"/>
      <c r="J3" s="1"/>
      <c r="K3" s="1"/>
      <c r="L3" s="1"/>
      <c r="M3" s="1"/>
      <c r="N3" s="1"/>
      <c r="O3" s="1"/>
      <c r="P3" s="1"/>
      <c r="S3" s="1" t="s">
        <v>151</v>
      </c>
      <c r="T3" s="1"/>
      <c r="U3" s="1"/>
      <c r="V3" s="1"/>
    </row>
    <row r="4" spans="1:22" ht="15"/>
    <row r="5" spans="1:22" ht="15">
      <c r="D5" s="34"/>
      <c r="E5" s="34"/>
      <c r="F5" s="34"/>
      <c r="G5" s="34"/>
      <c r="H5" s="34"/>
      <c r="I5" s="34"/>
      <c r="J5" s="34"/>
      <c r="K5" s="34"/>
      <c r="L5" s="34"/>
      <c r="M5" s="34"/>
      <c r="N5" s="34"/>
      <c r="O5" s="34"/>
      <c r="P5" s="34"/>
    </row>
    <row r="6" spans="1:22" ht="14.45" customHeight="1">
      <c r="B6" s="9" t="s">
        <v>126</v>
      </c>
      <c r="D6" s="10" t="s">
        <v>209</v>
      </c>
      <c r="E6" s="10" t="s">
        <v>210</v>
      </c>
      <c r="F6" s="10" t="s">
        <v>211</v>
      </c>
      <c r="G6" s="10" t="s">
        <v>212</v>
      </c>
      <c r="H6" s="10" t="s">
        <v>213</v>
      </c>
      <c r="I6" s="10" t="s">
        <v>214</v>
      </c>
      <c r="J6" s="10" t="s">
        <v>215</v>
      </c>
      <c r="K6" s="10" t="s">
        <v>216</v>
      </c>
      <c r="L6" s="10" t="s">
        <v>217</v>
      </c>
      <c r="M6" s="10" t="s">
        <v>218</v>
      </c>
      <c r="N6" s="10" t="s">
        <v>219</v>
      </c>
      <c r="O6" s="10" t="s">
        <v>220</v>
      </c>
      <c r="P6" s="10" t="s">
        <v>268</v>
      </c>
      <c r="S6" s="149" t="s">
        <v>268</v>
      </c>
      <c r="T6" s="149" t="s">
        <v>261</v>
      </c>
      <c r="U6" s="10" t="s">
        <v>152</v>
      </c>
      <c r="V6" s="10" t="s">
        <v>153</v>
      </c>
    </row>
    <row r="7" spans="1:22" ht="14.45" customHeight="1">
      <c r="A7" s="31">
        <v>2</v>
      </c>
      <c r="B7" s="15" t="s">
        <v>43</v>
      </c>
      <c r="D7" s="16" t="s">
        <v>221</v>
      </c>
      <c r="E7" s="16">
        <v>655.34299999999996</v>
      </c>
      <c r="F7" s="16">
        <v>1379.7070000000001</v>
      </c>
      <c r="G7" s="16">
        <v>988.76099999999997</v>
      </c>
      <c r="H7" s="16">
        <v>1090.652</v>
      </c>
      <c r="I7" s="16">
        <v>1048.3599999999999</v>
      </c>
      <c r="J7" s="16">
        <v>422.58499999999998</v>
      </c>
      <c r="K7" s="16">
        <v>309.02</v>
      </c>
      <c r="L7" s="16">
        <v>345.73099999999999</v>
      </c>
      <c r="M7" s="16">
        <v>2229.0239999999999</v>
      </c>
      <c r="N7" s="16">
        <v>2267.0529999999999</v>
      </c>
      <c r="O7" s="16">
        <v>146.48699999999999</v>
      </c>
      <c r="P7" s="134">
        <v>122.96599999999999</v>
      </c>
      <c r="S7" s="16">
        <f>HLOOKUP(S$6,$E$6:$P$23,$A7,0)</f>
        <v>122.96599999999999</v>
      </c>
      <c r="T7" s="16">
        <f t="shared" ref="T7:T18" si="0">HLOOKUP(T$6,$E$6:$P$23,$A7,0)</f>
        <v>345.73099999999999</v>
      </c>
      <c r="U7" s="16">
        <f t="shared" ref="U7:U18" si="1">IFERROR(S7-T7,"-")</f>
        <v>-222.76499999999999</v>
      </c>
      <c r="V7" s="86">
        <f t="shared" ref="V7:V18" si="2">IFERROR(S7/T7-1,"-")</f>
        <v>-0.64433041873595376</v>
      </c>
    </row>
    <row r="8" spans="1:22" ht="14.45" customHeight="1">
      <c r="A8" s="31">
        <v>3</v>
      </c>
      <c r="B8" s="15" t="s">
        <v>38</v>
      </c>
      <c r="D8" s="16" t="s">
        <v>221</v>
      </c>
      <c r="E8" s="16">
        <v>466.45800000000003</v>
      </c>
      <c r="F8" s="16">
        <v>578.12900000000002</v>
      </c>
      <c r="G8" s="16">
        <v>622.31500000000005</v>
      </c>
      <c r="H8" s="16">
        <v>1004.583</v>
      </c>
      <c r="I8" s="16">
        <v>1138.1289999999999</v>
      </c>
      <c r="J8" s="16">
        <v>637.08699999999999</v>
      </c>
      <c r="K8" s="16">
        <v>902.21799999999996</v>
      </c>
      <c r="L8" s="16">
        <v>817.66899999999998</v>
      </c>
      <c r="M8" s="16">
        <v>1151.9449999999999</v>
      </c>
      <c r="N8" s="16">
        <v>700.83100000000002</v>
      </c>
      <c r="O8" s="16">
        <v>1575.413</v>
      </c>
      <c r="P8" s="134">
        <v>1395.83</v>
      </c>
      <c r="S8" s="16">
        <f t="shared" ref="S8:S18" si="3">HLOOKUP(S$6,$E$6:$P$23,$A8,0)</f>
        <v>1395.83</v>
      </c>
      <c r="T8" s="16">
        <f t="shared" si="0"/>
        <v>817.66899999999998</v>
      </c>
      <c r="U8" s="16">
        <f t="shared" si="1"/>
        <v>578.16099999999994</v>
      </c>
      <c r="V8" s="86">
        <f t="shared" si="2"/>
        <v>0.70708440701555264</v>
      </c>
    </row>
    <row r="9" spans="1:22" ht="14.45" customHeight="1">
      <c r="A9" s="31">
        <v>4</v>
      </c>
      <c r="B9" s="15" t="s">
        <v>35</v>
      </c>
      <c r="D9" s="16" t="s">
        <v>131</v>
      </c>
      <c r="E9" s="16">
        <v>2.7170000000000001</v>
      </c>
      <c r="F9" s="16">
        <v>3.5960000000000001</v>
      </c>
      <c r="G9" s="16">
        <v>3.6440000000000001</v>
      </c>
      <c r="H9" s="16">
        <v>12.364000000000001</v>
      </c>
      <c r="I9" s="16">
        <v>9.8740000000000006</v>
      </c>
      <c r="J9" s="16">
        <v>6.0919999999999996</v>
      </c>
      <c r="K9" s="16">
        <v>7.1079999999999997</v>
      </c>
      <c r="L9" s="16">
        <v>6.2080000000000002</v>
      </c>
      <c r="M9" s="16">
        <v>5.5750000000000002</v>
      </c>
      <c r="N9" s="16">
        <v>1.7370000000000001</v>
      </c>
      <c r="O9" s="16">
        <v>1.159</v>
      </c>
      <c r="P9" s="134">
        <v>0.88500000000000001</v>
      </c>
      <c r="S9" s="16">
        <f t="shared" si="3"/>
        <v>0.88500000000000001</v>
      </c>
      <c r="T9" s="16">
        <f t="shared" si="0"/>
        <v>6.2080000000000002</v>
      </c>
      <c r="U9" s="16">
        <f t="shared" si="1"/>
        <v>-5.3230000000000004</v>
      </c>
      <c r="V9" s="86">
        <f t="shared" si="2"/>
        <v>-0.85744201030927836</v>
      </c>
    </row>
    <row r="10" spans="1:22" ht="14.45" customHeight="1">
      <c r="A10" s="31">
        <v>5</v>
      </c>
      <c r="B10" s="15" t="s">
        <v>43</v>
      </c>
      <c r="D10" s="16" t="s">
        <v>222</v>
      </c>
      <c r="E10" s="16">
        <v>1014.095</v>
      </c>
      <c r="F10" s="16">
        <v>198.28800000000001</v>
      </c>
      <c r="G10" s="16">
        <v>322.50299999999999</v>
      </c>
      <c r="H10" s="16">
        <v>494.63400000000001</v>
      </c>
      <c r="I10" s="16">
        <v>2356.605</v>
      </c>
      <c r="J10" s="16">
        <v>2320.69</v>
      </c>
      <c r="K10" s="16">
        <v>2284.5630000000001</v>
      </c>
      <c r="L10" s="16">
        <v>2213.6669999999999</v>
      </c>
      <c r="M10" s="16">
        <v>186.45500000000001</v>
      </c>
      <c r="N10" s="16">
        <v>154.024</v>
      </c>
      <c r="O10" s="16">
        <v>134.49799999999999</v>
      </c>
      <c r="P10" s="134">
        <v>69.304000000000002</v>
      </c>
      <c r="S10" s="16">
        <f t="shared" si="3"/>
        <v>69.304000000000002</v>
      </c>
      <c r="T10" s="16">
        <f t="shared" si="0"/>
        <v>2213.6669999999999</v>
      </c>
      <c r="U10" s="16">
        <f t="shared" si="1"/>
        <v>-2144.3629999999998</v>
      </c>
      <c r="V10" s="86">
        <f t="shared" si="2"/>
        <v>-0.96869267148130234</v>
      </c>
    </row>
    <row r="11" spans="1:22" ht="14.45" customHeight="1">
      <c r="A11" s="31">
        <v>6</v>
      </c>
      <c r="B11" s="15" t="s">
        <v>38</v>
      </c>
      <c r="D11" s="16" t="s">
        <v>222</v>
      </c>
      <c r="E11" s="16">
        <v>3692.056</v>
      </c>
      <c r="F11" s="16">
        <v>3571.056</v>
      </c>
      <c r="G11" s="16">
        <v>3438.386</v>
      </c>
      <c r="H11" s="16">
        <v>5056.9780000000001</v>
      </c>
      <c r="I11" s="16">
        <v>4758.0140000000001</v>
      </c>
      <c r="J11" s="16">
        <v>6537.3180000000002</v>
      </c>
      <c r="K11" s="16">
        <v>6526.5519999999997</v>
      </c>
      <c r="L11" s="16">
        <v>8085.0320000000002</v>
      </c>
      <c r="M11" s="16">
        <v>8094.5060000000003</v>
      </c>
      <c r="N11" s="16">
        <v>7998.1040000000003</v>
      </c>
      <c r="O11" s="16">
        <v>9480.5519999999997</v>
      </c>
      <c r="P11" s="134">
        <v>9063.3369999999995</v>
      </c>
      <c r="S11" s="16">
        <f t="shared" si="3"/>
        <v>9063.3369999999995</v>
      </c>
      <c r="T11" s="16">
        <f t="shared" si="0"/>
        <v>8085.0320000000002</v>
      </c>
      <c r="U11" s="16">
        <f t="shared" si="1"/>
        <v>978.30499999999938</v>
      </c>
      <c r="V11" s="86">
        <f t="shared" si="2"/>
        <v>0.12100199479729934</v>
      </c>
    </row>
    <row r="12" spans="1:22" ht="14.45" customHeight="1">
      <c r="A12" s="31">
        <v>7</v>
      </c>
      <c r="B12" s="15" t="s">
        <v>35</v>
      </c>
      <c r="D12" s="16" t="s">
        <v>130</v>
      </c>
      <c r="E12" s="16">
        <v>7.5839999999999996</v>
      </c>
      <c r="F12" s="16">
        <v>5.7910000000000004</v>
      </c>
      <c r="G12" s="16">
        <v>7.0350000000000001</v>
      </c>
      <c r="H12" s="16">
        <v>7.9340000000000002</v>
      </c>
      <c r="I12" s="16">
        <v>7.1479999999999997</v>
      </c>
      <c r="J12" s="16">
        <v>4.0549999999999997</v>
      </c>
      <c r="K12" s="16">
        <v>1.214</v>
      </c>
      <c r="L12" s="16">
        <v>1.431</v>
      </c>
      <c r="M12" s="16">
        <v>1.4379999999999999</v>
      </c>
      <c r="N12" s="16">
        <v>17.832000000000001</v>
      </c>
      <c r="O12" s="16">
        <v>18.100000000000001</v>
      </c>
      <c r="P12" s="134">
        <v>25.106000000000002</v>
      </c>
      <c r="S12" s="16">
        <f t="shared" si="3"/>
        <v>25.106000000000002</v>
      </c>
      <c r="T12" s="16">
        <f t="shared" si="0"/>
        <v>1.431</v>
      </c>
      <c r="U12" s="16">
        <f t="shared" si="1"/>
        <v>23.675000000000001</v>
      </c>
      <c r="V12" s="86">
        <f t="shared" si="2"/>
        <v>16.544374563242489</v>
      </c>
    </row>
    <row r="13" spans="1:22" ht="14.45" customHeight="1">
      <c r="A13" s="31">
        <v>8</v>
      </c>
      <c r="B13" s="15" t="s">
        <v>35</v>
      </c>
      <c r="D13" s="16" t="s">
        <v>223</v>
      </c>
      <c r="E13" s="16">
        <v>-18.59</v>
      </c>
      <c r="F13" s="16">
        <v>-12.43</v>
      </c>
      <c r="G13" s="16">
        <v>-2.1549999999999998</v>
      </c>
      <c r="H13" s="16">
        <v>-22.626000000000001</v>
      </c>
      <c r="I13" s="16">
        <v>-10.423</v>
      </c>
      <c r="J13" s="16">
        <v>-11.763</v>
      </c>
      <c r="K13" s="16">
        <v>-10.975</v>
      </c>
      <c r="L13" s="16">
        <v>-12.204000000000001</v>
      </c>
      <c r="M13" s="16">
        <v>-9.1379999999999999</v>
      </c>
      <c r="N13" s="16">
        <v>-5.3419999999999996</v>
      </c>
      <c r="O13" s="16">
        <v>-6.3860000000000001</v>
      </c>
      <c r="P13" s="134">
        <v>0</v>
      </c>
      <c r="S13" s="16">
        <f t="shared" si="3"/>
        <v>0</v>
      </c>
      <c r="T13" s="16">
        <f t="shared" si="0"/>
        <v>-12.204000000000001</v>
      </c>
      <c r="U13" s="16">
        <f t="shared" si="1"/>
        <v>12.204000000000001</v>
      </c>
      <c r="V13" s="86">
        <f t="shared" si="2"/>
        <v>-1</v>
      </c>
    </row>
    <row r="14" spans="1:22" ht="14.45" customHeight="1">
      <c r="A14" s="31">
        <v>9</v>
      </c>
      <c r="B14" s="15" t="s">
        <v>35</v>
      </c>
      <c r="D14" s="16" t="s">
        <v>128</v>
      </c>
      <c r="E14" s="16">
        <v>-53.009</v>
      </c>
      <c r="F14" s="16">
        <v>-36.460999999999999</v>
      </c>
      <c r="G14" s="16">
        <v>-48.982999999999997</v>
      </c>
      <c r="H14" s="16">
        <v>-41.677</v>
      </c>
      <c r="I14" s="16">
        <v>-22.876999999999999</v>
      </c>
      <c r="J14" s="16">
        <v>-26.077999999999999</v>
      </c>
      <c r="K14" s="16">
        <v>-24.655999999999999</v>
      </c>
      <c r="L14" s="16">
        <v>-12.824</v>
      </c>
      <c r="M14" s="16">
        <v>-10.606</v>
      </c>
      <c r="N14" s="16">
        <v>-12.897</v>
      </c>
      <c r="O14" s="16">
        <v>-8.8000000000000007</v>
      </c>
      <c r="P14" s="134">
        <v>-7.165</v>
      </c>
      <c r="S14" s="16">
        <f t="shared" si="3"/>
        <v>-7.165</v>
      </c>
      <c r="T14" s="16">
        <f t="shared" si="0"/>
        <v>-12.824</v>
      </c>
      <c r="U14" s="16">
        <f t="shared" si="1"/>
        <v>5.6589999999999998</v>
      </c>
      <c r="V14" s="86">
        <f t="shared" si="2"/>
        <v>-0.44128197130380531</v>
      </c>
    </row>
    <row r="15" spans="1:22" ht="14.45" customHeight="1">
      <c r="A15" s="31">
        <v>10</v>
      </c>
      <c r="B15" s="17" t="s">
        <v>132</v>
      </c>
      <c r="D15" s="18"/>
      <c r="E15" s="18">
        <f t="shared" ref="E15:F15" si="4">SUM(E7:E14)</f>
        <v>5766.6539999999995</v>
      </c>
      <c r="F15" s="18">
        <f t="shared" si="4"/>
        <v>5687.6759999999995</v>
      </c>
      <c r="G15" s="18">
        <f t="shared" ref="G15:H15" si="5">SUM(G7:G14)</f>
        <v>5331.5060000000003</v>
      </c>
      <c r="H15" s="18">
        <f t="shared" si="5"/>
        <v>7602.8420000000006</v>
      </c>
      <c r="I15" s="18">
        <f t="shared" ref="I15" si="6">SUM(I7:I14)</f>
        <v>9284.8299999999981</v>
      </c>
      <c r="J15" s="18">
        <f t="shared" ref="J15:P15" si="7">SUM(J7:J14)</f>
        <v>9889.9860000000008</v>
      </c>
      <c r="K15" s="18">
        <f t="shared" si="7"/>
        <v>9995.0439999999981</v>
      </c>
      <c r="L15" s="18">
        <f t="shared" si="7"/>
        <v>11444.710000000001</v>
      </c>
      <c r="M15" s="18">
        <f t="shared" si="7"/>
        <v>11649.199000000001</v>
      </c>
      <c r="N15" s="18">
        <f t="shared" si="7"/>
        <v>11121.341999999999</v>
      </c>
      <c r="O15" s="18">
        <f t="shared" si="7"/>
        <v>11341.023000000001</v>
      </c>
      <c r="P15" s="131">
        <f t="shared" si="7"/>
        <v>10670.262999999999</v>
      </c>
      <c r="S15" s="18">
        <f t="shared" si="3"/>
        <v>10670.262999999999</v>
      </c>
      <c r="T15" s="18">
        <f t="shared" si="0"/>
        <v>11444.710000000001</v>
      </c>
      <c r="U15" s="18">
        <f t="shared" si="1"/>
        <v>-774.44700000000194</v>
      </c>
      <c r="V15" s="87">
        <f t="shared" si="2"/>
        <v>-6.7668556040301753E-2</v>
      </c>
    </row>
    <row r="16" spans="1:22" ht="14.45" customHeight="1">
      <c r="A16" s="31">
        <v>11</v>
      </c>
      <c r="B16" s="15" t="s">
        <v>33</v>
      </c>
      <c r="D16" s="16" t="s">
        <v>223</v>
      </c>
      <c r="E16" s="16">
        <v>751.03899999999999</v>
      </c>
      <c r="F16" s="16">
        <v>1028.787</v>
      </c>
      <c r="G16" s="16">
        <v>861.58600000000001</v>
      </c>
      <c r="H16" s="16">
        <v>1143.0260000000001</v>
      </c>
      <c r="I16" s="16">
        <v>1034.318</v>
      </c>
      <c r="J16" s="16">
        <v>763.697</v>
      </c>
      <c r="K16" s="16">
        <v>1007.6130000000001</v>
      </c>
      <c r="L16" s="16">
        <v>1284.992</v>
      </c>
      <c r="M16" s="16">
        <v>1210.175</v>
      </c>
      <c r="N16" s="16">
        <v>1502.3989999999999</v>
      </c>
      <c r="O16" s="16">
        <v>1298.615</v>
      </c>
      <c r="P16" s="134">
        <v>1585.194</v>
      </c>
      <c r="S16" s="16">
        <f t="shared" si="3"/>
        <v>1585.194</v>
      </c>
      <c r="T16" s="16">
        <f t="shared" si="0"/>
        <v>1284.992</v>
      </c>
      <c r="U16" s="16">
        <f t="shared" si="1"/>
        <v>300.202</v>
      </c>
      <c r="V16" s="86">
        <f t="shared" si="2"/>
        <v>0.23362168791712312</v>
      </c>
    </row>
    <row r="17" spans="1:22" ht="14.45" customHeight="1">
      <c r="A17" s="31">
        <v>12</v>
      </c>
      <c r="B17" s="15" t="s">
        <v>90</v>
      </c>
      <c r="D17" s="16" t="s">
        <v>129</v>
      </c>
      <c r="E17" s="16">
        <v>812.31700000000001</v>
      </c>
      <c r="F17" s="16">
        <v>3261.59</v>
      </c>
      <c r="G17" s="16">
        <v>1349.952</v>
      </c>
      <c r="H17" s="16">
        <v>2471.0320000000002</v>
      </c>
      <c r="I17" s="16">
        <v>1887.4680000000001</v>
      </c>
      <c r="J17" s="16">
        <v>1797.64</v>
      </c>
      <c r="K17" s="16">
        <v>1188.2850000000001</v>
      </c>
      <c r="L17" s="16">
        <v>1793.2170000000001</v>
      </c>
      <c r="M17" s="16">
        <v>788.21799999999996</v>
      </c>
      <c r="N17" s="16">
        <v>1322.7349999999999</v>
      </c>
      <c r="O17" s="16">
        <v>1074.751</v>
      </c>
      <c r="P17" s="134">
        <v>103.815</v>
      </c>
      <c r="S17" s="16">
        <f t="shared" si="3"/>
        <v>103.815</v>
      </c>
      <c r="T17" s="16">
        <f t="shared" si="0"/>
        <v>1793.2170000000001</v>
      </c>
      <c r="U17" s="16">
        <f t="shared" si="1"/>
        <v>-1689.402</v>
      </c>
      <c r="V17" s="86">
        <f t="shared" si="2"/>
        <v>-0.94210683927265915</v>
      </c>
    </row>
    <row r="18" spans="1:22" ht="14.45" customHeight="1">
      <c r="A18" s="31">
        <v>13</v>
      </c>
      <c r="B18" s="17" t="s">
        <v>133</v>
      </c>
      <c r="D18" s="18"/>
      <c r="E18" s="18">
        <f t="shared" ref="E18:F18" si="8">E15-E16-E17</f>
        <v>4203.2979999999998</v>
      </c>
      <c r="F18" s="18">
        <f t="shared" si="8"/>
        <v>1397.2989999999991</v>
      </c>
      <c r="G18" s="18">
        <f t="shared" ref="G18:H18" si="9">G15-G16-G17</f>
        <v>3119.9679999999998</v>
      </c>
      <c r="H18" s="18">
        <f t="shared" si="9"/>
        <v>3988.7840000000006</v>
      </c>
      <c r="I18" s="18">
        <f t="shared" ref="I18" si="10">I15-I16-I17</f>
        <v>6363.043999999999</v>
      </c>
      <c r="J18" s="18">
        <f t="shared" ref="J18:P18" si="11">J15-J16-J17</f>
        <v>7328.6490000000003</v>
      </c>
      <c r="K18" s="18">
        <f t="shared" si="11"/>
        <v>7799.1459999999988</v>
      </c>
      <c r="L18" s="18">
        <f t="shared" si="11"/>
        <v>8366.5010000000002</v>
      </c>
      <c r="M18" s="18">
        <f t="shared" si="11"/>
        <v>9650.8060000000005</v>
      </c>
      <c r="N18" s="18">
        <f t="shared" si="11"/>
        <v>8296.2079999999987</v>
      </c>
      <c r="O18" s="18">
        <f t="shared" si="11"/>
        <v>8967.6570000000011</v>
      </c>
      <c r="P18" s="131">
        <f t="shared" si="11"/>
        <v>8981.253999999999</v>
      </c>
      <c r="S18" s="18">
        <f t="shared" si="3"/>
        <v>8981.253999999999</v>
      </c>
      <c r="T18" s="18">
        <f t="shared" si="0"/>
        <v>8366.5010000000002</v>
      </c>
      <c r="U18" s="18">
        <f t="shared" si="1"/>
        <v>614.75299999999879</v>
      </c>
      <c r="V18" s="87">
        <f t="shared" si="2"/>
        <v>7.3477909104415096E-2</v>
      </c>
    </row>
    <row r="19" spans="1:22" ht="14.45" customHeight="1">
      <c r="A19" s="31">
        <v>14</v>
      </c>
      <c r="B19" s="23"/>
      <c r="D19" s="24"/>
      <c r="E19" s="24"/>
      <c r="F19" s="24"/>
      <c r="G19" s="24"/>
      <c r="H19" s="24"/>
      <c r="I19" s="24"/>
      <c r="J19" s="24"/>
      <c r="K19" s="24"/>
      <c r="L19" s="24"/>
      <c r="M19" s="24"/>
      <c r="N19" s="24"/>
      <c r="O19" s="24"/>
      <c r="P19" s="24"/>
      <c r="S19" s="24"/>
      <c r="T19" s="24"/>
      <c r="U19" s="24"/>
      <c r="V19" s="24"/>
    </row>
    <row r="20" spans="1:22" ht="14.45" customHeight="1">
      <c r="A20" s="31">
        <v>15</v>
      </c>
      <c r="B20" s="9" t="s">
        <v>76</v>
      </c>
      <c r="D20" s="10" t="s">
        <v>127</v>
      </c>
      <c r="E20" s="10" t="s">
        <v>210</v>
      </c>
      <c r="F20" s="10" t="s">
        <v>211</v>
      </c>
      <c r="G20" s="10" t="s">
        <v>212</v>
      </c>
      <c r="H20" s="10" t="s">
        <v>213</v>
      </c>
      <c r="I20" s="10" t="s">
        <v>214</v>
      </c>
      <c r="J20" s="10" t="s">
        <v>215</v>
      </c>
      <c r="K20" s="10" t="s">
        <v>216</v>
      </c>
      <c r="L20" s="10" t="s">
        <v>217</v>
      </c>
      <c r="M20" s="10" t="s">
        <v>218</v>
      </c>
      <c r="N20" s="10" t="s">
        <v>219</v>
      </c>
      <c r="O20" s="10" t="s">
        <v>220</v>
      </c>
      <c r="P20" s="10" t="s">
        <v>268</v>
      </c>
      <c r="S20" s="10" t="str">
        <f>S6</f>
        <v>4Q23</v>
      </c>
      <c r="T20" s="10" t="str">
        <f>T6</f>
        <v>4Q22</v>
      </c>
      <c r="U20" s="10" t="str">
        <f>U6</f>
        <v>Var. (Vol)</v>
      </c>
      <c r="V20" s="10" t="str">
        <f>V6</f>
        <v>Var. (%)</v>
      </c>
    </row>
    <row r="21" spans="1:22" ht="14.45" customHeight="1">
      <c r="A21" s="31">
        <v>16</v>
      </c>
      <c r="B21" s="45" t="s">
        <v>156</v>
      </c>
      <c r="D21" s="18"/>
      <c r="E21" s="18">
        <v>1014.7564967600002</v>
      </c>
      <c r="F21" s="18">
        <v>919.77766004599994</v>
      </c>
      <c r="G21" s="18">
        <v>1085.3739368899999</v>
      </c>
      <c r="H21" s="18">
        <v>1281.5140182299983</v>
      </c>
      <c r="I21" s="18">
        <v>1583.6537813648488</v>
      </c>
      <c r="J21" s="18">
        <v>2060.0524593100004</v>
      </c>
      <c r="K21" s="18">
        <v>2061.857</v>
      </c>
      <c r="L21" s="18">
        <v>2163.9129680000005</v>
      </c>
      <c r="M21" s="18">
        <v>2209.8927422500301</v>
      </c>
      <c r="N21" s="18">
        <v>2235.5787422500293</v>
      </c>
      <c r="O21" s="18">
        <v>2337.1708902300261</v>
      </c>
      <c r="P21" s="131">
        <f>2277111.00169116/1000</f>
        <v>2277.1110016911598</v>
      </c>
      <c r="S21" s="18">
        <f>HLOOKUP(S$6,$E$6:$P$23,$A21,0)</f>
        <v>2277.1110016911598</v>
      </c>
      <c r="T21" s="18">
        <f>HLOOKUP(T$6,$E$6:$P$23,$A21,0)</f>
        <v>2163.9129680000005</v>
      </c>
      <c r="U21" s="18">
        <f t="shared" ref="U21" si="12">IFERROR(S21-T21,"-")</f>
        <v>113.19803369115925</v>
      </c>
      <c r="V21" s="87">
        <f t="shared" ref="V21" si="13">IFERROR(S21/T21-1,"-")</f>
        <v>5.2311731278075646E-2</v>
      </c>
    </row>
    <row r="22" spans="1:22" ht="6.75" customHeight="1">
      <c r="A22" s="31">
        <v>17</v>
      </c>
      <c r="B22" s="59"/>
      <c r="D22" s="14"/>
      <c r="E22" s="14"/>
      <c r="F22" s="14"/>
      <c r="G22" s="14"/>
      <c r="H22" s="14"/>
      <c r="I22" s="14"/>
      <c r="J22" s="14"/>
      <c r="K22" s="14"/>
      <c r="L22" s="14"/>
      <c r="M22" s="14"/>
      <c r="N22" s="14"/>
      <c r="O22" s="14"/>
      <c r="P22" s="133"/>
      <c r="S22" s="14"/>
      <c r="T22" s="14"/>
      <c r="U22" s="14"/>
      <c r="V22" s="85"/>
    </row>
    <row r="23" spans="1:22" ht="14.45" customHeight="1">
      <c r="A23" s="31">
        <v>18</v>
      </c>
      <c r="B23" s="27" t="s">
        <v>157</v>
      </c>
      <c r="D23" s="35"/>
      <c r="E23" s="35">
        <v>4.1421740224582377</v>
      </c>
      <c r="F23" s="35">
        <v>1.5191714918691519</v>
      </c>
      <c r="G23" s="35">
        <v>2.8745558502536634</v>
      </c>
      <c r="H23" s="35">
        <v>3.1125558856618905</v>
      </c>
      <c r="I23" s="35">
        <v>4.0179514454959362</v>
      </c>
      <c r="J23" s="35">
        <f t="shared" ref="J23:P23" si="14">IFERROR(J18/J21,"-")</f>
        <v>3.5575060076162712</v>
      </c>
      <c r="K23" s="35">
        <f t="shared" si="14"/>
        <v>3.7825833702337257</v>
      </c>
      <c r="L23" s="35">
        <f t="shared" si="14"/>
        <v>3.866375923488619</v>
      </c>
      <c r="M23" s="35">
        <f t="shared" si="14"/>
        <v>4.3670924907305277</v>
      </c>
      <c r="N23" s="35">
        <f t="shared" si="14"/>
        <v>3.7109889458199823</v>
      </c>
      <c r="O23" s="35">
        <f t="shared" si="14"/>
        <v>3.8369710308677503</v>
      </c>
      <c r="P23" s="148">
        <f t="shared" si="14"/>
        <v>3.9441441340935164</v>
      </c>
      <c r="S23" s="35">
        <f>HLOOKUP(S$6,$E$6:$P$23,$A23,0)</f>
        <v>3.9441441340935164</v>
      </c>
      <c r="T23" s="35">
        <f>HLOOKUP(T$6,$E$6:$P$23,$A23,0)</f>
        <v>3.866375923488619</v>
      </c>
      <c r="U23" s="35">
        <f t="shared" ref="U23" si="15">IFERROR(S23-T23,"-")</f>
        <v>7.7768210604897359E-2</v>
      </c>
      <c r="V23" s="35"/>
    </row>
    <row r="24" spans="1:22" ht="17.100000000000001" customHeight="1">
      <c r="H24" s="60"/>
      <c r="I24" s="60"/>
      <c r="J24" s="60"/>
      <c r="K24" s="60"/>
      <c r="L24" s="60"/>
      <c r="M24" s="60"/>
      <c r="N24" s="60"/>
      <c r="O24" s="60"/>
      <c r="P24" s="60"/>
    </row>
    <row r="25" spans="1:22" ht="17.100000000000001" customHeight="1">
      <c r="B25" s="8" t="s">
        <v>162</v>
      </c>
    </row>
  </sheetData>
  <pageMargins left="0.25" right="0.25" top="0.75" bottom="0.75" header="0.3" footer="0.3"/>
  <pageSetup paperSize="9" scale="4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5117038483843"/>
    <outlinePr summaryBelow="0"/>
    <pageSetUpPr fitToPage="1"/>
  </sheetPr>
  <dimension ref="A1:U80"/>
  <sheetViews>
    <sheetView showGridLines="0" zoomScale="85" zoomScaleNormal="85" workbookViewId="0">
      <pane xSplit="3" ySplit="6" topLeftCell="M53" activePane="bottomRight" state="frozen"/>
      <selection pane="topRight" activeCell="D1" sqref="D1"/>
      <selection pane="bottomLeft" activeCell="A7" sqref="A7"/>
      <selection pane="bottomRight" activeCell="W60" sqref="W60"/>
    </sheetView>
  </sheetViews>
  <sheetFormatPr defaultColWidth="10.7109375" defaultRowHeight="15"/>
  <cols>
    <col min="1" max="1" width="2" style="8" customWidth="1"/>
    <col min="2" max="2" width="49.42578125" style="8" customWidth="1"/>
    <col min="3" max="3" width="1.42578125" customWidth="1"/>
    <col min="4" max="10" width="16.85546875" style="8" customWidth="1"/>
    <col min="11" max="11" width="14" style="8" customWidth="1"/>
    <col min="12" max="15" width="16.85546875" style="8" customWidth="1"/>
    <col min="16" max="16" width="4.42578125" style="8" customWidth="1"/>
    <col min="17" max="17" width="1.5703125" style="8" customWidth="1"/>
    <col min="18" max="19" width="12.42578125" style="8" customWidth="1" collapsed="1"/>
    <col min="20" max="20" width="10.85546875" style="8" customWidth="1" collapsed="1"/>
    <col min="21" max="21" width="9.5703125" style="8" customWidth="1" collapsed="1"/>
    <col min="22" max="27" width="10.7109375" style="8"/>
    <col min="28" max="29" width="12.5703125" style="8" bestFit="1" customWidth="1"/>
    <col min="30" max="16384" width="10.7109375" style="8"/>
  </cols>
  <sheetData>
    <row r="1" spans="1:21" customFormat="1">
      <c r="A1" s="8"/>
      <c r="B1" s="8"/>
      <c r="D1" s="8"/>
      <c r="E1" s="8"/>
      <c r="F1" s="8"/>
      <c r="G1" s="8"/>
      <c r="H1" s="8"/>
      <c r="I1" s="8"/>
      <c r="J1" s="8"/>
      <c r="K1" s="8"/>
      <c r="L1" s="8"/>
      <c r="M1" s="8"/>
      <c r="N1" s="8"/>
      <c r="O1" s="8"/>
      <c r="P1" s="8"/>
      <c r="Q1" s="8"/>
      <c r="R1" s="8"/>
      <c r="S1" s="8"/>
      <c r="T1" s="8"/>
      <c r="U1" s="8"/>
    </row>
    <row r="2" spans="1:21" customFormat="1">
      <c r="A2" s="8"/>
      <c r="B2" s="8"/>
      <c r="D2" s="8"/>
      <c r="E2" s="8"/>
      <c r="F2" s="8"/>
      <c r="G2" s="8"/>
      <c r="H2" s="8"/>
      <c r="I2" s="8"/>
      <c r="J2" s="8"/>
      <c r="K2" s="8"/>
      <c r="L2" s="8"/>
      <c r="M2" s="8"/>
      <c r="N2" s="8"/>
      <c r="O2" s="8"/>
      <c r="P2" s="8"/>
      <c r="Q2" s="8"/>
      <c r="R2" s="8"/>
      <c r="S2" s="8"/>
      <c r="T2" s="8"/>
      <c r="U2" s="8"/>
    </row>
    <row r="3" spans="1:21" customFormat="1">
      <c r="A3" s="8"/>
      <c r="B3" s="8"/>
      <c r="D3" s="1"/>
      <c r="E3" s="1"/>
      <c r="F3" s="1"/>
      <c r="G3" s="1"/>
      <c r="H3" s="1"/>
      <c r="I3" s="1"/>
      <c r="J3" s="1"/>
      <c r="K3" s="1"/>
      <c r="L3" s="1"/>
      <c r="M3" s="1"/>
      <c r="N3" s="1"/>
      <c r="O3" s="1"/>
      <c r="P3" s="8"/>
      <c r="Q3" s="8"/>
      <c r="R3" s="1" t="s">
        <v>151</v>
      </c>
      <c r="S3" s="1"/>
      <c r="T3" s="1"/>
      <c r="U3" s="1"/>
    </row>
    <row r="4" spans="1:21" customFormat="1">
      <c r="A4" s="8"/>
      <c r="B4" s="8"/>
      <c r="D4" s="34"/>
      <c r="E4" s="34"/>
      <c r="F4" s="34"/>
      <c r="G4" s="34"/>
      <c r="H4" s="34"/>
      <c r="I4" s="34"/>
      <c r="J4" s="34"/>
      <c r="K4" s="34"/>
      <c r="L4" s="34"/>
      <c r="M4" s="34"/>
      <c r="N4" s="34"/>
      <c r="O4" s="34"/>
      <c r="P4" s="8"/>
      <c r="Q4" s="8"/>
      <c r="R4" s="8"/>
      <c r="S4" s="8"/>
      <c r="T4" s="8"/>
      <c r="U4" s="8"/>
    </row>
    <row r="5" spans="1:21" customFormat="1">
      <c r="A5" s="8"/>
      <c r="B5" s="8"/>
      <c r="D5" s="46">
        <v>44286</v>
      </c>
      <c r="E5" s="46">
        <v>44377</v>
      </c>
      <c r="F5" s="46">
        <v>44469</v>
      </c>
      <c r="G5" s="46">
        <v>44561</v>
      </c>
      <c r="H5" s="46">
        <v>44651</v>
      </c>
      <c r="I5" s="46">
        <v>44742</v>
      </c>
      <c r="J5" s="46">
        <v>44834</v>
      </c>
      <c r="K5" s="46">
        <v>44926</v>
      </c>
      <c r="L5" s="46">
        <v>45016</v>
      </c>
      <c r="M5" s="46">
        <v>45107</v>
      </c>
      <c r="N5" s="46">
        <v>45199</v>
      </c>
      <c r="O5" s="46">
        <v>45291</v>
      </c>
      <c r="P5" s="8"/>
      <c r="Q5" s="8"/>
      <c r="R5" s="8"/>
      <c r="S5" s="8"/>
      <c r="T5" s="8"/>
      <c r="U5" s="8"/>
    </row>
    <row r="6" spans="1:21" customFormat="1" ht="15.75" thickBot="1">
      <c r="A6" s="8"/>
      <c r="B6" s="9" t="s">
        <v>58</v>
      </c>
      <c r="D6" s="10" t="s">
        <v>224</v>
      </c>
      <c r="E6" s="10" t="s">
        <v>225</v>
      </c>
      <c r="F6" s="10" t="s">
        <v>226</v>
      </c>
      <c r="G6" s="10" t="s">
        <v>227</v>
      </c>
      <c r="H6" s="10" t="s">
        <v>228</v>
      </c>
      <c r="I6" s="10" t="s">
        <v>229</v>
      </c>
      <c r="J6" s="10" t="s">
        <v>230</v>
      </c>
      <c r="K6" s="10" t="s">
        <v>231</v>
      </c>
      <c r="L6" s="10" t="s">
        <v>232</v>
      </c>
      <c r="M6" s="10" t="s">
        <v>233</v>
      </c>
      <c r="N6" s="10" t="s">
        <v>234</v>
      </c>
      <c r="O6" s="10" t="s">
        <v>268</v>
      </c>
      <c r="P6" s="8"/>
      <c r="Q6" s="8"/>
      <c r="R6" s="149" t="s">
        <v>268</v>
      </c>
      <c r="S6" s="149" t="s">
        <v>261</v>
      </c>
      <c r="T6" s="10" t="s">
        <v>152</v>
      </c>
      <c r="U6" s="10" t="s">
        <v>153</v>
      </c>
    </row>
    <row r="7" spans="1:21" customFormat="1" ht="15.75" thickTop="1">
      <c r="A7" s="31">
        <v>2</v>
      </c>
      <c r="B7" s="43" t="s">
        <v>0</v>
      </c>
      <c r="D7" s="44"/>
      <c r="E7" s="44"/>
      <c r="F7" s="44"/>
      <c r="G7" s="44"/>
      <c r="H7" s="44"/>
      <c r="I7" s="44"/>
      <c r="J7" s="44"/>
      <c r="K7" s="44"/>
      <c r="L7" s="44"/>
      <c r="M7" s="44"/>
      <c r="N7" s="44"/>
      <c r="O7" s="44"/>
      <c r="P7" s="1"/>
      <c r="Q7" s="1"/>
      <c r="R7" s="44"/>
      <c r="S7" s="44"/>
      <c r="T7" s="44"/>
      <c r="U7" s="116"/>
    </row>
    <row r="8" spans="1:21" customFormat="1">
      <c r="A8" s="31">
        <v>3</v>
      </c>
      <c r="B8" s="13" t="s">
        <v>235</v>
      </c>
      <c r="D8" s="14"/>
      <c r="E8" s="14"/>
      <c r="F8" s="14"/>
      <c r="G8" s="14"/>
      <c r="H8" s="14"/>
      <c r="I8" s="14"/>
      <c r="J8" s="14"/>
      <c r="K8" s="14"/>
      <c r="L8" s="14"/>
      <c r="M8" s="14"/>
      <c r="N8" s="14"/>
      <c r="O8" s="14"/>
      <c r="P8" s="1"/>
      <c r="Q8" s="1"/>
      <c r="R8" s="14"/>
      <c r="S8" s="14"/>
      <c r="T8" s="14"/>
      <c r="U8" s="85"/>
    </row>
    <row r="9" spans="1:21" customFormat="1">
      <c r="A9" s="31">
        <v>4</v>
      </c>
      <c r="B9" s="42" t="s">
        <v>33</v>
      </c>
      <c r="D9" s="16">
        <v>751.03899999999999</v>
      </c>
      <c r="E9" s="16">
        <v>1028.787</v>
      </c>
      <c r="F9" s="16">
        <v>861.58600000000001</v>
      </c>
      <c r="G9" s="16">
        <v>1143.0260000000001</v>
      </c>
      <c r="H9" s="16">
        <v>1034.318</v>
      </c>
      <c r="I9" s="16">
        <v>763.697</v>
      </c>
      <c r="J9" s="16">
        <v>1007.6130000000001</v>
      </c>
      <c r="K9" s="16">
        <v>1284.992</v>
      </c>
      <c r="L9" s="16">
        <v>1210.175</v>
      </c>
      <c r="M9" s="16">
        <v>1502.3989999999999</v>
      </c>
      <c r="N9" s="16">
        <v>1298.615</v>
      </c>
      <c r="O9" s="16">
        <v>1585.194</v>
      </c>
      <c r="P9" s="1"/>
      <c r="Q9" s="1"/>
      <c r="R9" s="16">
        <f>HLOOKUP(R$6,$D$6:$O$78,$A9,0)</f>
        <v>1585.194</v>
      </c>
      <c r="S9" s="16">
        <f t="shared" ref="S9:S35" si="0">HLOOKUP(S$6,$D$6:$O$78,$A9,0)</f>
        <v>1284.992</v>
      </c>
      <c r="T9" s="16">
        <f t="shared" ref="T9:T68" si="1">IFERROR(R9-S9,"-")</f>
        <v>300.202</v>
      </c>
      <c r="U9" s="86">
        <f t="shared" ref="U9:U68" si="2">IFERROR(R9/S9-1,"-")</f>
        <v>0.23362168791712312</v>
      </c>
    </row>
    <row r="10" spans="1:21" customFormat="1">
      <c r="A10" s="31">
        <v>5</v>
      </c>
      <c r="B10" s="42" t="s">
        <v>90</v>
      </c>
      <c r="D10" s="16">
        <v>812.31700000000001</v>
      </c>
      <c r="E10" s="16">
        <v>3261.59</v>
      </c>
      <c r="F10" s="16">
        <v>1349.952</v>
      </c>
      <c r="G10" s="16">
        <v>2471.0320000000002</v>
      </c>
      <c r="H10" s="16">
        <v>1887.4680000000001</v>
      </c>
      <c r="I10" s="16">
        <v>1797.64</v>
      </c>
      <c r="J10" s="16">
        <v>1188.2850000000001</v>
      </c>
      <c r="K10" s="16">
        <v>1793.2170000000001</v>
      </c>
      <c r="L10" s="16">
        <v>788.21799999999996</v>
      </c>
      <c r="M10" s="16">
        <v>1322.7349999999999</v>
      </c>
      <c r="N10" s="16">
        <v>1074.751</v>
      </c>
      <c r="O10" s="16">
        <v>103.815</v>
      </c>
      <c r="P10" s="1"/>
      <c r="Q10" s="1"/>
      <c r="R10" s="16">
        <f t="shared" ref="R10:R35" si="3">HLOOKUP(R$6,$D$6:$O$78,$A10,0)</f>
        <v>103.815</v>
      </c>
      <c r="S10" s="16">
        <f t="shared" si="0"/>
        <v>1793.2170000000001</v>
      </c>
      <c r="T10" s="16">
        <f t="shared" si="1"/>
        <v>-1689.402</v>
      </c>
      <c r="U10" s="86">
        <f t="shared" si="2"/>
        <v>-0.94210683927265915</v>
      </c>
    </row>
    <row r="11" spans="1:21" customFormat="1">
      <c r="A11" s="31">
        <v>6</v>
      </c>
      <c r="B11" s="42" t="s">
        <v>236</v>
      </c>
      <c r="D11" s="16">
        <v>1739.556</v>
      </c>
      <c r="E11" s="16">
        <v>2181.297</v>
      </c>
      <c r="F11" s="16">
        <v>2660.5050000000001</v>
      </c>
      <c r="G11" s="16">
        <v>2305.3159999999998</v>
      </c>
      <c r="H11" s="16">
        <v>2649.5709999999999</v>
      </c>
      <c r="I11" s="16">
        <v>2996.306</v>
      </c>
      <c r="J11" s="16">
        <v>3214.835</v>
      </c>
      <c r="K11" s="16">
        <v>3303.241</v>
      </c>
      <c r="L11" s="16">
        <v>3863.9989999999998</v>
      </c>
      <c r="M11" s="16">
        <v>4019.5949999999998</v>
      </c>
      <c r="N11" s="16">
        <v>4297.652</v>
      </c>
      <c r="O11" s="16">
        <v>3976.643</v>
      </c>
      <c r="P11" s="1"/>
      <c r="Q11" s="1"/>
      <c r="R11" s="16">
        <f t="shared" si="3"/>
        <v>3976.643</v>
      </c>
      <c r="S11" s="16">
        <f t="shared" si="0"/>
        <v>3303.241</v>
      </c>
      <c r="T11" s="16">
        <f t="shared" si="1"/>
        <v>673.40200000000004</v>
      </c>
      <c r="U11" s="86">
        <f t="shared" si="2"/>
        <v>0.20386099591280193</v>
      </c>
    </row>
    <row r="12" spans="1:21" customFormat="1">
      <c r="A12" s="31">
        <v>7</v>
      </c>
      <c r="B12" s="42" t="s">
        <v>2</v>
      </c>
      <c r="D12" s="16">
        <v>394.16899999999998</v>
      </c>
      <c r="E12" s="16">
        <v>378.70499999999998</v>
      </c>
      <c r="F12" s="16">
        <v>379.577</v>
      </c>
      <c r="G12" s="16">
        <v>367.12400000000002</v>
      </c>
      <c r="H12" s="16">
        <v>437.34899999999999</v>
      </c>
      <c r="I12" s="16">
        <v>421.34</v>
      </c>
      <c r="J12" s="16">
        <v>420.21499999999997</v>
      </c>
      <c r="K12" s="16">
        <v>476.029</v>
      </c>
      <c r="L12" s="16">
        <v>474.74099999999999</v>
      </c>
      <c r="M12" s="16">
        <v>463.93099999999998</v>
      </c>
      <c r="N12" s="16">
        <v>483.41899999999998</v>
      </c>
      <c r="O12" s="16">
        <v>450.97699999999998</v>
      </c>
      <c r="P12" s="1"/>
      <c r="Q12" s="1"/>
      <c r="R12" s="16">
        <f t="shared" si="3"/>
        <v>450.97699999999998</v>
      </c>
      <c r="S12" s="16">
        <f t="shared" si="0"/>
        <v>476.029</v>
      </c>
      <c r="T12" s="16">
        <f t="shared" si="1"/>
        <v>-25.052000000000021</v>
      </c>
      <c r="U12" s="86">
        <f t="shared" si="2"/>
        <v>-5.2627045831241448E-2</v>
      </c>
    </row>
    <row r="13" spans="1:21" customFormat="1">
      <c r="A13" s="31">
        <v>8</v>
      </c>
      <c r="B13" s="42" t="s">
        <v>42</v>
      </c>
      <c r="D13" s="16">
        <v>302.81</v>
      </c>
      <c r="E13" s="16">
        <v>283.548</v>
      </c>
      <c r="F13" s="16">
        <v>284.48399999999998</v>
      </c>
      <c r="G13" s="16">
        <v>392.90800000000002</v>
      </c>
      <c r="H13" s="16">
        <v>444.41699999999997</v>
      </c>
      <c r="I13" s="16">
        <v>562.25800000000004</v>
      </c>
      <c r="J13" s="16">
        <v>629.78499999999997</v>
      </c>
      <c r="K13" s="16">
        <v>556.72400000000005</v>
      </c>
      <c r="L13" s="16">
        <v>546.697</v>
      </c>
      <c r="M13" s="16">
        <v>640.12800000000004</v>
      </c>
      <c r="N13" s="16">
        <v>646.38599999999997</v>
      </c>
      <c r="O13" s="16">
        <v>602.04</v>
      </c>
      <c r="P13" s="1"/>
      <c r="Q13" s="1"/>
      <c r="R13" s="16">
        <f t="shared" si="3"/>
        <v>602.04</v>
      </c>
      <c r="S13" s="16">
        <f t="shared" si="0"/>
        <v>556.72400000000005</v>
      </c>
      <c r="T13" s="16">
        <f t="shared" si="1"/>
        <v>45.315999999999917</v>
      </c>
      <c r="U13" s="86">
        <f t="shared" si="2"/>
        <v>8.1397604558093306E-2</v>
      </c>
    </row>
    <row r="14" spans="1:21" customFormat="1">
      <c r="A14" s="31">
        <v>9</v>
      </c>
      <c r="B14" s="42" t="s">
        <v>237</v>
      </c>
      <c r="D14" s="16">
        <v>47.752000000000002</v>
      </c>
      <c r="E14" s="16">
        <v>40.537999999999997</v>
      </c>
      <c r="F14" s="16">
        <v>39.911999999999999</v>
      </c>
      <c r="G14" s="16">
        <v>26.536000000000001</v>
      </c>
      <c r="H14" s="16">
        <v>77.766000000000005</v>
      </c>
      <c r="I14" s="16">
        <v>0</v>
      </c>
      <c r="J14" s="16">
        <v>0</v>
      </c>
      <c r="K14" s="16">
        <v>59.933</v>
      </c>
      <c r="L14" s="16">
        <v>98.447999999999993</v>
      </c>
      <c r="M14" s="16">
        <v>97.090999999999994</v>
      </c>
      <c r="N14" s="16">
        <v>65.477999999999994</v>
      </c>
      <c r="O14" s="16">
        <v>0</v>
      </c>
      <c r="P14" s="1"/>
      <c r="Q14" s="1"/>
      <c r="R14" s="16">
        <f t="shared" si="3"/>
        <v>0</v>
      </c>
      <c r="S14" s="16">
        <f t="shared" si="0"/>
        <v>59.933</v>
      </c>
      <c r="T14" s="16">
        <f t="shared" si="1"/>
        <v>-59.933</v>
      </c>
      <c r="U14" s="86">
        <f t="shared" si="2"/>
        <v>-1</v>
      </c>
    </row>
    <row r="15" spans="1:21" customFormat="1">
      <c r="A15" s="31">
        <v>10</v>
      </c>
      <c r="B15" s="42" t="s">
        <v>238</v>
      </c>
      <c r="D15" s="16">
        <v>18.59</v>
      </c>
      <c r="E15" s="16">
        <v>12.43</v>
      </c>
      <c r="F15" s="16">
        <v>2.1549999999999998</v>
      </c>
      <c r="G15" s="16">
        <v>22.626000000000001</v>
      </c>
      <c r="H15" s="16">
        <v>10.423</v>
      </c>
      <c r="I15" s="16">
        <v>11.763</v>
      </c>
      <c r="J15" s="16">
        <v>10.975</v>
      </c>
      <c r="K15" s="16">
        <v>12.204000000000001</v>
      </c>
      <c r="L15" s="16">
        <v>9.1379999999999999</v>
      </c>
      <c r="M15" s="16">
        <v>5.3419999999999996</v>
      </c>
      <c r="N15" s="16">
        <v>6.3860000000000001</v>
      </c>
      <c r="O15" s="16">
        <v>0</v>
      </c>
      <c r="P15" s="1"/>
      <c r="Q15" s="1"/>
      <c r="R15" s="16">
        <f t="shared" si="3"/>
        <v>0</v>
      </c>
      <c r="S15" s="16">
        <f t="shared" si="0"/>
        <v>12.204000000000001</v>
      </c>
      <c r="T15" s="16">
        <f t="shared" si="1"/>
        <v>-12.204000000000001</v>
      </c>
      <c r="U15" s="86">
        <f t="shared" si="2"/>
        <v>-1</v>
      </c>
    </row>
    <row r="16" spans="1:21" customFormat="1">
      <c r="A16" s="31">
        <v>11</v>
      </c>
      <c r="B16" s="42" t="s">
        <v>239</v>
      </c>
      <c r="D16" s="16">
        <v>4.2480000000000002</v>
      </c>
      <c r="E16" s="16">
        <v>0.108</v>
      </c>
      <c r="F16" s="16">
        <v>0.108</v>
      </c>
      <c r="G16" s="16">
        <v>0</v>
      </c>
      <c r="H16" s="16">
        <v>0</v>
      </c>
      <c r="I16" s="16">
        <v>0</v>
      </c>
      <c r="J16" s="16">
        <v>0</v>
      </c>
      <c r="K16" s="16">
        <v>1.3280000000000001</v>
      </c>
      <c r="L16" s="16">
        <v>0</v>
      </c>
      <c r="M16" s="16">
        <v>1.927</v>
      </c>
      <c r="N16" s="16">
        <v>2.2679999999999998</v>
      </c>
      <c r="O16" s="16">
        <v>0</v>
      </c>
      <c r="P16" s="1"/>
      <c r="Q16" s="1"/>
      <c r="R16" s="16">
        <f t="shared" si="3"/>
        <v>0</v>
      </c>
      <c r="S16" s="16">
        <f t="shared" si="0"/>
        <v>1.3280000000000001</v>
      </c>
      <c r="T16" s="16">
        <f t="shared" si="1"/>
        <v>-1.3280000000000001</v>
      </c>
      <c r="U16" s="86">
        <f t="shared" si="2"/>
        <v>-1</v>
      </c>
    </row>
    <row r="17" spans="1:21" customFormat="1">
      <c r="A17" s="31">
        <v>12</v>
      </c>
      <c r="B17" s="42" t="s">
        <v>240</v>
      </c>
      <c r="D17" s="16">
        <v>391.43799999999999</v>
      </c>
      <c r="E17" s="16">
        <v>383.01100000000002</v>
      </c>
      <c r="F17" s="16">
        <v>95.558000000000007</v>
      </c>
      <c r="G17" s="16">
        <v>138.965</v>
      </c>
      <c r="H17" s="16">
        <v>186.62</v>
      </c>
      <c r="I17" s="16">
        <v>312.25700000000001</v>
      </c>
      <c r="J17" s="16">
        <v>232.643</v>
      </c>
      <c r="K17" s="16">
        <v>234.33699999999999</v>
      </c>
      <c r="L17" s="16">
        <v>207.369</v>
      </c>
      <c r="M17" s="16">
        <v>230.148</v>
      </c>
      <c r="N17" s="16">
        <v>268.745</v>
      </c>
      <c r="O17" s="16">
        <v>312.84500000000003</v>
      </c>
      <c r="P17" s="1"/>
      <c r="Q17" s="1"/>
      <c r="R17" s="16">
        <f t="shared" si="3"/>
        <v>312.84500000000003</v>
      </c>
      <c r="S17" s="16">
        <f t="shared" si="0"/>
        <v>234.33699999999999</v>
      </c>
      <c r="T17" s="16">
        <f t="shared" si="1"/>
        <v>78.508000000000038</v>
      </c>
      <c r="U17" s="86">
        <f t="shared" si="2"/>
        <v>0.33502178486538625</v>
      </c>
    </row>
    <row r="18" spans="1:21" customFormat="1">
      <c r="A18" s="31">
        <v>13</v>
      </c>
      <c r="B18" s="45" t="s">
        <v>81</v>
      </c>
      <c r="D18" s="18">
        <f t="shared" ref="D18:O18" si="4">SUM(D9:D17)</f>
        <v>4461.9189999999999</v>
      </c>
      <c r="E18" s="18">
        <f t="shared" si="4"/>
        <v>7570.014000000001</v>
      </c>
      <c r="F18" s="18">
        <f t="shared" si="4"/>
        <v>5673.8370000000004</v>
      </c>
      <c r="G18" s="18">
        <f t="shared" si="4"/>
        <v>6867.5330000000004</v>
      </c>
      <c r="H18" s="18">
        <f t="shared" si="4"/>
        <v>6727.9319999999998</v>
      </c>
      <c r="I18" s="18">
        <f t="shared" si="4"/>
        <v>6865.2609999999995</v>
      </c>
      <c r="J18" s="18">
        <f t="shared" si="4"/>
        <v>6704.3510000000006</v>
      </c>
      <c r="K18" s="18">
        <f t="shared" si="4"/>
        <v>7722.0049999999992</v>
      </c>
      <c r="L18" s="18">
        <f t="shared" si="4"/>
        <v>7198.7849999999999</v>
      </c>
      <c r="M18" s="18">
        <f t="shared" si="4"/>
        <v>8283.2959999999985</v>
      </c>
      <c r="N18" s="18">
        <f t="shared" si="4"/>
        <v>8143.7000000000007</v>
      </c>
      <c r="O18" s="18">
        <f t="shared" si="4"/>
        <v>7031.5140000000001</v>
      </c>
      <c r="P18" s="1"/>
      <c r="Q18" s="1"/>
      <c r="R18" s="18">
        <f t="shared" si="3"/>
        <v>7031.5140000000001</v>
      </c>
      <c r="S18" s="18">
        <f t="shared" si="0"/>
        <v>7722.0049999999992</v>
      </c>
      <c r="T18" s="18">
        <f t="shared" si="1"/>
        <v>-690.49099999999908</v>
      </c>
      <c r="U18" s="87">
        <f t="shared" si="2"/>
        <v>-8.9418616020062069E-2</v>
      </c>
    </row>
    <row r="19" spans="1:21" customFormat="1">
      <c r="A19" s="31">
        <v>14</v>
      </c>
      <c r="B19" s="13" t="s">
        <v>241</v>
      </c>
      <c r="D19" s="83"/>
      <c r="E19" s="83"/>
      <c r="F19" s="83"/>
      <c r="G19" s="83"/>
      <c r="H19" s="83"/>
      <c r="I19" s="83"/>
      <c r="J19" s="83"/>
      <c r="K19" s="83"/>
      <c r="L19" s="83"/>
      <c r="M19" s="83"/>
      <c r="N19" s="83"/>
      <c r="O19" s="83"/>
      <c r="P19" s="1"/>
      <c r="Q19" s="1"/>
      <c r="R19" s="16">
        <f t="shared" si="3"/>
        <v>0</v>
      </c>
      <c r="S19" s="16">
        <f t="shared" si="0"/>
        <v>0</v>
      </c>
      <c r="T19" s="16">
        <f t="shared" si="1"/>
        <v>0</v>
      </c>
      <c r="U19" s="86" t="str">
        <f t="shared" si="2"/>
        <v>-</v>
      </c>
    </row>
    <row r="20" spans="1:21" customFormat="1">
      <c r="A20" s="31">
        <v>15</v>
      </c>
      <c r="B20" s="42" t="s">
        <v>51</v>
      </c>
      <c r="D20" s="16">
        <v>38.665999999999997</v>
      </c>
      <c r="E20" s="16">
        <v>34.796999999999997</v>
      </c>
      <c r="F20" s="16">
        <v>28.85</v>
      </c>
      <c r="G20" s="16">
        <v>29.477</v>
      </c>
      <c r="H20" s="16">
        <v>30.346</v>
      </c>
      <c r="I20" s="16">
        <v>30.827999999999999</v>
      </c>
      <c r="J20" s="16">
        <v>29.108000000000001</v>
      </c>
      <c r="K20" s="16">
        <v>22.495000000000001</v>
      </c>
      <c r="L20" s="16">
        <v>23.238</v>
      </c>
      <c r="M20" s="16">
        <v>23.67</v>
      </c>
      <c r="N20" s="16">
        <v>24.663</v>
      </c>
      <c r="O20" s="16">
        <v>6.6050000000000004</v>
      </c>
      <c r="P20" s="1"/>
      <c r="Q20" s="1"/>
      <c r="R20" s="16">
        <f t="shared" si="3"/>
        <v>6.6050000000000004</v>
      </c>
      <c r="S20" s="16">
        <f t="shared" si="0"/>
        <v>22.495000000000001</v>
      </c>
      <c r="T20" s="16">
        <f t="shared" si="1"/>
        <v>-15.89</v>
      </c>
      <c r="U20" s="86">
        <f t="shared" si="2"/>
        <v>-0.70637919537675042</v>
      </c>
    </row>
    <row r="21" spans="1:21" customFormat="1">
      <c r="A21" s="31">
        <v>16</v>
      </c>
      <c r="B21" s="42" t="s">
        <v>1</v>
      </c>
      <c r="D21" s="16">
        <v>8.4580000000000002</v>
      </c>
      <c r="E21" s="16">
        <v>5.569</v>
      </c>
      <c r="F21" s="16">
        <v>4.8529999999999998</v>
      </c>
      <c r="G21" s="16">
        <v>6.9610000000000003</v>
      </c>
      <c r="H21" s="16">
        <v>6.9610000000000003</v>
      </c>
      <c r="I21" s="16">
        <v>6.9610000000000003</v>
      </c>
      <c r="J21" s="16">
        <v>6.8540000000000001</v>
      </c>
      <c r="K21" s="16">
        <v>4.8280000000000003</v>
      </c>
      <c r="L21" s="16">
        <v>4.8949999999999996</v>
      </c>
      <c r="M21" s="16">
        <v>4.8019999999999996</v>
      </c>
      <c r="N21" s="16">
        <v>16.196999999999999</v>
      </c>
      <c r="O21" s="16">
        <v>15.936999999999999</v>
      </c>
      <c r="P21" s="1"/>
      <c r="Q21" s="1"/>
      <c r="R21" s="16">
        <f t="shared" si="3"/>
        <v>15.936999999999999</v>
      </c>
      <c r="S21" s="16">
        <f t="shared" si="0"/>
        <v>4.8280000000000003</v>
      </c>
      <c r="T21" s="16">
        <f t="shared" si="1"/>
        <v>11.108999999999998</v>
      </c>
      <c r="U21" s="86">
        <f t="shared" si="2"/>
        <v>2.3009527754763872</v>
      </c>
    </row>
    <row r="22" spans="1:21" customFormat="1">
      <c r="A22" s="31">
        <v>17</v>
      </c>
      <c r="B22" s="42" t="s">
        <v>52</v>
      </c>
      <c r="D22" s="16">
        <v>33.677999999999997</v>
      </c>
      <c r="E22" s="16">
        <v>54.234000000000002</v>
      </c>
      <c r="F22" s="16">
        <v>54.234000000000002</v>
      </c>
      <c r="G22" s="16">
        <v>61.167000000000002</v>
      </c>
      <c r="H22" s="16">
        <v>61.088000000000001</v>
      </c>
      <c r="I22" s="16">
        <v>61.469000000000001</v>
      </c>
      <c r="J22" s="16">
        <v>61.469000000000001</v>
      </c>
      <c r="K22" s="16">
        <v>60.572000000000003</v>
      </c>
      <c r="L22" s="16">
        <v>61.094999999999999</v>
      </c>
      <c r="M22" s="16">
        <v>40.921999999999997</v>
      </c>
      <c r="N22" s="16">
        <v>40.921999999999997</v>
      </c>
      <c r="O22" s="16">
        <v>62.103999999999999</v>
      </c>
      <c r="P22" s="1"/>
      <c r="Q22" s="1"/>
      <c r="R22" s="16">
        <f t="shared" si="3"/>
        <v>62.103999999999999</v>
      </c>
      <c r="S22" s="16">
        <f t="shared" si="0"/>
        <v>60.572000000000003</v>
      </c>
      <c r="T22" s="16">
        <f t="shared" si="1"/>
        <v>1.5319999999999965</v>
      </c>
      <c r="U22" s="86">
        <f t="shared" si="2"/>
        <v>2.5292214224394094E-2</v>
      </c>
    </row>
    <row r="23" spans="1:21" customFormat="1">
      <c r="A23" s="31">
        <v>18</v>
      </c>
      <c r="B23" s="42" t="s">
        <v>34</v>
      </c>
      <c r="D23" s="16">
        <v>2.7749999999999999</v>
      </c>
      <c r="E23" s="16">
        <v>0.629</v>
      </c>
      <c r="F23" s="16">
        <v>0.54700000000000004</v>
      </c>
      <c r="G23" s="16">
        <v>0.433</v>
      </c>
      <c r="H23" s="16">
        <v>0.38400000000000001</v>
      </c>
      <c r="I23" s="16">
        <v>94.71</v>
      </c>
      <c r="J23" s="16">
        <v>0</v>
      </c>
      <c r="K23" s="16">
        <v>46.668999999999997</v>
      </c>
      <c r="L23" s="16">
        <v>47.44</v>
      </c>
      <c r="M23" s="16">
        <v>45.923000000000002</v>
      </c>
      <c r="N23" s="16">
        <v>44.526000000000003</v>
      </c>
      <c r="O23" s="16">
        <v>0</v>
      </c>
      <c r="P23" s="1"/>
      <c r="Q23" s="1"/>
      <c r="R23" s="16">
        <f t="shared" si="3"/>
        <v>0</v>
      </c>
      <c r="S23" s="16">
        <f t="shared" si="0"/>
        <v>46.668999999999997</v>
      </c>
      <c r="T23" s="16">
        <f t="shared" si="1"/>
        <v>-46.668999999999997</v>
      </c>
      <c r="U23" s="86">
        <f t="shared" si="2"/>
        <v>-1</v>
      </c>
    </row>
    <row r="24" spans="1:21" customFormat="1">
      <c r="A24" s="31">
        <v>19</v>
      </c>
      <c r="B24" s="42" t="s">
        <v>238</v>
      </c>
      <c r="D24" s="16">
        <v>53.009</v>
      </c>
      <c r="E24" s="16">
        <v>36.460999999999999</v>
      </c>
      <c r="F24" s="16">
        <v>48.982999999999997</v>
      </c>
      <c r="G24" s="16">
        <v>41.677</v>
      </c>
      <c r="H24" s="16">
        <v>22.876999999999999</v>
      </c>
      <c r="I24" s="16">
        <v>26.077999999999999</v>
      </c>
      <c r="J24" s="16">
        <v>24.655999999999999</v>
      </c>
      <c r="K24" s="16">
        <v>12.824</v>
      </c>
      <c r="L24" s="16">
        <v>10.606</v>
      </c>
      <c r="M24" s="16">
        <v>12.897</v>
      </c>
      <c r="N24" s="16">
        <v>8.8000000000000007</v>
      </c>
      <c r="O24" s="16">
        <v>7.165</v>
      </c>
      <c r="P24" s="1"/>
      <c r="Q24" s="1"/>
      <c r="R24" s="16">
        <f t="shared" si="3"/>
        <v>7.165</v>
      </c>
      <c r="S24" s="16">
        <f t="shared" si="0"/>
        <v>12.824</v>
      </c>
      <c r="T24" s="16">
        <f t="shared" si="1"/>
        <v>-5.6589999999999998</v>
      </c>
      <c r="U24" s="86">
        <f t="shared" si="2"/>
        <v>-0.44128197130380531</v>
      </c>
    </row>
    <row r="25" spans="1:21" customFormat="1">
      <c r="A25" s="31">
        <v>20</v>
      </c>
      <c r="B25" s="42" t="s">
        <v>41</v>
      </c>
      <c r="D25" s="16">
        <v>1.175</v>
      </c>
      <c r="E25" s="16">
        <v>17.532</v>
      </c>
      <c r="F25" s="16">
        <v>22.177</v>
      </c>
      <c r="G25" s="16">
        <v>14.481999999999999</v>
      </c>
      <c r="H25" s="16">
        <v>20.388000000000002</v>
      </c>
      <c r="I25" s="16">
        <v>0</v>
      </c>
      <c r="J25" s="16">
        <v>0</v>
      </c>
      <c r="K25" s="16">
        <v>14.18</v>
      </c>
      <c r="L25" s="16">
        <v>11.618</v>
      </c>
      <c r="M25" s="16">
        <v>8.4969999999999999</v>
      </c>
      <c r="N25" s="16">
        <v>7.23</v>
      </c>
      <c r="O25" s="16">
        <v>0</v>
      </c>
      <c r="P25" s="1"/>
      <c r="Q25" s="1"/>
      <c r="R25" s="16">
        <f t="shared" si="3"/>
        <v>0</v>
      </c>
      <c r="S25" s="16">
        <f t="shared" si="0"/>
        <v>14.18</v>
      </c>
      <c r="T25" s="16">
        <f t="shared" si="1"/>
        <v>-14.18</v>
      </c>
      <c r="U25" s="86">
        <f t="shared" si="2"/>
        <v>-1</v>
      </c>
    </row>
    <row r="26" spans="1:21" customFormat="1">
      <c r="A26" s="31">
        <v>21</v>
      </c>
      <c r="B26" s="42" t="s">
        <v>15</v>
      </c>
      <c r="D26" s="16">
        <v>101.75700000000001</v>
      </c>
      <c r="E26" s="16">
        <v>74.010000000000005</v>
      </c>
      <c r="F26" s="16">
        <v>79.100999999999999</v>
      </c>
      <c r="G26" s="16">
        <v>84.287000000000006</v>
      </c>
      <c r="H26" s="16">
        <v>86.090999999999994</v>
      </c>
      <c r="I26" s="16">
        <v>0</v>
      </c>
      <c r="J26" s="16">
        <v>98.247</v>
      </c>
      <c r="K26" s="16">
        <v>100.425</v>
      </c>
      <c r="L26" s="16">
        <v>103.77800000000001</v>
      </c>
      <c r="M26" s="16">
        <v>117.901</v>
      </c>
      <c r="N26" s="16">
        <v>123.18899999999999</v>
      </c>
      <c r="O26" s="16">
        <v>118.16</v>
      </c>
      <c r="P26" s="1"/>
      <c r="Q26" s="1"/>
      <c r="R26" s="16">
        <f t="shared" si="3"/>
        <v>118.16</v>
      </c>
      <c r="S26" s="16">
        <f t="shared" si="0"/>
        <v>100.425</v>
      </c>
      <c r="T26" s="16">
        <f t="shared" si="1"/>
        <v>17.734999999999999</v>
      </c>
      <c r="U26" s="86">
        <f t="shared" si="2"/>
        <v>0.17659945232760776</v>
      </c>
    </row>
    <row r="27" spans="1:21" customFormat="1">
      <c r="A27" s="31">
        <v>22</v>
      </c>
      <c r="B27" s="42" t="s">
        <v>242</v>
      </c>
      <c r="D27" s="16">
        <v>522.05100000000004</v>
      </c>
      <c r="E27" s="16">
        <v>685.79300000000001</v>
      </c>
      <c r="F27" s="16">
        <v>770.02599999999995</v>
      </c>
      <c r="G27" s="16">
        <v>859.47799999999995</v>
      </c>
      <c r="H27" s="16">
        <v>916.33500000000004</v>
      </c>
      <c r="I27" s="16">
        <v>1006.877</v>
      </c>
      <c r="J27" s="16">
        <v>1119.9390000000001</v>
      </c>
      <c r="K27" s="16">
        <v>1288.7380000000001</v>
      </c>
      <c r="L27" s="16">
        <v>1419.2909999999999</v>
      </c>
      <c r="M27" s="16">
        <v>1339.46</v>
      </c>
      <c r="N27" s="16">
        <v>1336.175</v>
      </c>
      <c r="O27" s="16">
        <v>1286.05</v>
      </c>
      <c r="P27" s="1"/>
      <c r="Q27" s="1"/>
      <c r="R27" s="16">
        <f t="shared" si="3"/>
        <v>1286.05</v>
      </c>
      <c r="S27" s="16">
        <f t="shared" si="0"/>
        <v>1288.7380000000001</v>
      </c>
      <c r="T27" s="16">
        <f t="shared" si="1"/>
        <v>-2.6880000000001019</v>
      </c>
      <c r="U27" s="86">
        <f t="shared" si="2"/>
        <v>-2.0857614193110496E-3</v>
      </c>
    </row>
    <row r="28" spans="1:21" customFormat="1">
      <c r="A28" s="31">
        <v>23</v>
      </c>
      <c r="B28" s="42" t="s">
        <v>36</v>
      </c>
      <c r="D28" s="16">
        <v>7.181</v>
      </c>
      <c r="E28" s="16">
        <v>11.672000000000001</v>
      </c>
      <c r="F28" s="16">
        <v>9.641</v>
      </c>
      <c r="G28" s="16">
        <v>308.37099999999998</v>
      </c>
      <c r="H28" s="16">
        <v>390.22500000000002</v>
      </c>
      <c r="I28" s="16">
        <v>419.81299999999999</v>
      </c>
      <c r="J28" s="16">
        <v>210.76400000000001</v>
      </c>
      <c r="K28" s="16">
        <v>328.35</v>
      </c>
      <c r="L28" s="16">
        <v>367.85500000000002</v>
      </c>
      <c r="M28" s="16">
        <v>401.96699999999998</v>
      </c>
      <c r="N28" s="16">
        <v>371.59800000000001</v>
      </c>
      <c r="O28" s="16">
        <v>467.60400000000004</v>
      </c>
      <c r="P28" s="1"/>
      <c r="Q28" s="1"/>
      <c r="R28" s="16">
        <f t="shared" si="3"/>
        <v>467.60400000000004</v>
      </c>
      <c r="S28" s="16">
        <f t="shared" si="0"/>
        <v>328.35</v>
      </c>
      <c r="T28" s="16">
        <f t="shared" si="1"/>
        <v>139.25400000000002</v>
      </c>
      <c r="U28" s="86">
        <f t="shared" si="2"/>
        <v>0.42410232983097318</v>
      </c>
    </row>
    <row r="29" spans="1:21" customFormat="1">
      <c r="A29" s="31">
        <v>24</v>
      </c>
      <c r="B29" s="45" t="s">
        <v>82</v>
      </c>
      <c r="D29" s="18">
        <f t="shared" ref="D29:O29" si="5">SUM(D20:D28)</f>
        <v>768.75000000000011</v>
      </c>
      <c r="E29" s="18">
        <f t="shared" si="5"/>
        <v>920.69700000000012</v>
      </c>
      <c r="F29" s="18">
        <f t="shared" si="5"/>
        <v>1018.4119999999999</v>
      </c>
      <c r="G29" s="18">
        <f t="shared" si="5"/>
        <v>1406.3330000000001</v>
      </c>
      <c r="H29" s="18">
        <f t="shared" si="5"/>
        <v>1534.6950000000002</v>
      </c>
      <c r="I29" s="18">
        <f t="shared" si="5"/>
        <v>1646.7359999999999</v>
      </c>
      <c r="J29" s="18">
        <f t="shared" si="5"/>
        <v>1551.0370000000003</v>
      </c>
      <c r="K29" s="18">
        <f t="shared" si="5"/>
        <v>1879.0810000000001</v>
      </c>
      <c r="L29" s="18">
        <f t="shared" si="5"/>
        <v>2049.8159999999998</v>
      </c>
      <c r="M29" s="18">
        <f t="shared" si="5"/>
        <v>1996.0390000000002</v>
      </c>
      <c r="N29" s="18">
        <f t="shared" si="5"/>
        <v>1973.3</v>
      </c>
      <c r="O29" s="18">
        <f t="shared" si="5"/>
        <v>1963.625</v>
      </c>
      <c r="P29" s="1"/>
      <c r="Q29" s="1"/>
      <c r="R29" s="18">
        <f t="shared" si="3"/>
        <v>1963.625</v>
      </c>
      <c r="S29" s="18">
        <f t="shared" si="0"/>
        <v>1879.0810000000001</v>
      </c>
      <c r="T29" s="18">
        <f t="shared" si="1"/>
        <v>84.543999999999869</v>
      </c>
      <c r="U29" s="87">
        <f t="shared" si="2"/>
        <v>4.4992206296588622E-2</v>
      </c>
    </row>
    <row r="30" spans="1:21" customFormat="1">
      <c r="A30" s="31">
        <v>25</v>
      </c>
      <c r="B30" s="42" t="s">
        <v>54</v>
      </c>
      <c r="D30" s="16">
        <v>5.6070000000000002</v>
      </c>
      <c r="E30" s="16">
        <v>0.92700000000000005</v>
      </c>
      <c r="F30" s="16">
        <v>1.04</v>
      </c>
      <c r="G30" s="16">
        <v>1.03</v>
      </c>
      <c r="H30" s="16">
        <v>3.0449999999999999</v>
      </c>
      <c r="I30" s="16">
        <v>3.26</v>
      </c>
      <c r="J30" s="16">
        <v>3.14</v>
      </c>
      <c r="K30" s="16">
        <v>3.863</v>
      </c>
      <c r="L30" s="16">
        <v>12.997</v>
      </c>
      <c r="M30" s="16">
        <v>4.7750000000000004</v>
      </c>
      <c r="N30" s="16">
        <v>4.4039999999999999</v>
      </c>
      <c r="O30" s="16">
        <v>4.1749999999999998</v>
      </c>
      <c r="P30" s="1"/>
      <c r="Q30" s="1"/>
      <c r="R30" s="16">
        <f t="shared" si="3"/>
        <v>4.1749999999999998</v>
      </c>
      <c r="S30" s="16">
        <f t="shared" si="0"/>
        <v>3.863</v>
      </c>
      <c r="T30" s="16">
        <f t="shared" si="1"/>
        <v>0.31199999999999983</v>
      </c>
      <c r="U30" s="86">
        <f t="shared" si="2"/>
        <v>8.0766243851928543E-2</v>
      </c>
    </row>
    <row r="31" spans="1:21" customFormat="1">
      <c r="A31" s="31">
        <v>26</v>
      </c>
      <c r="B31" s="42" t="s">
        <v>3</v>
      </c>
      <c r="D31" s="16">
        <v>2650.346</v>
      </c>
      <c r="E31" s="16">
        <v>2698.0230000000001</v>
      </c>
      <c r="F31" s="16">
        <v>2986.0250000000001</v>
      </c>
      <c r="G31" s="16">
        <v>3778.971</v>
      </c>
      <c r="H31" s="16">
        <v>3844.9740000000002</v>
      </c>
      <c r="I31" s="16">
        <v>3877.1170000000002</v>
      </c>
      <c r="J31" s="16">
        <v>3976.0970000000002</v>
      </c>
      <c r="K31" s="16">
        <v>4141.3220000000001</v>
      </c>
      <c r="L31" s="16">
        <v>4080.0410000000002</v>
      </c>
      <c r="M31" s="16">
        <v>4032.7460000000001</v>
      </c>
      <c r="N31" s="16">
        <v>3996.8960000000002</v>
      </c>
      <c r="O31" s="16">
        <v>4004.8739999999998</v>
      </c>
      <c r="P31" s="1"/>
      <c r="Q31" s="1"/>
      <c r="R31" s="16">
        <f t="shared" si="3"/>
        <v>4004.8739999999998</v>
      </c>
      <c r="S31" s="16">
        <f t="shared" si="0"/>
        <v>4141.3220000000001</v>
      </c>
      <c r="T31" s="16">
        <f t="shared" si="1"/>
        <v>-136.44800000000032</v>
      </c>
      <c r="U31" s="86">
        <f t="shared" si="2"/>
        <v>-3.2947933051330036E-2</v>
      </c>
    </row>
    <row r="32" spans="1:21" customFormat="1">
      <c r="A32" s="31">
        <v>27</v>
      </c>
      <c r="B32" s="42" t="s">
        <v>16</v>
      </c>
      <c r="D32" s="16">
        <v>1476.421</v>
      </c>
      <c r="E32" s="16">
        <v>1491.3330000000001</v>
      </c>
      <c r="F32" s="16">
        <v>1699.2660000000001</v>
      </c>
      <c r="G32" s="16">
        <v>1964.337</v>
      </c>
      <c r="H32" s="16">
        <v>2321.2910000000002</v>
      </c>
      <c r="I32" s="16">
        <v>2301.69</v>
      </c>
      <c r="J32" s="16">
        <v>2508.7460000000001</v>
      </c>
      <c r="K32" s="16">
        <v>2331.9029999999998</v>
      </c>
      <c r="L32" s="16">
        <v>2265.6999999999998</v>
      </c>
      <c r="M32" s="16">
        <v>2226.2220000000002</v>
      </c>
      <c r="N32" s="16">
        <v>2161.6010000000001</v>
      </c>
      <c r="O32" s="16">
        <v>2474.0549999999998</v>
      </c>
      <c r="P32" s="1"/>
      <c r="Q32" s="1"/>
      <c r="R32" s="16">
        <f t="shared" si="3"/>
        <v>2474.0549999999998</v>
      </c>
      <c r="S32" s="16">
        <f t="shared" si="0"/>
        <v>2331.9029999999998</v>
      </c>
      <c r="T32" s="16">
        <f t="shared" si="1"/>
        <v>142.15200000000004</v>
      </c>
      <c r="U32" s="86">
        <f t="shared" si="2"/>
        <v>6.0959653982176842E-2</v>
      </c>
    </row>
    <row r="33" spans="1:21" customFormat="1">
      <c r="A33" s="31">
        <v>28</v>
      </c>
      <c r="B33" s="42" t="s">
        <v>4</v>
      </c>
      <c r="D33" s="16">
        <v>4660.8829999999998</v>
      </c>
      <c r="E33" s="16">
        <v>5094.79</v>
      </c>
      <c r="F33" s="16">
        <v>7007.6350000000002</v>
      </c>
      <c r="G33" s="16">
        <v>9231.7000000000007</v>
      </c>
      <c r="H33" s="16">
        <v>10099.279</v>
      </c>
      <c r="I33" s="16">
        <v>10362.419</v>
      </c>
      <c r="J33" s="16">
        <v>10379.181</v>
      </c>
      <c r="K33" s="16">
        <v>10766.017</v>
      </c>
      <c r="L33" s="16">
        <v>10711.78</v>
      </c>
      <c r="M33" s="16">
        <v>10838.191000000001</v>
      </c>
      <c r="N33" s="16">
        <v>10813.848</v>
      </c>
      <c r="O33" s="16">
        <v>10734.957</v>
      </c>
      <c r="P33" s="1"/>
      <c r="Q33" s="1"/>
      <c r="R33" s="16">
        <f t="shared" si="3"/>
        <v>10734.957</v>
      </c>
      <c r="S33" s="16">
        <f t="shared" si="0"/>
        <v>10766.017</v>
      </c>
      <c r="T33" s="16">
        <f t="shared" si="1"/>
        <v>-31.059999999999491</v>
      </c>
      <c r="U33" s="86">
        <f t="shared" si="2"/>
        <v>-2.8850038040995063E-3</v>
      </c>
    </row>
    <row r="34" spans="1:21" customFormat="1">
      <c r="A34" s="31">
        <v>29</v>
      </c>
      <c r="B34" s="45" t="s">
        <v>83</v>
      </c>
      <c r="D34" s="18">
        <f t="shared" ref="D34:O34" si="6">SUM(D29:D33)</f>
        <v>9562.0069999999996</v>
      </c>
      <c r="E34" s="18">
        <f t="shared" si="6"/>
        <v>10205.77</v>
      </c>
      <c r="F34" s="18">
        <f t="shared" si="6"/>
        <v>12712.378000000001</v>
      </c>
      <c r="G34" s="18">
        <f t="shared" si="6"/>
        <v>16382.371000000001</v>
      </c>
      <c r="H34" s="18">
        <f t="shared" si="6"/>
        <v>17803.284</v>
      </c>
      <c r="I34" s="18">
        <f t="shared" si="6"/>
        <v>18191.222000000002</v>
      </c>
      <c r="J34" s="18">
        <f t="shared" si="6"/>
        <v>18418.201000000001</v>
      </c>
      <c r="K34" s="18">
        <f t="shared" si="6"/>
        <v>19122.186000000002</v>
      </c>
      <c r="L34" s="18">
        <f t="shared" si="6"/>
        <v>19120.334000000003</v>
      </c>
      <c r="M34" s="18">
        <f t="shared" si="6"/>
        <v>19097.973000000002</v>
      </c>
      <c r="N34" s="18">
        <f t="shared" si="6"/>
        <v>18950.048999999999</v>
      </c>
      <c r="O34" s="18">
        <f t="shared" si="6"/>
        <v>19181.686000000002</v>
      </c>
      <c r="P34" s="1"/>
      <c r="Q34" s="1"/>
      <c r="R34" s="18">
        <f t="shared" si="3"/>
        <v>19181.686000000002</v>
      </c>
      <c r="S34" s="18">
        <f t="shared" si="0"/>
        <v>19122.186000000002</v>
      </c>
      <c r="T34" s="18">
        <f t="shared" si="1"/>
        <v>59.5</v>
      </c>
      <c r="U34" s="87">
        <f t="shared" si="2"/>
        <v>3.1115689388232504E-3</v>
      </c>
    </row>
    <row r="35" spans="1:21" customFormat="1">
      <c r="A35" s="31">
        <v>30</v>
      </c>
      <c r="B35" s="45" t="s">
        <v>84</v>
      </c>
      <c r="D35" s="18">
        <f t="shared" ref="D35:O35" si="7">D18+D34</f>
        <v>14023.925999999999</v>
      </c>
      <c r="E35" s="18">
        <f t="shared" si="7"/>
        <v>17775.784</v>
      </c>
      <c r="F35" s="18">
        <f t="shared" si="7"/>
        <v>18386.215</v>
      </c>
      <c r="G35" s="18">
        <f t="shared" si="7"/>
        <v>23249.904000000002</v>
      </c>
      <c r="H35" s="18">
        <f t="shared" si="7"/>
        <v>24531.216</v>
      </c>
      <c r="I35" s="18">
        <f t="shared" si="7"/>
        <v>25056.483</v>
      </c>
      <c r="J35" s="18">
        <f t="shared" si="7"/>
        <v>25122.552000000003</v>
      </c>
      <c r="K35" s="18">
        <f t="shared" si="7"/>
        <v>26844.190999999999</v>
      </c>
      <c r="L35" s="18">
        <f t="shared" si="7"/>
        <v>26319.119000000002</v>
      </c>
      <c r="M35" s="18">
        <f t="shared" si="7"/>
        <v>27381.269</v>
      </c>
      <c r="N35" s="18">
        <f t="shared" si="7"/>
        <v>27093.749</v>
      </c>
      <c r="O35" s="18">
        <f t="shared" si="7"/>
        <v>26213.200000000001</v>
      </c>
      <c r="P35" s="1"/>
      <c r="Q35" s="1"/>
      <c r="R35" s="18">
        <f t="shared" si="3"/>
        <v>26213.200000000001</v>
      </c>
      <c r="S35" s="18">
        <f t="shared" si="0"/>
        <v>26844.190999999999</v>
      </c>
      <c r="T35" s="18">
        <f t="shared" si="1"/>
        <v>-630.99099999999817</v>
      </c>
      <c r="U35" s="87">
        <f t="shared" si="2"/>
        <v>-2.3505681359516362E-2</v>
      </c>
    </row>
    <row r="36" spans="1:21" customFormat="1" ht="15.75" thickBot="1">
      <c r="A36" s="31">
        <v>31</v>
      </c>
      <c r="B36" s="8"/>
      <c r="D36" s="40"/>
      <c r="E36" s="40"/>
      <c r="F36" s="40"/>
      <c r="G36" s="40"/>
      <c r="H36" s="40"/>
      <c r="I36" s="40"/>
      <c r="J36" s="40"/>
      <c r="K36" s="40"/>
      <c r="L36" s="40"/>
      <c r="M36" s="40"/>
      <c r="N36" s="40"/>
      <c r="O36" s="40"/>
      <c r="P36" s="8"/>
      <c r="Q36" s="8"/>
      <c r="R36" s="8"/>
      <c r="S36" s="8"/>
      <c r="T36" s="8"/>
      <c r="U36" s="8"/>
    </row>
    <row r="37" spans="1:21" customFormat="1" ht="15.75" thickTop="1">
      <c r="A37" s="31">
        <v>32</v>
      </c>
      <c r="B37" s="43" t="s">
        <v>17</v>
      </c>
      <c r="D37" s="44"/>
      <c r="E37" s="44"/>
      <c r="F37" s="44"/>
      <c r="G37" s="44"/>
      <c r="H37" s="44"/>
      <c r="I37" s="44"/>
      <c r="J37" s="44"/>
      <c r="K37" s="44"/>
      <c r="L37" s="44"/>
      <c r="M37" s="44"/>
      <c r="N37" s="44"/>
      <c r="O37" s="44"/>
      <c r="P37" s="1"/>
      <c r="Q37" s="1"/>
      <c r="R37" s="44"/>
      <c r="S37" s="44"/>
      <c r="T37" s="44"/>
      <c r="U37" s="116"/>
    </row>
    <row r="38" spans="1:21" customFormat="1">
      <c r="A38" s="31">
        <v>33</v>
      </c>
      <c r="B38" s="13" t="s">
        <v>8</v>
      </c>
      <c r="D38" s="14"/>
      <c r="E38" s="14"/>
      <c r="F38" s="14"/>
      <c r="G38" s="14"/>
      <c r="H38" s="14"/>
      <c r="I38" s="14"/>
      <c r="J38" s="14"/>
      <c r="K38" s="14"/>
      <c r="L38" s="14"/>
      <c r="M38" s="14"/>
      <c r="N38" s="14"/>
      <c r="O38" s="14"/>
      <c r="P38" s="1"/>
      <c r="Q38" s="1"/>
      <c r="R38" s="14"/>
      <c r="S38" s="14"/>
      <c r="T38" s="14"/>
      <c r="U38" s="85"/>
    </row>
    <row r="39" spans="1:21" customFormat="1">
      <c r="A39" s="31">
        <v>34</v>
      </c>
      <c r="B39" s="42" t="s">
        <v>243</v>
      </c>
      <c r="D39" s="16">
        <v>849.50900000000001</v>
      </c>
      <c r="E39" s="16">
        <v>857.24099999999999</v>
      </c>
      <c r="F39" s="16">
        <v>984.98400000000004</v>
      </c>
      <c r="G39" s="16">
        <v>1230.8330000000001</v>
      </c>
      <c r="H39" s="16">
        <v>1141.1010000000001</v>
      </c>
      <c r="I39" s="16">
        <v>1100.828</v>
      </c>
      <c r="J39" s="16">
        <v>1168.4480000000001</v>
      </c>
      <c r="K39" s="16">
        <v>1549.633</v>
      </c>
      <c r="L39" s="66">
        <v>1339.6610000000001</v>
      </c>
      <c r="M39" s="66">
        <v>1400.144</v>
      </c>
      <c r="N39" s="16">
        <v>1350.1579999999999</v>
      </c>
      <c r="O39" s="16">
        <v>1538.242</v>
      </c>
      <c r="P39" s="1"/>
      <c r="Q39" s="1"/>
      <c r="R39" s="16">
        <f t="shared" ref="R39:S53" si="8">HLOOKUP(R$6,$D$6:$O$78,$A39,0)</f>
        <v>1538.242</v>
      </c>
      <c r="S39" s="16">
        <f t="shared" si="8"/>
        <v>1549.633</v>
      </c>
      <c r="T39" s="16">
        <f t="shared" si="1"/>
        <v>-11.391000000000076</v>
      </c>
      <c r="U39" s="86">
        <f t="shared" si="2"/>
        <v>-7.350772731349986E-3</v>
      </c>
    </row>
    <row r="40" spans="1:21" customFormat="1">
      <c r="A40" s="31">
        <v>35</v>
      </c>
      <c r="B40" s="42" t="s">
        <v>244</v>
      </c>
      <c r="D40" s="16">
        <v>655.34299999999996</v>
      </c>
      <c r="E40" s="16">
        <v>1379.7070000000001</v>
      </c>
      <c r="F40" s="16">
        <v>988.76099999999997</v>
      </c>
      <c r="G40" s="16">
        <v>1090.652</v>
      </c>
      <c r="H40" s="16">
        <v>1048.3599999999999</v>
      </c>
      <c r="I40" s="16">
        <v>422.58499999999998</v>
      </c>
      <c r="J40" s="16">
        <v>309.02</v>
      </c>
      <c r="K40" s="16">
        <v>345.73099999999999</v>
      </c>
      <c r="L40" s="66">
        <v>2229.0239999999999</v>
      </c>
      <c r="M40" s="66">
        <v>2267.0529999999999</v>
      </c>
      <c r="N40" s="16">
        <v>146.48699999999999</v>
      </c>
      <c r="O40" s="16">
        <v>122.96599999999999</v>
      </c>
      <c r="P40" s="1"/>
      <c r="Q40" s="1"/>
      <c r="R40" s="16">
        <f t="shared" si="8"/>
        <v>122.96599999999999</v>
      </c>
      <c r="S40" s="16">
        <f t="shared" si="8"/>
        <v>345.73099999999999</v>
      </c>
      <c r="T40" s="16">
        <f t="shared" si="1"/>
        <v>-222.76499999999999</v>
      </c>
      <c r="U40" s="86">
        <f t="shared" si="2"/>
        <v>-0.64433041873595376</v>
      </c>
    </row>
    <row r="41" spans="1:21" customFormat="1">
      <c r="A41" s="31">
        <v>36</v>
      </c>
      <c r="B41" s="42" t="s">
        <v>245</v>
      </c>
      <c r="D41" s="16">
        <v>466.45800000000003</v>
      </c>
      <c r="E41" s="16">
        <v>578.12900000000002</v>
      </c>
      <c r="F41" s="16">
        <v>622.31500000000005</v>
      </c>
      <c r="G41" s="16">
        <v>1004.583</v>
      </c>
      <c r="H41" s="16">
        <v>1138.1289999999999</v>
      </c>
      <c r="I41" s="16">
        <v>637.08699999999999</v>
      </c>
      <c r="J41" s="16">
        <v>902.21799999999996</v>
      </c>
      <c r="K41" s="16">
        <v>817.66899999999998</v>
      </c>
      <c r="L41" s="66">
        <v>1151.9449999999999</v>
      </c>
      <c r="M41" s="66">
        <v>700.83100000000002</v>
      </c>
      <c r="N41" s="16">
        <v>1575.413</v>
      </c>
      <c r="O41" s="16">
        <v>1395.83</v>
      </c>
      <c r="P41" s="1"/>
      <c r="Q41" s="1"/>
      <c r="R41" s="16">
        <f t="shared" si="8"/>
        <v>1395.83</v>
      </c>
      <c r="S41" s="16">
        <f t="shared" si="8"/>
        <v>817.66899999999998</v>
      </c>
      <c r="T41" s="16">
        <f t="shared" si="1"/>
        <v>578.16099999999994</v>
      </c>
      <c r="U41" s="86">
        <f t="shared" si="2"/>
        <v>0.70708440701555264</v>
      </c>
    </row>
    <row r="42" spans="1:21" customFormat="1">
      <c r="A42" s="31">
        <v>37</v>
      </c>
      <c r="B42" s="42" t="s">
        <v>18</v>
      </c>
      <c r="D42" s="16">
        <v>161.452</v>
      </c>
      <c r="E42" s="16">
        <v>222.08399999999997</v>
      </c>
      <c r="F42" s="16">
        <v>182.67700000000002</v>
      </c>
      <c r="G42" s="16">
        <v>332.91999999999996</v>
      </c>
      <c r="H42" s="16">
        <v>300.47500000000002</v>
      </c>
      <c r="I42" s="16">
        <v>379.01800000000003</v>
      </c>
      <c r="J42" s="16">
        <v>450.78399999999999</v>
      </c>
      <c r="K42" s="16">
        <v>349.55500000000001</v>
      </c>
      <c r="L42" s="66">
        <v>307.25099999999998</v>
      </c>
      <c r="M42" s="66">
        <v>300.834</v>
      </c>
      <c r="N42" s="16">
        <v>295.346</v>
      </c>
      <c r="O42" s="16">
        <v>316.81799999999998</v>
      </c>
      <c r="P42" s="1"/>
      <c r="Q42" s="1"/>
      <c r="R42" s="16">
        <f t="shared" si="8"/>
        <v>316.81799999999998</v>
      </c>
      <c r="S42" s="16">
        <f t="shared" si="8"/>
        <v>349.55500000000001</v>
      </c>
      <c r="T42" s="16">
        <f t="shared" si="1"/>
        <v>-32.737000000000023</v>
      </c>
      <c r="U42" s="86">
        <f t="shared" si="2"/>
        <v>-9.3653359271073322E-2</v>
      </c>
    </row>
    <row r="43" spans="1:21" customFormat="1">
      <c r="A43" s="31">
        <v>38</v>
      </c>
      <c r="B43" s="42" t="s">
        <v>44</v>
      </c>
      <c r="D43" s="16">
        <v>28.13</v>
      </c>
      <c r="E43" s="16">
        <v>7.3289999999999997</v>
      </c>
      <c r="F43" s="16">
        <v>7.734</v>
      </c>
      <c r="G43" s="16">
        <v>79.566000000000003</v>
      </c>
      <c r="H43" s="16">
        <v>63.738999999999997</v>
      </c>
      <c r="I43" s="16">
        <v>0</v>
      </c>
      <c r="J43" s="16">
        <v>0</v>
      </c>
      <c r="K43" s="16">
        <v>122.916</v>
      </c>
      <c r="L43" s="66">
        <v>86.605000000000004</v>
      </c>
      <c r="M43" s="66">
        <v>61.716999999999999</v>
      </c>
      <c r="N43" s="16">
        <v>80.247</v>
      </c>
      <c r="O43" s="16">
        <v>26.513000000000002</v>
      </c>
      <c r="P43" s="1"/>
      <c r="Q43" s="1"/>
      <c r="R43" s="16">
        <f t="shared" si="8"/>
        <v>26.513000000000002</v>
      </c>
      <c r="S43" s="16">
        <f t="shared" si="8"/>
        <v>122.916</v>
      </c>
      <c r="T43" s="16">
        <f t="shared" si="1"/>
        <v>-96.402999999999992</v>
      </c>
      <c r="U43" s="86">
        <f t="shared" si="2"/>
        <v>-0.78429984705001787</v>
      </c>
    </row>
    <row r="44" spans="1:21" customFormat="1">
      <c r="A44" s="31">
        <v>39</v>
      </c>
      <c r="B44" s="42" t="s">
        <v>45</v>
      </c>
      <c r="D44" s="16">
        <v>455.892</v>
      </c>
      <c r="E44" s="16">
        <v>575.01400000000001</v>
      </c>
      <c r="F44" s="16">
        <v>749.83799999999997</v>
      </c>
      <c r="G44" s="16">
        <v>581.226</v>
      </c>
      <c r="H44" s="16">
        <v>684.69399999999996</v>
      </c>
      <c r="I44" s="16">
        <v>759.57100000000003</v>
      </c>
      <c r="J44" s="16">
        <v>884.56500000000005</v>
      </c>
      <c r="K44" s="16">
        <v>737.75099999999998</v>
      </c>
      <c r="L44" s="66">
        <v>823.14400000000001</v>
      </c>
      <c r="M44" s="66">
        <v>838.03</v>
      </c>
      <c r="N44" s="16">
        <v>865.24900000000002</v>
      </c>
      <c r="O44" s="16">
        <v>613.59699999999998</v>
      </c>
      <c r="P44" s="1"/>
      <c r="Q44" s="1"/>
      <c r="R44" s="16">
        <f t="shared" si="8"/>
        <v>613.59699999999998</v>
      </c>
      <c r="S44" s="16">
        <f t="shared" si="8"/>
        <v>737.75099999999998</v>
      </c>
      <c r="T44" s="16">
        <f t="shared" si="1"/>
        <v>-124.154</v>
      </c>
      <c r="U44" s="86">
        <f t="shared" si="2"/>
        <v>-0.16828713210825874</v>
      </c>
    </row>
    <row r="45" spans="1:21" customFormat="1">
      <c r="A45" s="31">
        <v>40</v>
      </c>
      <c r="B45" s="42" t="s">
        <v>246</v>
      </c>
      <c r="D45" s="16">
        <v>173.02</v>
      </c>
      <c r="E45" s="16">
        <v>229.75800000000001</v>
      </c>
      <c r="F45" s="16">
        <v>389.00099999999998</v>
      </c>
      <c r="G45" s="16">
        <v>1077.6310000000001</v>
      </c>
      <c r="H45" s="16">
        <v>266.74799999999999</v>
      </c>
      <c r="I45" s="16">
        <v>274.262</v>
      </c>
      <c r="J45" s="16">
        <v>85.397000000000006</v>
      </c>
      <c r="K45" s="16">
        <v>413.36599999999999</v>
      </c>
      <c r="L45" s="66">
        <v>384.63200000000001</v>
      </c>
      <c r="M45" s="66">
        <v>497.99799999999999</v>
      </c>
      <c r="N45" s="16">
        <v>432.68099999999998</v>
      </c>
      <c r="O45" s="16">
        <v>505.14600000000002</v>
      </c>
      <c r="P45" s="1"/>
      <c r="Q45" s="1"/>
      <c r="R45" s="16">
        <f t="shared" si="8"/>
        <v>505.14600000000002</v>
      </c>
      <c r="S45" s="16">
        <f t="shared" si="8"/>
        <v>413.36599999999999</v>
      </c>
      <c r="T45" s="16">
        <f t="shared" si="1"/>
        <v>91.78000000000003</v>
      </c>
      <c r="U45" s="86">
        <f t="shared" si="2"/>
        <v>0.22203083949816871</v>
      </c>
    </row>
    <row r="46" spans="1:21" customFormat="1">
      <c r="A46" s="31">
        <v>41</v>
      </c>
      <c r="B46" s="42" t="s">
        <v>46</v>
      </c>
      <c r="D46" s="16">
        <v>211.36500000000001</v>
      </c>
      <c r="E46" s="16">
        <v>58.348999999999997</v>
      </c>
      <c r="F46" s="16">
        <v>25.513000000000002</v>
      </c>
      <c r="G46" s="16">
        <v>212.346</v>
      </c>
      <c r="H46" s="16">
        <v>239.429</v>
      </c>
      <c r="I46" s="16">
        <v>289.92399999999998</v>
      </c>
      <c r="J46" s="16">
        <v>205.84299999999999</v>
      </c>
      <c r="K46" s="16">
        <v>95.632000000000005</v>
      </c>
      <c r="L46" s="66">
        <v>94.863</v>
      </c>
      <c r="M46" s="66">
        <v>143.30099999999999</v>
      </c>
      <c r="N46" s="16">
        <v>98.588999999999999</v>
      </c>
      <c r="O46" s="16">
        <v>44.32</v>
      </c>
      <c r="P46" s="1"/>
      <c r="Q46" s="1"/>
      <c r="R46" s="16">
        <f t="shared" si="8"/>
        <v>44.32</v>
      </c>
      <c r="S46" s="16">
        <f t="shared" si="8"/>
        <v>95.632000000000005</v>
      </c>
      <c r="T46" s="16">
        <f t="shared" si="1"/>
        <v>-51.312000000000005</v>
      </c>
      <c r="U46" s="86">
        <f t="shared" si="2"/>
        <v>-0.53655680107077131</v>
      </c>
    </row>
    <row r="47" spans="1:21" customFormat="1">
      <c r="A47" s="31">
        <v>42</v>
      </c>
      <c r="B47" s="42" t="s">
        <v>238</v>
      </c>
      <c r="D47" s="16">
        <v>2.7170000000000001</v>
      </c>
      <c r="E47" s="16">
        <v>3.5960000000000001</v>
      </c>
      <c r="F47" s="16">
        <v>3.6440000000000001</v>
      </c>
      <c r="G47" s="16">
        <v>12.364000000000001</v>
      </c>
      <c r="H47" s="16">
        <v>9.8740000000000006</v>
      </c>
      <c r="I47" s="16">
        <v>6.0919999999999996</v>
      </c>
      <c r="J47" s="16">
        <v>7.1079999999999997</v>
      </c>
      <c r="K47" s="16">
        <v>6.2080000000000002</v>
      </c>
      <c r="L47" s="66">
        <v>5.5750000000000002</v>
      </c>
      <c r="M47" s="66">
        <v>1.7370000000000001</v>
      </c>
      <c r="N47" s="16">
        <v>1.159</v>
      </c>
      <c r="O47" s="16">
        <v>0.88500000000000001</v>
      </c>
      <c r="P47" s="1"/>
      <c r="Q47" s="1"/>
      <c r="R47" s="16">
        <f t="shared" si="8"/>
        <v>0.88500000000000001</v>
      </c>
      <c r="S47" s="16">
        <f t="shared" si="8"/>
        <v>6.2080000000000002</v>
      </c>
      <c r="T47" s="16">
        <f t="shared" si="1"/>
        <v>-5.3230000000000004</v>
      </c>
      <c r="U47" s="86">
        <f t="shared" si="2"/>
        <v>-0.85744201030927836</v>
      </c>
    </row>
    <row r="48" spans="1:21" customFormat="1">
      <c r="A48" s="31">
        <v>43</v>
      </c>
      <c r="B48" s="42" t="s">
        <v>247</v>
      </c>
      <c r="D48" s="16">
        <v>503.26</v>
      </c>
      <c r="E48" s="16">
        <v>520.40499999999997</v>
      </c>
      <c r="F48" s="16">
        <v>636.28</v>
      </c>
      <c r="G48" s="16">
        <v>699.26400000000001</v>
      </c>
      <c r="H48" s="16">
        <v>823.96900000000005</v>
      </c>
      <c r="I48" s="16">
        <v>847.85500000000002</v>
      </c>
      <c r="J48" s="16">
        <v>921.20500000000004</v>
      </c>
      <c r="K48" s="16">
        <v>942.02</v>
      </c>
      <c r="L48" s="66">
        <v>959.86699999999996</v>
      </c>
      <c r="M48" s="66">
        <v>971.84400000000005</v>
      </c>
      <c r="N48" s="16">
        <v>954.09699999999998</v>
      </c>
      <c r="O48" s="16">
        <v>378.59800000000001</v>
      </c>
      <c r="P48" s="1"/>
      <c r="Q48" s="1"/>
      <c r="R48" s="16">
        <f t="shared" si="8"/>
        <v>378.59800000000001</v>
      </c>
      <c r="S48" s="16">
        <f t="shared" si="8"/>
        <v>942.02</v>
      </c>
      <c r="T48" s="16">
        <f t="shared" si="1"/>
        <v>-563.42200000000003</v>
      </c>
      <c r="U48" s="86">
        <f t="shared" si="2"/>
        <v>-0.59809982802912887</v>
      </c>
    </row>
    <row r="49" spans="1:21" customFormat="1">
      <c r="A49" s="31">
        <v>44</v>
      </c>
      <c r="B49" s="42" t="s">
        <v>248</v>
      </c>
      <c r="D49" s="16">
        <v>155.631</v>
      </c>
      <c r="E49" s="16">
        <v>49.973999999999997</v>
      </c>
      <c r="F49" s="16">
        <v>34.058999999999997</v>
      </c>
      <c r="G49" s="16">
        <v>25.888999999999999</v>
      </c>
      <c r="H49" s="16">
        <v>38.856000000000002</v>
      </c>
      <c r="I49" s="16">
        <v>33.856000000000002</v>
      </c>
      <c r="J49" s="16">
        <v>32.103000000000002</v>
      </c>
      <c r="K49" s="16">
        <v>52.002000000000002</v>
      </c>
      <c r="L49" s="66">
        <v>53.094999999999999</v>
      </c>
      <c r="M49" s="66">
        <v>54.265000000000001</v>
      </c>
      <c r="N49" s="16">
        <v>55.378999999999998</v>
      </c>
      <c r="O49" s="16">
        <v>56.075000000000003</v>
      </c>
      <c r="P49" s="1"/>
      <c r="Q49" s="1"/>
      <c r="R49" s="16">
        <f t="shared" si="8"/>
        <v>56.075000000000003</v>
      </c>
      <c r="S49" s="16">
        <f t="shared" si="8"/>
        <v>52.002000000000002</v>
      </c>
      <c r="T49" s="16">
        <f t="shared" si="1"/>
        <v>4.0730000000000004</v>
      </c>
      <c r="U49" s="86">
        <f t="shared" si="2"/>
        <v>7.8323910618822268E-2</v>
      </c>
    </row>
    <row r="50" spans="1:21" customFormat="1">
      <c r="A50" s="31">
        <v>45</v>
      </c>
      <c r="B50" s="42" t="s">
        <v>270</v>
      </c>
      <c r="D50" s="16">
        <v>0</v>
      </c>
      <c r="E50" s="16">
        <v>0</v>
      </c>
      <c r="F50" s="16">
        <v>0</v>
      </c>
      <c r="G50" s="16">
        <v>0</v>
      </c>
      <c r="H50" s="16">
        <v>0</v>
      </c>
      <c r="I50" s="16">
        <v>0</v>
      </c>
      <c r="J50" s="16">
        <v>0</v>
      </c>
      <c r="K50" s="16">
        <v>0</v>
      </c>
      <c r="L50" s="16">
        <v>0</v>
      </c>
      <c r="M50" s="16">
        <v>0</v>
      </c>
      <c r="N50" s="16">
        <v>0</v>
      </c>
      <c r="O50" s="16">
        <v>0.78400000000000003</v>
      </c>
      <c r="P50" s="1"/>
      <c r="Q50" s="1"/>
      <c r="R50" s="16">
        <f t="shared" si="8"/>
        <v>0.78400000000000003</v>
      </c>
      <c r="S50" s="16">
        <f t="shared" si="8"/>
        <v>0</v>
      </c>
      <c r="T50" s="16">
        <f t="shared" si="1"/>
        <v>0.78400000000000003</v>
      </c>
      <c r="U50" s="86" t="str">
        <f t="shared" si="2"/>
        <v>-</v>
      </c>
    </row>
    <row r="51" spans="1:21" customFormat="1">
      <c r="A51" s="31">
        <v>46</v>
      </c>
      <c r="B51" s="42" t="s">
        <v>145</v>
      </c>
      <c r="D51" s="16">
        <v>0</v>
      </c>
      <c r="E51" s="16">
        <v>0</v>
      </c>
      <c r="F51" s="16">
        <v>0</v>
      </c>
      <c r="G51" s="16">
        <v>0</v>
      </c>
      <c r="H51" s="16">
        <v>0</v>
      </c>
      <c r="I51" s="16">
        <v>0</v>
      </c>
      <c r="J51" s="16">
        <v>0</v>
      </c>
      <c r="K51" s="16">
        <v>114.553</v>
      </c>
      <c r="L51" s="66">
        <v>165.952</v>
      </c>
      <c r="M51" s="66">
        <v>221.56899999999999</v>
      </c>
      <c r="N51" s="16">
        <v>93.582999999999998</v>
      </c>
      <c r="O51" s="16">
        <v>94.028000000000006</v>
      </c>
      <c r="P51" s="1"/>
      <c r="Q51" s="1"/>
      <c r="R51" s="16">
        <f t="shared" si="8"/>
        <v>94.028000000000006</v>
      </c>
      <c r="S51" s="16">
        <f t="shared" si="8"/>
        <v>114.553</v>
      </c>
      <c r="T51" s="16"/>
      <c r="U51" s="86"/>
    </row>
    <row r="52" spans="1:21" customFormat="1">
      <c r="A52" s="31">
        <v>47</v>
      </c>
      <c r="B52" s="42" t="s">
        <v>249</v>
      </c>
      <c r="D52" s="16">
        <v>284.04899999999998</v>
      </c>
      <c r="E52" s="16">
        <v>211.339</v>
      </c>
      <c r="F52" s="16">
        <v>231.84899999999999</v>
      </c>
      <c r="G52" s="16">
        <v>602.39300000000003</v>
      </c>
      <c r="H52" s="16">
        <v>638.34100000000001</v>
      </c>
      <c r="I52" s="16">
        <v>568.31099999999992</v>
      </c>
      <c r="J52" s="16">
        <v>601.40599999999995</v>
      </c>
      <c r="K52" s="16">
        <v>618.87900000000002</v>
      </c>
      <c r="L52" s="66">
        <v>482.97500000000002</v>
      </c>
      <c r="M52" s="66">
        <v>396.90999999999997</v>
      </c>
      <c r="N52" s="16">
        <v>461.24700000000001</v>
      </c>
      <c r="O52" s="16">
        <v>547.57299999999998</v>
      </c>
      <c r="P52" s="1"/>
      <c r="Q52" s="1"/>
      <c r="R52" s="16">
        <f t="shared" si="8"/>
        <v>547.57299999999998</v>
      </c>
      <c r="S52" s="16">
        <f t="shared" si="8"/>
        <v>618.87900000000002</v>
      </c>
      <c r="T52" s="16">
        <f t="shared" si="1"/>
        <v>-71.30600000000004</v>
      </c>
      <c r="U52" s="86">
        <f t="shared" si="2"/>
        <v>-0.1152179989949571</v>
      </c>
    </row>
    <row r="53" spans="1:21" customFormat="1">
      <c r="A53" s="31">
        <v>48</v>
      </c>
      <c r="B53" s="45" t="s">
        <v>85</v>
      </c>
      <c r="D53" s="18">
        <f t="shared" ref="D53:O53" si="9">SUM(D39:D52)</f>
        <v>3946.8259999999996</v>
      </c>
      <c r="E53" s="18">
        <f t="shared" si="9"/>
        <v>4692.9250000000002</v>
      </c>
      <c r="F53" s="18">
        <f t="shared" si="9"/>
        <v>4856.6550000000007</v>
      </c>
      <c r="G53" s="18">
        <f t="shared" si="9"/>
        <v>6949.6669999999995</v>
      </c>
      <c r="H53" s="18">
        <f t="shared" si="9"/>
        <v>6393.7149999999992</v>
      </c>
      <c r="I53" s="18">
        <f t="shared" si="9"/>
        <v>5319.3889999999992</v>
      </c>
      <c r="J53" s="18">
        <f t="shared" si="9"/>
        <v>5568.0970000000007</v>
      </c>
      <c r="K53" s="18">
        <f t="shared" si="9"/>
        <v>6165.915</v>
      </c>
      <c r="L53" s="18">
        <f t="shared" si="9"/>
        <v>8084.5890000000009</v>
      </c>
      <c r="M53" s="18">
        <f t="shared" si="9"/>
        <v>7856.2330000000002</v>
      </c>
      <c r="N53" s="18">
        <f t="shared" si="9"/>
        <v>6409.6349999999984</v>
      </c>
      <c r="O53" s="18">
        <f t="shared" si="9"/>
        <v>5641.3749999999991</v>
      </c>
      <c r="P53" s="1"/>
      <c r="Q53" s="1"/>
      <c r="R53" s="18">
        <f t="shared" si="8"/>
        <v>5641.3749999999991</v>
      </c>
      <c r="S53" s="18">
        <f t="shared" si="8"/>
        <v>6165.915</v>
      </c>
      <c r="T53" s="18">
        <f t="shared" si="1"/>
        <v>-524.54000000000087</v>
      </c>
      <c r="U53" s="87">
        <f t="shared" si="2"/>
        <v>-8.5070909994704902E-2</v>
      </c>
    </row>
    <row r="54" spans="1:21" customFormat="1">
      <c r="A54" s="31">
        <v>49</v>
      </c>
      <c r="B54" s="13" t="s">
        <v>14</v>
      </c>
      <c r="D54" s="16"/>
      <c r="E54" s="16"/>
      <c r="F54" s="16"/>
      <c r="G54" s="16"/>
      <c r="H54" s="16"/>
      <c r="I54" s="16"/>
      <c r="J54" s="16"/>
      <c r="K54" s="16"/>
      <c r="L54" s="16"/>
      <c r="M54" s="16"/>
      <c r="N54" s="16"/>
      <c r="O54" s="16"/>
      <c r="P54" s="1"/>
      <c r="Q54" s="1"/>
      <c r="R54" s="16"/>
      <c r="S54" s="16"/>
      <c r="T54" s="16"/>
      <c r="U54" s="86"/>
    </row>
    <row r="55" spans="1:21" customFormat="1">
      <c r="A55" s="31">
        <v>50</v>
      </c>
      <c r="B55" s="42" t="s">
        <v>5</v>
      </c>
      <c r="D55" s="16">
        <v>15.356999999999999</v>
      </c>
      <c r="E55" s="16">
        <v>15.194000000000001</v>
      </c>
      <c r="F55" s="16">
        <v>11.557</v>
      </c>
      <c r="G55" s="16">
        <v>12.62</v>
      </c>
      <c r="H55" s="16">
        <v>12.62</v>
      </c>
      <c r="I55" s="16">
        <v>12.62</v>
      </c>
      <c r="J55" s="16">
        <v>12.62</v>
      </c>
      <c r="K55" s="16">
        <v>12.62</v>
      </c>
      <c r="L55" s="16">
        <v>10.08</v>
      </c>
      <c r="M55" s="16">
        <v>10.08</v>
      </c>
      <c r="N55" s="16">
        <v>10.08</v>
      </c>
      <c r="O55" s="16">
        <v>46.743000000000002</v>
      </c>
      <c r="P55" s="1"/>
      <c r="Q55" s="1"/>
      <c r="R55" s="16">
        <f t="shared" ref="R55:S68" si="10">HLOOKUP(R$6,$D$6:$O$78,$A55,0)</f>
        <v>46.743000000000002</v>
      </c>
      <c r="S55" s="16">
        <f t="shared" si="10"/>
        <v>12.62</v>
      </c>
      <c r="T55" s="16">
        <f t="shared" si="1"/>
        <v>34.123000000000005</v>
      </c>
      <c r="U55" s="86">
        <f t="shared" si="2"/>
        <v>2.7038827258320133</v>
      </c>
    </row>
    <row r="56" spans="1:21" customFormat="1">
      <c r="A56" s="31">
        <v>51</v>
      </c>
      <c r="B56" s="42" t="s">
        <v>43</v>
      </c>
      <c r="D56" s="16">
        <v>1014.095</v>
      </c>
      <c r="E56" s="16">
        <v>198.28800000000001</v>
      </c>
      <c r="F56" s="16">
        <v>322.50299999999999</v>
      </c>
      <c r="G56" s="16">
        <v>494.63400000000001</v>
      </c>
      <c r="H56" s="16">
        <v>2356.605</v>
      </c>
      <c r="I56" s="16">
        <v>2320.69</v>
      </c>
      <c r="J56" s="16">
        <v>2284.5630000000001</v>
      </c>
      <c r="K56" s="16">
        <v>2213.6669999999999</v>
      </c>
      <c r="L56" s="16">
        <v>186.45500000000001</v>
      </c>
      <c r="M56" s="16">
        <v>154.024</v>
      </c>
      <c r="N56" s="16">
        <v>134.49799999999999</v>
      </c>
      <c r="O56" s="16">
        <v>69.304000000000002</v>
      </c>
      <c r="P56" s="1"/>
      <c r="Q56" s="1"/>
      <c r="R56" s="16">
        <f t="shared" si="10"/>
        <v>69.304000000000002</v>
      </c>
      <c r="S56" s="16">
        <f t="shared" si="10"/>
        <v>2213.6669999999999</v>
      </c>
      <c r="T56" s="16">
        <f t="shared" si="1"/>
        <v>-2144.3629999999998</v>
      </c>
      <c r="U56" s="86">
        <f t="shared" si="2"/>
        <v>-0.96869267148130234</v>
      </c>
    </row>
    <row r="57" spans="1:21" customFormat="1">
      <c r="A57" s="31">
        <v>52</v>
      </c>
      <c r="B57" s="42" t="s">
        <v>38</v>
      </c>
      <c r="D57" s="16">
        <v>3692.056</v>
      </c>
      <c r="E57" s="16">
        <v>3571.056</v>
      </c>
      <c r="F57" s="16">
        <v>3438.386</v>
      </c>
      <c r="G57" s="16">
        <v>5056.9780000000001</v>
      </c>
      <c r="H57" s="16">
        <v>4758.0140000000001</v>
      </c>
      <c r="I57" s="16">
        <v>6537.3180000000002</v>
      </c>
      <c r="J57" s="16">
        <v>6526.5519999999997</v>
      </c>
      <c r="K57" s="16">
        <v>8085.0320000000002</v>
      </c>
      <c r="L57" s="16">
        <v>8094.5060000000003</v>
      </c>
      <c r="M57" s="16">
        <v>7998.1040000000003</v>
      </c>
      <c r="N57" s="16">
        <v>9480.5519999999997</v>
      </c>
      <c r="O57" s="16">
        <v>9063.3369999999995</v>
      </c>
      <c r="P57" s="1"/>
      <c r="Q57" s="1"/>
      <c r="R57" s="16">
        <f t="shared" si="10"/>
        <v>9063.3369999999995</v>
      </c>
      <c r="S57" s="16">
        <f t="shared" si="10"/>
        <v>8085.0320000000002</v>
      </c>
      <c r="T57" s="16">
        <f t="shared" si="1"/>
        <v>978.30499999999938</v>
      </c>
      <c r="U57" s="86">
        <f t="shared" si="2"/>
        <v>0.12100199479729934</v>
      </c>
    </row>
    <row r="58" spans="1:21" customFormat="1">
      <c r="A58" s="31">
        <v>53</v>
      </c>
      <c r="B58" s="42" t="s">
        <v>20</v>
      </c>
      <c r="D58" s="16">
        <v>56.774000000000001</v>
      </c>
      <c r="E58" s="16">
        <v>65.584999999999994</v>
      </c>
      <c r="F58" s="16">
        <v>163.83500000000001</v>
      </c>
      <c r="G58" s="16">
        <v>268.54700000000003</v>
      </c>
      <c r="H58" s="16">
        <v>260.084</v>
      </c>
      <c r="I58" s="16">
        <v>234.923</v>
      </c>
      <c r="J58" s="16">
        <v>212.83799999999999</v>
      </c>
      <c r="K58" s="16">
        <v>187.06</v>
      </c>
      <c r="L58" s="16">
        <v>160.68799999999999</v>
      </c>
      <c r="M58" s="16">
        <v>128.934</v>
      </c>
      <c r="N58" s="16">
        <v>107.657</v>
      </c>
      <c r="O58" s="16">
        <v>108.014</v>
      </c>
      <c r="P58" s="1"/>
      <c r="Q58" s="1"/>
      <c r="R58" s="16">
        <f t="shared" si="10"/>
        <v>108.014</v>
      </c>
      <c r="S58" s="16">
        <f t="shared" si="10"/>
        <v>187.06</v>
      </c>
      <c r="T58" s="16">
        <f t="shared" si="1"/>
        <v>-79.046000000000006</v>
      </c>
      <c r="U58" s="86">
        <f t="shared" si="2"/>
        <v>-0.42257029830001069</v>
      </c>
    </row>
    <row r="59" spans="1:21" customFormat="1">
      <c r="A59" s="31">
        <v>54</v>
      </c>
      <c r="B59" s="42" t="s">
        <v>37</v>
      </c>
      <c r="D59" s="16">
        <v>378.29899999999998</v>
      </c>
      <c r="E59" s="16">
        <v>403.08699999999999</v>
      </c>
      <c r="F59" s="16">
        <v>553.91899999999998</v>
      </c>
      <c r="G59" s="16">
        <v>776.48</v>
      </c>
      <c r="H59" s="16">
        <v>888.41</v>
      </c>
      <c r="I59" s="16">
        <v>919.19200000000001</v>
      </c>
      <c r="J59" s="16">
        <v>914.18299999999999</v>
      </c>
      <c r="K59" s="16">
        <v>901.226</v>
      </c>
      <c r="L59" s="16">
        <v>942.88900000000001</v>
      </c>
      <c r="M59" s="16">
        <v>839.55799999999999</v>
      </c>
      <c r="N59" s="16">
        <v>848.63099999999997</v>
      </c>
      <c r="O59" s="16">
        <v>761.80200000000002</v>
      </c>
      <c r="P59" s="1"/>
      <c r="Q59" s="1"/>
      <c r="R59" s="16">
        <f t="shared" si="10"/>
        <v>761.80200000000002</v>
      </c>
      <c r="S59" s="16">
        <f t="shared" si="10"/>
        <v>901.226</v>
      </c>
      <c r="T59" s="16">
        <f t="shared" si="1"/>
        <v>-139.42399999999998</v>
      </c>
      <c r="U59" s="86">
        <f t="shared" si="2"/>
        <v>-0.15470481322110097</v>
      </c>
    </row>
    <row r="60" spans="1:21" customFormat="1">
      <c r="A60" s="31">
        <v>55</v>
      </c>
      <c r="B60" s="42" t="s">
        <v>35</v>
      </c>
      <c r="D60" s="16">
        <v>7.5839999999999996</v>
      </c>
      <c r="E60" s="16">
        <v>5.7910000000000004</v>
      </c>
      <c r="F60" s="16">
        <v>7.0350000000000001</v>
      </c>
      <c r="G60" s="16">
        <v>7.9340000000000002</v>
      </c>
      <c r="H60" s="16">
        <v>7.1479999999999997</v>
      </c>
      <c r="I60" s="16">
        <v>4.0549999999999997</v>
      </c>
      <c r="J60" s="16">
        <v>1.214</v>
      </c>
      <c r="K60" s="16">
        <v>1.431</v>
      </c>
      <c r="L60" s="16">
        <v>1.4379999999999999</v>
      </c>
      <c r="M60" s="16">
        <v>17.832000000000001</v>
      </c>
      <c r="N60" s="16">
        <v>18.100000000000001</v>
      </c>
      <c r="O60" s="16">
        <v>25.106000000000002</v>
      </c>
      <c r="P60" s="1"/>
      <c r="Q60" s="1"/>
      <c r="R60" s="16">
        <f t="shared" si="10"/>
        <v>25.106000000000002</v>
      </c>
      <c r="S60" s="16">
        <f t="shared" si="10"/>
        <v>1.431</v>
      </c>
      <c r="T60" s="16">
        <f t="shared" si="1"/>
        <v>23.675000000000001</v>
      </c>
      <c r="U60" s="86">
        <f t="shared" si="2"/>
        <v>16.544374563242489</v>
      </c>
    </row>
    <row r="61" spans="1:21" customFormat="1">
      <c r="A61" s="31">
        <v>56</v>
      </c>
      <c r="B61" s="42" t="s">
        <v>55</v>
      </c>
      <c r="D61" s="16">
        <v>213.69900000000001</v>
      </c>
      <c r="E61" s="16">
        <v>198.69800000000001</v>
      </c>
      <c r="F61" s="16">
        <v>218.67099999999999</v>
      </c>
      <c r="G61" s="16">
        <v>255.34100000000001</v>
      </c>
      <c r="H61" s="16">
        <v>235.072</v>
      </c>
      <c r="I61" s="16">
        <v>221.959</v>
      </c>
      <c r="J61" s="16">
        <v>246.4</v>
      </c>
      <c r="K61" s="16">
        <v>401.24900000000002</v>
      </c>
      <c r="L61" s="16">
        <v>384.82299999999998</v>
      </c>
      <c r="M61" s="16">
        <v>383.91300000000001</v>
      </c>
      <c r="N61" s="16">
        <v>371.09300000000002</v>
      </c>
      <c r="O61" s="16">
        <v>459.61700000000002</v>
      </c>
      <c r="P61" s="1"/>
      <c r="Q61" s="1"/>
      <c r="R61" s="16">
        <f t="shared" si="10"/>
        <v>459.61700000000002</v>
      </c>
      <c r="S61" s="16">
        <f t="shared" si="10"/>
        <v>401.24900000000002</v>
      </c>
      <c r="T61" s="16">
        <f t="shared" si="1"/>
        <v>58.367999999999995</v>
      </c>
      <c r="U61" s="86">
        <f t="shared" si="2"/>
        <v>0.1454657830922943</v>
      </c>
    </row>
    <row r="62" spans="1:21" customFormat="1">
      <c r="A62" s="31">
        <v>57</v>
      </c>
      <c r="B62" s="42" t="s">
        <v>47</v>
      </c>
      <c r="D62" s="16">
        <v>1088.711</v>
      </c>
      <c r="E62" s="16">
        <v>1088.434</v>
      </c>
      <c r="F62" s="16">
        <v>1185.8589999999999</v>
      </c>
      <c r="G62" s="16">
        <v>1419.7729999999999</v>
      </c>
      <c r="H62" s="16">
        <v>1597.345</v>
      </c>
      <c r="I62" s="16">
        <v>1558.7550000000001</v>
      </c>
      <c r="J62" s="16">
        <v>1670.4480000000001</v>
      </c>
      <c r="K62" s="16">
        <v>1499.788</v>
      </c>
      <c r="L62" s="16">
        <v>1420.7850000000001</v>
      </c>
      <c r="M62" s="16">
        <v>1387.981</v>
      </c>
      <c r="N62" s="16">
        <v>1331.335</v>
      </c>
      <c r="O62" s="16">
        <v>2264.5929999999998</v>
      </c>
      <c r="P62" s="1"/>
      <c r="Q62" s="1"/>
      <c r="R62" s="16">
        <f t="shared" si="10"/>
        <v>2264.5929999999998</v>
      </c>
      <c r="S62" s="16">
        <f t="shared" si="10"/>
        <v>1499.788</v>
      </c>
      <c r="T62" s="16">
        <f t="shared" si="1"/>
        <v>764.80499999999984</v>
      </c>
      <c r="U62" s="86">
        <f t="shared" si="2"/>
        <v>0.50994207181281603</v>
      </c>
    </row>
    <row r="63" spans="1:21" customFormat="1">
      <c r="A63" s="31">
        <v>58</v>
      </c>
      <c r="B63" s="42" t="s">
        <v>48</v>
      </c>
      <c r="D63" s="16">
        <v>33.71</v>
      </c>
      <c r="E63" s="16">
        <v>40.151000000000003</v>
      </c>
      <c r="F63" s="16">
        <v>37.933</v>
      </c>
      <c r="G63" s="16">
        <v>38.912999999999997</v>
      </c>
      <c r="H63" s="16">
        <v>23.222000000000001</v>
      </c>
      <c r="I63" s="16">
        <v>26.738</v>
      </c>
      <c r="J63" s="16">
        <v>26.949000000000002</v>
      </c>
      <c r="K63" s="16">
        <v>9.8529999999999998</v>
      </c>
      <c r="L63" s="16">
        <v>10.836</v>
      </c>
      <c r="M63" s="16">
        <v>17.84</v>
      </c>
      <c r="N63" s="16">
        <v>20.960999999999999</v>
      </c>
      <c r="O63" s="16">
        <v>16.962</v>
      </c>
      <c r="P63" s="1"/>
      <c r="Q63" s="1"/>
      <c r="R63" s="16">
        <f t="shared" si="10"/>
        <v>16.962</v>
      </c>
      <c r="S63" s="16">
        <f t="shared" si="10"/>
        <v>9.8529999999999998</v>
      </c>
      <c r="T63" s="16">
        <f t="shared" si="1"/>
        <v>7.109</v>
      </c>
      <c r="U63" s="86">
        <f t="shared" si="2"/>
        <v>0.72150614026184923</v>
      </c>
    </row>
    <row r="64" spans="1:21" customFormat="1">
      <c r="A64" s="31">
        <v>59</v>
      </c>
      <c r="B64" s="42" t="s">
        <v>49</v>
      </c>
      <c r="D64" s="16">
        <v>6.069</v>
      </c>
      <c r="E64" s="16">
        <v>106.26300000000001</v>
      </c>
      <c r="F64" s="16">
        <v>91.641000000000005</v>
      </c>
      <c r="G64" s="16">
        <v>90.813999999999993</v>
      </c>
      <c r="H64" s="16">
        <v>63.235999999999997</v>
      </c>
      <c r="I64" s="16">
        <v>71.537000000000006</v>
      </c>
      <c r="J64" s="16">
        <v>72.923000000000002</v>
      </c>
      <c r="K64" s="16">
        <v>70.483999999999995</v>
      </c>
      <c r="L64" s="16">
        <v>7.484</v>
      </c>
      <c r="M64" s="16">
        <v>12.384</v>
      </c>
      <c r="N64" s="16">
        <v>14.784000000000001</v>
      </c>
      <c r="O64" s="16">
        <v>0</v>
      </c>
      <c r="P64" s="1"/>
      <c r="Q64" s="1"/>
      <c r="R64" s="16">
        <f t="shared" si="10"/>
        <v>0</v>
      </c>
      <c r="S64" s="16">
        <f t="shared" si="10"/>
        <v>70.483999999999995</v>
      </c>
      <c r="T64" s="16">
        <f t="shared" si="1"/>
        <v>-70.483999999999995</v>
      </c>
      <c r="U64" s="86">
        <f t="shared" si="2"/>
        <v>-1</v>
      </c>
    </row>
    <row r="65" spans="1:21" customFormat="1">
      <c r="A65" s="31">
        <v>60</v>
      </c>
      <c r="B65" s="42" t="s">
        <v>53</v>
      </c>
      <c r="D65" s="16">
        <v>26.184999999999999</v>
      </c>
      <c r="E65" s="16">
        <v>26.992000000000001</v>
      </c>
      <c r="F65" s="16">
        <v>29.715</v>
      </c>
      <c r="G65" s="16">
        <v>21.327000000000002</v>
      </c>
      <c r="H65" s="16">
        <v>18.652000000000001</v>
      </c>
      <c r="I65" s="16">
        <v>24.666</v>
      </c>
      <c r="J65" s="16">
        <v>29.349</v>
      </c>
      <c r="K65" s="16">
        <v>24.71</v>
      </c>
      <c r="L65" s="16">
        <v>22.282</v>
      </c>
      <c r="M65" s="16">
        <v>9.3650000000000002</v>
      </c>
      <c r="N65" s="16">
        <v>23.67</v>
      </c>
      <c r="O65" s="16">
        <v>13.198</v>
      </c>
      <c r="P65" s="1"/>
      <c r="Q65" s="1"/>
      <c r="R65" s="16">
        <f t="shared" si="10"/>
        <v>13.198</v>
      </c>
      <c r="S65" s="16">
        <f t="shared" si="10"/>
        <v>24.71</v>
      </c>
      <c r="T65" s="16">
        <f t="shared" si="1"/>
        <v>-11.512</v>
      </c>
      <c r="U65" s="86">
        <f t="shared" si="2"/>
        <v>-0.46588425738567385</v>
      </c>
    </row>
    <row r="66" spans="1:21" customFormat="1">
      <c r="A66" s="31">
        <v>61</v>
      </c>
      <c r="B66" s="42" t="s">
        <v>271</v>
      </c>
      <c r="D66" s="16">
        <v>0</v>
      </c>
      <c r="E66" s="16">
        <v>0</v>
      </c>
      <c r="F66" s="16">
        <v>0</v>
      </c>
      <c r="G66" s="16">
        <v>0</v>
      </c>
      <c r="H66" s="16">
        <v>0</v>
      </c>
      <c r="I66" s="16">
        <v>0</v>
      </c>
      <c r="J66" s="16">
        <v>0</v>
      </c>
      <c r="K66" s="16">
        <v>0</v>
      </c>
      <c r="L66" s="16">
        <v>0</v>
      </c>
      <c r="M66" s="16">
        <v>0</v>
      </c>
      <c r="N66" s="16">
        <v>0</v>
      </c>
      <c r="O66" s="16">
        <v>45.212000000000003</v>
      </c>
      <c r="P66" s="1"/>
      <c r="Q66" s="1"/>
      <c r="R66" s="16">
        <f t="shared" si="10"/>
        <v>45.212000000000003</v>
      </c>
      <c r="S66" s="16">
        <f t="shared" si="10"/>
        <v>0</v>
      </c>
      <c r="T66" s="16"/>
      <c r="U66" s="86"/>
    </row>
    <row r="67" spans="1:21" customFormat="1">
      <c r="A67" s="31">
        <v>62</v>
      </c>
      <c r="B67" s="42" t="s">
        <v>50</v>
      </c>
      <c r="D67" s="16">
        <v>15.507</v>
      </c>
      <c r="E67" s="16">
        <v>66.680000000000007</v>
      </c>
      <c r="F67" s="16">
        <v>16.231000000000002</v>
      </c>
      <c r="G67" s="16">
        <v>308.358</v>
      </c>
      <c r="H67" s="16">
        <v>338.68099999999998</v>
      </c>
      <c r="I67" s="16">
        <v>319.46199999999999</v>
      </c>
      <c r="J67" s="16">
        <v>175.19300000000001</v>
      </c>
      <c r="K67" s="16">
        <v>181.75700000000001</v>
      </c>
      <c r="L67" s="16">
        <v>205.98099999999999</v>
      </c>
      <c r="M67" s="16">
        <v>415.185</v>
      </c>
      <c r="N67" s="16">
        <v>378.97300000000001</v>
      </c>
      <c r="O67" s="16">
        <v>364.11799999999999</v>
      </c>
      <c r="P67" s="1"/>
      <c r="Q67" s="1"/>
      <c r="R67" s="16">
        <f t="shared" si="10"/>
        <v>364.11799999999999</v>
      </c>
      <c r="S67" s="16">
        <f t="shared" si="10"/>
        <v>181.75700000000001</v>
      </c>
      <c r="T67" s="16">
        <f t="shared" si="1"/>
        <v>182.36099999999999</v>
      </c>
      <c r="U67" s="86">
        <f t="shared" si="2"/>
        <v>1.0033231182292841</v>
      </c>
    </row>
    <row r="68" spans="1:21" customFormat="1">
      <c r="A68" s="31">
        <v>63</v>
      </c>
      <c r="B68" s="45" t="s">
        <v>86</v>
      </c>
      <c r="D68" s="18">
        <f t="shared" ref="D68:O68" si="11">SUM(D55:D67)</f>
        <v>6548.0460000000003</v>
      </c>
      <c r="E68" s="18">
        <f t="shared" si="11"/>
        <v>5786.219000000001</v>
      </c>
      <c r="F68" s="18">
        <f t="shared" si="11"/>
        <v>6077.2849999999989</v>
      </c>
      <c r="G68" s="18">
        <f t="shared" si="11"/>
        <v>8751.719000000001</v>
      </c>
      <c r="H68" s="18">
        <f t="shared" si="11"/>
        <v>10559.089</v>
      </c>
      <c r="I68" s="18">
        <f t="shared" si="11"/>
        <v>12251.915000000001</v>
      </c>
      <c r="J68" s="18">
        <f t="shared" si="11"/>
        <v>12173.232000000002</v>
      </c>
      <c r="K68" s="18">
        <f t="shared" si="11"/>
        <v>13588.876999999999</v>
      </c>
      <c r="L68" s="18">
        <f t="shared" si="11"/>
        <v>11448.246999999999</v>
      </c>
      <c r="M68" s="18">
        <f t="shared" si="11"/>
        <v>11375.2</v>
      </c>
      <c r="N68" s="18">
        <f t="shared" si="11"/>
        <v>12740.333999999999</v>
      </c>
      <c r="O68" s="18">
        <f t="shared" si="11"/>
        <v>13238.005999999999</v>
      </c>
      <c r="P68" s="1"/>
      <c r="Q68" s="1"/>
      <c r="R68" s="18">
        <f t="shared" si="10"/>
        <v>13238.005999999999</v>
      </c>
      <c r="S68" s="18">
        <f t="shared" si="10"/>
        <v>13588.876999999999</v>
      </c>
      <c r="T68" s="18">
        <f t="shared" si="1"/>
        <v>-350.87099999999919</v>
      </c>
      <c r="U68" s="87">
        <f t="shared" si="2"/>
        <v>-2.5820455950848586E-2</v>
      </c>
    </row>
    <row r="69" spans="1:21" customFormat="1">
      <c r="A69" s="31">
        <v>64</v>
      </c>
      <c r="B69" s="8"/>
      <c r="D69" s="40"/>
      <c r="E69" s="40"/>
      <c r="F69" s="40"/>
      <c r="G69" s="40"/>
      <c r="H69" s="40"/>
      <c r="I69" s="40"/>
      <c r="J69" s="40"/>
      <c r="K69" s="40"/>
      <c r="L69" s="40"/>
      <c r="M69" s="40"/>
      <c r="N69" s="40"/>
      <c r="O69" s="40"/>
      <c r="P69" s="8"/>
      <c r="Q69" s="8"/>
      <c r="R69" s="8"/>
      <c r="S69" s="8"/>
      <c r="T69" s="8"/>
      <c r="U69" s="8"/>
    </row>
    <row r="70" spans="1:21" customFormat="1">
      <c r="A70" s="31">
        <v>65</v>
      </c>
      <c r="B70" s="42" t="s">
        <v>95</v>
      </c>
      <c r="D70" s="16">
        <v>1.7350000000000001</v>
      </c>
      <c r="E70" s="16">
        <v>31.443000000000001</v>
      </c>
      <c r="F70" s="16">
        <v>33.613</v>
      </c>
      <c r="G70" s="16">
        <v>6.23</v>
      </c>
      <c r="H70" s="16">
        <v>4.8559999999999999</v>
      </c>
      <c r="I70" s="16">
        <v>13.278</v>
      </c>
      <c r="J70" s="16">
        <v>28.419</v>
      </c>
      <c r="K70" s="16">
        <v>10.776999999999999</v>
      </c>
      <c r="L70" s="16">
        <v>-4.32</v>
      </c>
      <c r="M70" s="16">
        <v>10.72</v>
      </c>
      <c r="N70" s="16">
        <v>-0.93799999999999994</v>
      </c>
      <c r="O70" s="16">
        <v>3.3919999999999999</v>
      </c>
      <c r="P70" s="1"/>
      <c r="Q70" s="1"/>
      <c r="R70" s="16">
        <f t="shared" ref="R70:S70" si="12">HLOOKUP(R$6,$D$6:$O$78,$A70,0)</f>
        <v>3.3919999999999999</v>
      </c>
      <c r="S70" s="16">
        <f t="shared" si="12"/>
        <v>10.776999999999999</v>
      </c>
      <c r="T70" s="16">
        <f t="shared" ref="T70:T78" si="13">IFERROR(R70-S70,"-")</f>
        <v>-7.3849999999999998</v>
      </c>
      <c r="U70" s="86">
        <f t="shared" ref="U70:U78" si="14">IFERROR(R70/S70-1,"-")</f>
        <v>-0.68525563700473224</v>
      </c>
    </row>
    <row r="71" spans="1:21" customFormat="1" ht="15.75" thickBot="1">
      <c r="A71" s="31">
        <v>66</v>
      </c>
      <c r="B71" s="8"/>
      <c r="D71" s="40"/>
      <c r="E71" s="40"/>
      <c r="F71" s="40"/>
      <c r="G71" s="40"/>
      <c r="H71" s="40"/>
      <c r="I71" s="40"/>
      <c r="J71" s="40"/>
      <c r="K71" s="40"/>
      <c r="L71" s="40"/>
      <c r="M71" s="40"/>
      <c r="N71" s="40"/>
      <c r="O71" s="40"/>
      <c r="P71" s="8"/>
      <c r="Q71" s="8"/>
      <c r="R71" s="8"/>
      <c r="S71" s="8"/>
      <c r="T71" s="8"/>
      <c r="U71" s="8"/>
    </row>
    <row r="72" spans="1:21" customFormat="1" ht="15.75" thickTop="1">
      <c r="A72" s="31">
        <v>67</v>
      </c>
      <c r="B72" s="43" t="s">
        <v>87</v>
      </c>
      <c r="D72" s="44"/>
      <c r="E72" s="44"/>
      <c r="F72" s="44"/>
      <c r="G72" s="44"/>
      <c r="H72" s="44"/>
      <c r="I72" s="44"/>
      <c r="J72" s="44"/>
      <c r="K72" s="44"/>
      <c r="L72" s="44"/>
      <c r="M72" s="44"/>
      <c r="N72" s="44"/>
      <c r="O72" s="44"/>
      <c r="P72" s="1"/>
      <c r="Q72" s="1"/>
      <c r="R72" s="44"/>
      <c r="S72" s="44"/>
      <c r="T72" s="44"/>
      <c r="U72" s="116"/>
    </row>
    <row r="73" spans="1:21" customFormat="1">
      <c r="A73" s="31">
        <v>68</v>
      </c>
      <c r="B73" s="42" t="s">
        <v>39</v>
      </c>
      <c r="D73" s="16">
        <v>12326.706</v>
      </c>
      <c r="E73" s="16">
        <v>15906.674999999999</v>
      </c>
      <c r="F73" s="16">
        <v>15936.018</v>
      </c>
      <c r="G73" s="16">
        <v>16302.237999999999</v>
      </c>
      <c r="H73" s="16">
        <v>16302.237999999999</v>
      </c>
      <c r="I73" s="16">
        <v>16302.237999999999</v>
      </c>
      <c r="J73" s="16">
        <v>16302.237999999999</v>
      </c>
      <c r="K73" s="16">
        <v>16302.237999999999</v>
      </c>
      <c r="L73" s="16">
        <v>16302.237999999999</v>
      </c>
      <c r="M73" s="16">
        <v>17946.108</v>
      </c>
      <c r="N73" s="16">
        <v>17946.204000000002</v>
      </c>
      <c r="O73" s="16">
        <v>17946.204000000002</v>
      </c>
      <c r="P73" s="1"/>
      <c r="Q73" s="1"/>
      <c r="R73" s="16">
        <f t="shared" ref="R73:S78" si="15">HLOOKUP(R$6,$D$6:$O$78,$A73,0)</f>
        <v>17946.204000000002</v>
      </c>
      <c r="S73" s="16">
        <f t="shared" si="15"/>
        <v>16302.237999999999</v>
      </c>
      <c r="T73" s="16">
        <f t="shared" si="13"/>
        <v>1643.9660000000022</v>
      </c>
      <c r="U73" s="86">
        <f t="shared" si="14"/>
        <v>0.10084296401512494</v>
      </c>
    </row>
    <row r="74" spans="1:21" customFormat="1">
      <c r="A74" s="31">
        <v>69</v>
      </c>
      <c r="B74" s="42" t="s">
        <v>40</v>
      </c>
      <c r="D74" s="16">
        <v>431.48700000000002</v>
      </c>
      <c r="E74" s="16">
        <v>829.42700000000002</v>
      </c>
      <c r="F74" s="16">
        <v>853.72500000000002</v>
      </c>
      <c r="G74" s="16">
        <v>913.70799999999997</v>
      </c>
      <c r="H74" s="16">
        <v>926.43700000000001</v>
      </c>
      <c r="I74" s="16">
        <v>930.64099999999996</v>
      </c>
      <c r="J74" s="16">
        <v>912.81899999999996</v>
      </c>
      <c r="K74" s="16">
        <v>899.14400000000001</v>
      </c>
      <c r="L74" s="16">
        <v>798.45799999999997</v>
      </c>
      <c r="M74" s="16">
        <v>812.11300000000006</v>
      </c>
      <c r="N74" s="16">
        <v>826.79700000000003</v>
      </c>
      <c r="O74" s="16">
        <v>906.65</v>
      </c>
      <c r="P74" s="1"/>
      <c r="Q74" s="1"/>
      <c r="R74" s="16">
        <f t="shared" si="15"/>
        <v>906.65</v>
      </c>
      <c r="S74" s="16">
        <f t="shared" si="15"/>
        <v>899.14400000000001</v>
      </c>
      <c r="T74" s="16">
        <f t="shared" si="13"/>
        <v>7.5059999999999718</v>
      </c>
      <c r="U74" s="86">
        <f t="shared" si="14"/>
        <v>8.3479398183161635E-3</v>
      </c>
    </row>
    <row r="75" spans="1:21" customFormat="1">
      <c r="A75" s="31">
        <v>70</v>
      </c>
      <c r="B75" s="42" t="s">
        <v>19</v>
      </c>
      <c r="D75" s="16">
        <v>-9563.56</v>
      </c>
      <c r="E75" s="16">
        <v>-9668.1119999999992</v>
      </c>
      <c r="F75" s="16">
        <v>-9641.89</v>
      </c>
      <c r="G75" s="16">
        <v>-9612.2919999999995</v>
      </c>
      <c r="H75" s="16">
        <v>-9630.8610000000008</v>
      </c>
      <c r="I75" s="16">
        <v>-9616.6010000000006</v>
      </c>
      <c r="J75" s="16">
        <v>-9628.518</v>
      </c>
      <c r="K75" s="16">
        <v>-9674.4699999999993</v>
      </c>
      <c r="L75" s="16">
        <v>-9695.7540000000008</v>
      </c>
      <c r="M75" s="16">
        <v>-9722.6669999999995</v>
      </c>
      <c r="N75" s="16">
        <v>-9751.3369999999995</v>
      </c>
      <c r="O75" s="16">
        <v>-9842.6479999999992</v>
      </c>
      <c r="P75" s="1"/>
      <c r="Q75" s="1"/>
      <c r="R75" s="16">
        <f t="shared" si="15"/>
        <v>-9842.6479999999992</v>
      </c>
      <c r="S75" s="16">
        <f t="shared" si="15"/>
        <v>-9674.4699999999993</v>
      </c>
      <c r="T75" s="16">
        <f t="shared" si="13"/>
        <v>-168.17799999999988</v>
      </c>
      <c r="U75" s="86">
        <f t="shared" si="14"/>
        <v>1.7383691302986115E-2</v>
      </c>
    </row>
    <row r="76" spans="1:21" customFormat="1">
      <c r="A76" s="31">
        <v>71</v>
      </c>
      <c r="B76" s="42" t="s">
        <v>56</v>
      </c>
      <c r="D76" s="16">
        <v>332.68599999999998</v>
      </c>
      <c r="E76" s="16">
        <v>197.20699999999999</v>
      </c>
      <c r="F76" s="16">
        <v>270.80900000000003</v>
      </c>
      <c r="G76" s="16">
        <v>-61.366</v>
      </c>
      <c r="H76" s="16">
        <v>-24.257999999999999</v>
      </c>
      <c r="I76" s="16">
        <v>-144.37700000000001</v>
      </c>
      <c r="J76" s="16">
        <v>-233.73500000000001</v>
      </c>
      <c r="K76" s="16">
        <v>-448.29</v>
      </c>
      <c r="L76" s="16">
        <v>-614.33900000000006</v>
      </c>
      <c r="M76" s="16">
        <v>-896.43799999999999</v>
      </c>
      <c r="N76" s="16">
        <v>-1076.9459999999999</v>
      </c>
      <c r="O76" s="16">
        <v>-1679.779</v>
      </c>
      <c r="P76" s="1"/>
      <c r="Q76" s="1"/>
      <c r="R76" s="16">
        <f t="shared" si="15"/>
        <v>-1679.779</v>
      </c>
      <c r="S76" s="16">
        <f t="shared" si="15"/>
        <v>-448.29</v>
      </c>
      <c r="T76" s="16">
        <f t="shared" si="13"/>
        <v>-1231.489</v>
      </c>
      <c r="U76" s="86">
        <f t="shared" si="14"/>
        <v>2.747081130518191</v>
      </c>
    </row>
    <row r="77" spans="1:21" customFormat="1">
      <c r="A77" s="31">
        <v>72</v>
      </c>
      <c r="B77" s="45" t="s">
        <v>88</v>
      </c>
      <c r="D77" s="18">
        <f t="shared" ref="D77:O77" si="16">SUM(D73:D76)</f>
        <v>3527.319</v>
      </c>
      <c r="E77" s="18">
        <f t="shared" si="16"/>
        <v>7265.1970000000001</v>
      </c>
      <c r="F77" s="18">
        <f t="shared" si="16"/>
        <v>7418.6619999999994</v>
      </c>
      <c r="G77" s="18">
        <f t="shared" si="16"/>
        <v>7542.2880000000005</v>
      </c>
      <c r="H77" s="18">
        <f t="shared" si="16"/>
        <v>7573.5559999999987</v>
      </c>
      <c r="I77" s="18">
        <f t="shared" si="16"/>
        <v>7471.9009999999998</v>
      </c>
      <c r="J77" s="18">
        <f t="shared" si="16"/>
        <v>7352.804000000001</v>
      </c>
      <c r="K77" s="18">
        <f t="shared" si="16"/>
        <v>7078.6219999999985</v>
      </c>
      <c r="L77" s="18">
        <f t="shared" si="16"/>
        <v>6790.6029999999992</v>
      </c>
      <c r="M77" s="18">
        <f t="shared" si="16"/>
        <v>8139.1160000000018</v>
      </c>
      <c r="N77" s="18">
        <f t="shared" si="16"/>
        <v>7944.7180000000008</v>
      </c>
      <c r="O77" s="18">
        <f t="shared" si="16"/>
        <v>7330.4270000000033</v>
      </c>
      <c r="P77" s="1"/>
      <c r="Q77" s="1"/>
      <c r="R77" s="18">
        <f t="shared" si="15"/>
        <v>7330.4270000000033</v>
      </c>
      <c r="S77" s="18">
        <f t="shared" si="15"/>
        <v>7078.6219999999985</v>
      </c>
      <c r="T77" s="18">
        <f t="shared" si="13"/>
        <v>251.80500000000484</v>
      </c>
      <c r="U77" s="87">
        <f t="shared" si="14"/>
        <v>3.5572601560021733E-2</v>
      </c>
    </row>
    <row r="78" spans="1:21" customFormat="1">
      <c r="A78" s="31">
        <v>73</v>
      </c>
      <c r="B78" s="45" t="s">
        <v>89</v>
      </c>
      <c r="D78" s="18">
        <f t="shared" ref="D78:O78" si="17">D77+D68+D70+D53</f>
        <v>14023.925999999999</v>
      </c>
      <c r="E78" s="18">
        <f t="shared" si="17"/>
        <v>17775.784</v>
      </c>
      <c r="F78" s="18">
        <f t="shared" si="17"/>
        <v>18386.214999999997</v>
      </c>
      <c r="G78" s="18">
        <f t="shared" si="17"/>
        <v>23249.904000000002</v>
      </c>
      <c r="H78" s="18">
        <f t="shared" si="17"/>
        <v>24531.215999999997</v>
      </c>
      <c r="I78" s="18">
        <f t="shared" si="17"/>
        <v>25056.482999999997</v>
      </c>
      <c r="J78" s="18">
        <f t="shared" si="17"/>
        <v>25122.552000000007</v>
      </c>
      <c r="K78" s="18">
        <f t="shared" si="17"/>
        <v>26844.190999999995</v>
      </c>
      <c r="L78" s="18">
        <f t="shared" si="17"/>
        <v>26319.118999999999</v>
      </c>
      <c r="M78" s="18">
        <f t="shared" si="17"/>
        <v>27381.269000000004</v>
      </c>
      <c r="N78" s="18">
        <f t="shared" si="17"/>
        <v>27093.749</v>
      </c>
      <c r="O78" s="18">
        <f t="shared" si="17"/>
        <v>26213.200000000004</v>
      </c>
      <c r="P78" s="1"/>
      <c r="Q78" s="1"/>
      <c r="R78" s="18">
        <f t="shared" si="15"/>
        <v>26213.200000000004</v>
      </c>
      <c r="S78" s="18">
        <f t="shared" si="15"/>
        <v>26844.190999999995</v>
      </c>
      <c r="T78" s="18">
        <f t="shared" si="13"/>
        <v>-630.99099999999089</v>
      </c>
      <c r="U78" s="87">
        <f t="shared" si="14"/>
        <v>-2.350568135951614E-2</v>
      </c>
    </row>
    <row r="79" spans="1:21" customFormat="1">
      <c r="A79" s="8"/>
      <c r="B79" s="8"/>
      <c r="D79" s="8"/>
      <c r="E79" s="8"/>
      <c r="F79" s="8"/>
      <c r="G79" s="8"/>
      <c r="H79" s="8"/>
      <c r="I79" s="8"/>
      <c r="J79" s="8"/>
      <c r="K79" s="8"/>
      <c r="L79" s="8"/>
      <c r="M79" s="8"/>
      <c r="N79" s="8"/>
      <c r="O79" s="8"/>
      <c r="P79" s="8"/>
      <c r="Q79" s="8"/>
      <c r="R79" s="8"/>
      <c r="S79" s="8"/>
      <c r="T79" s="8"/>
      <c r="U79" s="8"/>
    </row>
    <row r="80" spans="1:21" customFormat="1">
      <c r="A80" s="8"/>
      <c r="B80" s="8"/>
      <c r="D80" s="8"/>
      <c r="E80" s="8"/>
      <c r="F80" s="8"/>
      <c r="G80" s="8"/>
      <c r="H80" s="8"/>
      <c r="I80" s="8"/>
      <c r="J80" s="8"/>
      <c r="K80" s="8"/>
      <c r="L80" s="8"/>
      <c r="M80" s="8"/>
      <c r="N80" s="8"/>
      <c r="O80" s="8"/>
      <c r="P80" s="8"/>
      <c r="Q80" s="8"/>
      <c r="R80" s="8"/>
      <c r="S80" s="8"/>
      <c r="T80" s="8"/>
      <c r="U80" s="8"/>
    </row>
  </sheetData>
  <pageMargins left="0.25" right="0.25" top="0.75" bottom="0.75" header="0.3" footer="0.3"/>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Planilhas</vt:lpstr>
      </vt:variant>
      <vt:variant>
        <vt:i4>8</vt:i4>
      </vt:variant>
    </vt:vector>
  </HeadingPairs>
  <TitlesOfParts>
    <vt:vector size="8" baseType="lpstr">
      <vt:lpstr>Contents</vt:lpstr>
      <vt:lpstr>1</vt:lpstr>
      <vt:lpstr>Lista</vt:lpstr>
      <vt:lpstr>2</vt:lpstr>
      <vt:lpstr>3</vt:lpstr>
      <vt:lpstr>4</vt:lpstr>
      <vt:lpstr>5</vt:lpstr>
      <vt:lpstr>6</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Renato de Pina Rodrigues Bello</dc:creator>
  <cp:keywords/>
  <dc:description/>
  <cp:lastModifiedBy>Mariana Lemos Linhares</cp:lastModifiedBy>
  <cp:lastPrinted>2023-10-27T19:05:23Z</cp:lastPrinted>
  <dcterms:created xsi:type="dcterms:W3CDTF">2018-03-19T20:41:07Z</dcterms:created>
  <dcterms:modified xsi:type="dcterms:W3CDTF">2024-05-15T14:59:58Z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